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<sst xmlns="http://schemas.openxmlformats.org/spreadsheetml/2006/main" uniqueCount="3113">
  <si>
    <t>id</t>
  </si>
  <si>
    <t>created_at</t>
  </si>
  <si>
    <t>fav</t>
  </si>
  <si>
    <t>rt</t>
  </si>
  <si>
    <t>text</t>
  </si>
  <si>
    <t>media1</t>
  </si>
  <si>
    <t>media2</t>
  </si>
  <si>
    <t>media3</t>
  </si>
  <si>
    <t>media4</t>
  </si>
  <si>
    <t>compound</t>
  </si>
  <si>
    <t>neg</t>
  </si>
  <si>
    <t>neu</t>
  </si>
  <si>
    <t>pos</t>
  </si>
  <si>
    <t>It's funny you wont address the fact that I'm pointing out facts that make this interview even worse for coup people
You just act like we should just believe this because you say so.
Address the facts.
#moleg #MoGov #greitens
@KevinCorlew @BillEigel @SaraForMissouri https://t.co/rF0BNAOPB9</t>
  </si>
  <si>
    <t>"My memory isnt reliable enough to testify"
She lied about the stacey Newman part.
Also her explanation of why she went back is plausible deniability.
She went back because she wanted to. I dont have an issue. She can make her own choices. But dont lie about it.
#moleg #MoGov https://t.co/rF0BNAOPB9</t>
  </si>
  <si>
    <t>RT @Str8DonLemon: She was never credible to begin with
Her testimony from house to criminal was different meaning she lied.
Also she told…</t>
  </si>
  <si>
    <t>RT @YearOfZero: She lied several times during the intervene and also admitted her memory isn’t reliable.
#moleg #mogov #greitens 
@Missou…</t>
  </si>
  <si>
    <t>RT @JW1057: @971FMTalk @MarcCox971 Summary: Kitty hates the @EricGreitens for not leaving Sheena and making her the first lady. 
#moleg #mo…</t>
  </si>
  <si>
    <t>RT @MSTLGA: This is not a woman that was sexually assaulted !  This was a consensual affair
Brought to light by political operatives that c…</t>
  </si>
  <si>
    <t>RT @MSTLGA: @Sticknstones4 @HotPokerPrinces So Far MEC Filings show these Legislators took 
Low Income Housing Tax Credit  $ #Moleg 
Todd…</t>
  </si>
  <si>
    <t>RT @MSTLGA: The money flows through these PAC Groups
Congratulations you bought &amp;amp; paid for puppets 
#moleg https://t.co/WbsmT81Rh8</t>
  </si>
  <si>
    <t>RT @Lautergeist: Come on #MoLeg!  This is NOT what we hired you to do!  #ElectionsHaveConsequences
We were on to your shenanigans and hire…</t>
  </si>
  <si>
    <t>She was never credible to begin with
Her testimony from house to criminal was different meaning she lied.
Also she told a few lies last night
Also "the memory I have isnt reliable enough to testify"
Hey @Rep_TRichardson we know what's going on. A scam!
#moleg #mogov #MOSen https://t.co/3hSrFgja4Y</t>
  </si>
  <si>
    <t>RT @JW1057: @jmannies No expectation of privacy when you get naked in common area of another person's home. 
#moleg #mogov #greitens #Greit…</t>
  </si>
  <si>
    <t>"The memory I have isnt reliable enough to testify to"
Dude you are hilarious. This interview was horrible for her.
Also funny how usual suspects are pushing this, despite it making her look worse.
Yo @Eric_Schmitt tell your boys to stop the coup. Woman lying
#moleg #mogov https://t.co/zudwUnNE6E</t>
  </si>
  <si>
    <t>Lol.... 
Dude that interview made her even less credible 
#moleg #mogov #greitens https://t.co/t8UUCMJDtM</t>
  </si>
  <si>
    <t>RT @MSTLGA: ITS NOT OK FOR YOU TO MAKE YOUR DONORS MILLIONAIRES!     
Todd Richardson 
Caleb Rowdan 
Shamed Dogan
Nicholas Schroer 
Elija…</t>
  </si>
  <si>
    <t>RT @MissouriLiberty: 3 Day Poll
Who is your pick to #fireclaire in the HOT Missouri Senate Race?
#MOSen #MOLeg #MOGov #MO #poll</t>
  </si>
  <si>
    <t>@Monetti4Senate @MOHouseGOP @mopns @HotPokerPrinces @AvrilMai91 @SuchHate @RadioFreeAllman @BigLeague2020 @TrumpChess @strmsptr @tonycolombo971 @ChrisYettke @stlyrs @RetNavy93 @RobVescovo @RodneyRosenstn @RonFRichard @RoyBlunt @BillEige @elijahhaahr @tracey_vinsand @melody_grover</t>
  </si>
  <si>
    <t>RT @Str8DonLemon: Dude she straight lied about certain things, other parts just weren't believable.
For example. She went back to his hous…</t>
  </si>
  <si>
    <t>RT @Lautergeist: Oh Lort.  Another one.  
#HereWeGoAgainWithTheLies
#Greitens #GreitensTrial 
She's claiming RAPE when there isn't a vict…</t>
  </si>
  <si>
    <t>Apparently you all think we are idiots.
This actually made her look worse!
#moleg #mogov #Greitens https://t.co/e89ue7ZUM5</t>
  </si>
  <si>
    <t>RT @JW1057: @CaseyNolen Do you think a man who has taken a nonconsensual nude photo of you and sexually and physically abused you can be a…</t>
  </si>
  <si>
    <t>RT @Sticknstones4: Hmmm Lots of Legislators took money from 
Low Income Housing Tax Credit Pac
Now they want to Impeach the Governor for s…</t>
  </si>
  <si>
    <t>RT @Neilin1Neil: Talk is, Miss Kitty and her ex husband, both, thought the $100,000 would go to a trust fund for their kids. #Greitens #Sav…</t>
  </si>
  <si>
    <t>RT @daisydorie: Congrats to our first family of Missouri. Let's keep making Missouri a great state. @EricGreitens  #Greitens 
          nev…</t>
  </si>
  <si>
    <t>RT @robert_enna: What a waste of my taxpayer dollars. I won’t forget republican turncoats either. If you didn’t support the gov then you wo…</t>
  </si>
  <si>
    <t>RT @YearOfZero: Bro. What are you smoking. Not only did the woman lie about Stacey Newman but she said the following: 
“The memory that I…</t>
  </si>
  <si>
    <t>RT @JCunninghamMO: What is it people don’t understand about conduct while “in office?”  Seems so simple and straight forward. #moleg. https…</t>
  </si>
  <si>
    <t>@CJheartart @dbongino @RadioFreeAllman @seanhannity @IngrahamAngle @realDonaldTrump @EricGreitens @HawleyMO Please!</t>
  </si>
  <si>
    <t>RT @YearOfZero: THERE IS NO EVIDENCE 
They have none. 
They indicted without evidence. The fundamental facts of the case aren’t changing.…</t>
  </si>
  <si>
    <t>RT @YearOfZero: She actually lied during the interview bro. 
Also she admitted her memory isn’t reliable! #moleg #mogov https://t.co/DKX05…</t>
  </si>
  <si>
    <t>RT @CStamper_: “Missouri Republicans understood that Gardner, a Soros-funded Democrat, was less interested in justice than in political rev…</t>
  </si>
  <si>
    <t>RT @CStamper_: “When we mix politics into the administration of the law, we violate our country’s oldest and most sacred traditions.” Well…</t>
  </si>
  <si>
    <t>RT @CStamper_: The lawyer whose client received $120,000 in cash ($50,000 of which was hand-delivered by a media member) for his role in po…</t>
  </si>
  <si>
    <t>RT @YearOfZero: Ali. Where have u been? 
Bunch of #Missouri citizens have been covering witch hunt &amp;amp; con job on @EricGreitens 
Reason us…</t>
  </si>
  <si>
    <t>RT @YearOfZero: These folks are actually talking about why a scam job the whole #greitens thing is.
Hashtags to look at besides #moleg #mo…</t>
  </si>
  <si>
    <t>RT @CStamper_: Soros-backed prosecutor Kim Gardner’s handling of this case was so unethical and corrupt that a judge has ordered her and he…</t>
  </si>
  <si>
    <t>RT @BluesFan464: @lindsaywise @BryanLowry3 What you call "interesting" most of us call a witch hunt. Maybe @georgesoros will bankroll Baker…</t>
  </si>
  <si>
    <t>RT @JW1057: @rebeccagberg I think they are confused it is anti-Greitens forces that are bribing people. See Al Watkins, Scott Faughn, and P…</t>
  </si>
  <si>
    <t>RT @i_like_sykes: Who do you want? 
#MoSen #MoGov #MidTerms</t>
  </si>
  <si>
    <t>RT @JW1057: @EricGreitens We have your back! Choosing special prosecutor who has already judged you guilty. Kitty giving interview on eve o…</t>
  </si>
  <si>
    <t>Seems to be the theme "wring her hands" 
Thays whay the tax credit scammers are going with tonight.
She flat out said her memory is unreliable. Also she dosnt stand by her testimony to Kim Gardner.
She also lied about stacey Newmans involvement 
#moleg #mogov #greitens #stl https://t.co/HKMcMObyxX</t>
  </si>
  <si>
    <t>Dude she straight lied about certain things, other parts just weren't believable.
For example. She went back to his house and kept seeing him.
She also said her memory is unreliable 
Lol
Facts &amp;gt; Feelings 
#moleg #mogov #greitens https://t.co/HKMcMObyxX</t>
  </si>
  <si>
    <t>RT @JW1057: @jeanpetersbaker This is Katrina "Kitty" Sneed with her clothes on. I would show you a picture with her clothes off, but it doe…</t>
  </si>
  <si>
    <t>RT @JaniceTXBlessed: The people of Texas do NOT support higher taxes, open borders, gun control, and most especially a Liberal who is owned…</t>
  </si>
  <si>
    <t>RT @Str8DonLemon: Hey @KevinCorlew you need your base. And your base wants this impeachment nonsense ended!
End the Tax Credit COUP and we…</t>
  </si>
  <si>
    <t>She lied about Stacey Newman
#moleg #mogov #greitens https://t.co/g9DMlLeLnn</t>
  </si>
  <si>
    <t>@ST_Designs @jrosenbaum @bendeclue She isnt a victim. Her explanations arent acceptable and she also lied about stacey newman.
"...The Memory that I have isn't strong enough to testify to..."
👉No evidence.
👉Memory unreliable.
👉Thus testimony unreliable.
Why was there an indictment again? https://t.co/5cnEyfVCny</t>
  </si>
  <si>
    <t>@strmsptr @CaseyNolen "...The Memory that I have isn't strong enough to testify to..."
👉No evidence.
👉Memory unreliable.
👉Thus testimony unreliable. https://t.co/jEpyngHMjT</t>
  </si>
  <si>
    <t>@ST_Designs @CaseyNolen @tonymess She isnt a victim.
KS ADMITS HER MEMORY ISN'T RELIABLE - AUDIO!
"...The Memory that I have isn't strong enough to testify to..."
👉No evidence.
👉Memory unreliable.
👉Thus testimony unreliable.
Why was there indictment again?
Still dont know source of 120 grand!
#greitens https://t.co/coqBfkuonZ</t>
  </si>
  <si>
    <t>@ws_missouri KS ADMITS HER MEMORY ISN'T RELIABLE - AUDIO!
"...The Memory that I have isn't strong enough to testify to..."
👉No evidence.
👉Memory unreliable.
👉Thus testimony unreliable.
Why was there an indictment again?
Still dont know source of 120 grand!
#moleg #mogov #greitens #stl https://t.co/yeJEcBFZ9t</t>
  </si>
  <si>
    <t>Hancock is a politcal operator who hated the gov before this.
Biased.
"...The Memory that I have isn't strong enough to testify to..."
#moleg #MoGov https://t.co/PZQAhSlHVi</t>
  </si>
  <si>
    <t>RT @JoshAlterity: @EricGreitens #MOsen #MOleg #AP4Senate #DrainTheSwamp 
https://t.co/J3w1M13smN</t>
  </si>
  <si>
    <t>@ReedWhite14 @EricGreitens @HawleyMO I'm stealing this sorry. Great work</t>
  </si>
  <si>
    <t>@JW1057 @RealTravisCook @blackwidow07 @Markknight45 @magathemaga1 @VisioDeiFromLA @Avenge_mypeople @grcfay @EricGreitens @TeamGreitens @Rep_TRichardson @joel_capizzi @RSF_LAW @SKOLBLUE1 @EdBigCon @Hope4Hopeless1 @strmsptr @Lautergeist @MOHouseGOP KS ADMITS HER MEMORY ISN'T RELIABLE - AUDIO!
"...The Memory that I have isn't strong enough to testify to..."
👉No evidence.
👉Memory unreliable.
👉Thus testimony unreliable.
Hey @Rep_TRichardson 
We will not tolerate this tax credit coup!
@Eric_Schmitt @MOHouseGOP https://t.co/5H3MwhbGXG</t>
  </si>
  <si>
    <t>@christoferguson "...The Memory that I have isn't strong enough to testify to..."
There should never have been an indictment. Also she lied a few times in this full interview. I wonder if she is being manipulated 
#moleg #mogov #greitens https://t.co/nL8XqE5ik2</t>
  </si>
  <si>
    <t>RT @CJheartart: Would someone @dbongino &amp;amp; Joseph diGenova @RadioFreeAllman &amp;amp; @seanhannity &amp;amp; @IngrahamAngle PLEASE look into the Missouri me…</t>
  </si>
  <si>
    <t>"Alleged"
Also it was consensual 
#moleg #mogov #Greitens https://t.co/NnYFCvJFgC</t>
  </si>
  <si>
    <t>Alleged victim https://t.co/NnYFCvJFgC</t>
  </si>
  <si>
    <t>RT @JW1057: @jeanpetersbaker is ethically comprised by accepting this appointment. She has already determined that there is a "victim" and…</t>
  </si>
  <si>
    <t>RT @JW1057: @jdianeadams I think she forgot the word ALLEGED "criminal wrongdoing." That agains reflect bias on Baker's part. @jeanpetersba…</t>
  </si>
  <si>
    <t>RT @JW1057: @lindsaywise @KCStar Yes, please tell us about @jeanpetersbaker lack of ethics. @Rep_TRichardson @StLCountyRepub 
https://t.co…</t>
  </si>
  <si>
    <t>RT @JW1057: @ksdknews Still don't think this is political? Kitty runs around for months screaming privacy and then gives interview on eve o…</t>
  </si>
  <si>
    <t>RT @JW1057: @RealTravisCook @blackwidow07 @Markknight45 @magathemaga1 @VisioDeiFromLA @Avenge_mypeople @grcfay @EricGreitens @TeamGreitens…</t>
  </si>
  <si>
    <t>RT @Str8DonLemon: KS ADMITS HER MEMORY ISN'T RELIABLE - AUDIO!
"...The Memory that I have isn't strong enough to testify to..."
👉No evide…</t>
  </si>
  <si>
    <t>KS ADMITS HER MEMORY ISN'T RELIABLE - AUDIO!
"...The Memory that I have isn't strong enough to testify to..."
👉No evidence.
👉Memory unreliable.
👉Thus testimony unreliable.
Why was there an indictment again?
Still dont know source of 120 grand!
#moleg #mogov #greitens #stl https://t.co/ANgxUwfJFx</t>
  </si>
  <si>
    <t>RT @magathemaga1: @Avenge_mypeople @grcfay @EricGreitens #moleg #greitens #mogov
The woman already prejudged the case!
hope @TeamGreitens…</t>
  </si>
  <si>
    <t>RT @Avenge_mypeople: @J_Hancock @EricGreitens Yeah, she's totally not biased against #Greitens , right? https://t.co/hSjO0NOY6n</t>
  </si>
  <si>
    <t>RT @VisioDeiFromLA: Bro. How is it that you all don’t know she already prejudged the case? Look at your own paper!
https://t.co/EBcIlxG9dG…</t>
  </si>
  <si>
    <t>RT @VisioDeiFromLA: Isn’t it funny the first time CNN (Which is fake news) tweets on #MoLeg they don’t talk about bribes yet they don’t eve…</t>
  </si>
  <si>
    <t>RT @Avenge_mypeople: Look, this special prosecutor is so biased, she would be good with convicting men by using anonymous women. That works…</t>
  </si>
  <si>
    <t>RT @Str8DonLemon: #GREITENS CASE SP PREJUDGED CASE, MUST RECUSE!
Fact. She presumed guilt of @EricGreitens by calling accuser a "vicitm".…</t>
  </si>
  <si>
    <t>#GREITENS CASE SP PREJUDGED CASE, MUST RECUSE!
Fact. She presumed guilt of @EricGreitens by calling accuser a "vicitm". Alleged victim, you mean? Statements on usage of name shows inherent bias!
POLITICAL!
RECUSE NOW!
#moleg #mogov #BREAKING #kcmo #stl #Missouri #ClaireJr https://t.co/LbWV4xo46E</t>
  </si>
  <si>
    <t>RT @Avenge_mypeople: Here's the new, special prosecutor in the #Greitens case. They don't come any more liberal or biased than this. How mu…</t>
  </si>
  <si>
    <t>RT @EdBigCon: @jrosenbaum @jeanpetersbaker @EricGreitens The selection of Baker, indicates to me that this is not over. This is political,…</t>
  </si>
  <si>
    <t>She already prejudged the case by calling the woman a "vicitim" 
That presupposes she though #Greitens was guilty.
Its Alleged victim!
She needs to be taken off keller.
Clear that #KimShady is coordinating with #Moleg by getting #ClaireJr to oversee this
RECUSE NOW! 
#MoGov https://t.co/jTyz1MbCdJ</t>
  </si>
  <si>
    <t>RT @JW1057: @jrosenbaum @jeanpetersbaker @EricGreitens Barker has prejudged she is unethical for accepting appointment. @StLouisCityCA 
htt…</t>
  </si>
  <si>
    <t>RT @JCunninghamMO: After two prosecutors dropped their cases, moving forward against @EricGreitens looks suspect and not like justice. #mol…</t>
  </si>
  <si>
    <t>RT @Str8DonLemon: BAG MAN STILL RUNNING
Where is Faughn?
Who gave him the money?
Brunner denies. So who did?
Missing piece is who gave…</t>
  </si>
  <si>
    <t>RT @Str8DonLemon: INNOCENT MAN FIGHTS BACK
#Missouri Coup is on!
Are U against:
✔Witch Hunts?
✔Prosecutorial Misconduct?
✔Undoing electi…</t>
  </si>
  <si>
    <t>Shes playing politics. She didnt care when #KimShady was wasting money but now shes all concerned.
What a fraud 
#moleg #mogov #greitens 
@MOHouseGOP @Eric_Schmitt https://t.co/yT07aohQCA</t>
  </si>
  <si>
    <t>RT @CStamper_: The witch hunt against Missouri’s conservative Governor is scraping the bottom of the barrel. Now they’re looking for minor…</t>
  </si>
  <si>
    <t>RT @CStamper_: “[L]awmakers say they are hearing from constituents skeptical of the process after a whirlwind felony invasion of privacy ca…</t>
  </si>
  <si>
    <t>RT @STL_Blonde: @Str8DonLemon @NameRedacted7 @Avenge_mypeople @strmsptr @RealTravisCook @blackwidow07 @Neilin1Neil @HennessySTL @Peoples_Pu…</t>
  </si>
  <si>
    <t>Hey @KevinCorlew you need your base. And your base wants this impeachment nonsense ended!
End the Tax Credit COUP and we may just show up!
@HennessySTL @Rep_TRichardson @Eric_Schmitt @BillEigel @FitzpatrickMO @MissouriGOP @MOGOP_Chairman
#moleg #mogov #mosen #Greitens #KCMO https://t.co/ng8skxtRC6</t>
  </si>
  <si>
    <t>BAG MAN STILL RUNNING
Where is Faughn?
Who gave him the money?
Brunner denies. So who did?
Missing piece is who gave it 2 him. As others noted, one can reasonably draw how money flows via MEC filings. That's a good starting point. 
#moleg #mogov #Greitens 
@NameRedacted7 https://t.co/7SGSwyIZ8C</t>
  </si>
  <si>
    <t>RT @mprieto1014: @jorgeramosnews si eres periodista di la verdad y dile sin tomar lado eso es ser periodista no solo agas victimas domde pu…</t>
  </si>
  <si>
    <t>It's absolutely true. It is an invasion https://t.co/l0GhSIZLvh</t>
  </si>
  <si>
    <t>People killed them. Not guns. https://t.co/n6RNLV8MJV</t>
  </si>
  <si>
    <t>Awesome. Lock her up. https://t.co/oyIS2uMaY3</t>
  </si>
  <si>
    <t>Dude he called Ms 13 animals. He directly was asked about ms 13
And they are animals.
We know the media lies but Why do you lie? https://t.co/fso74FeoZs</t>
  </si>
  <si>
    <t>RT @KaitMarieox: I have no apologies for my graduation photos. As a woman, I refuse to be a victim &amp;amp; the second amendment ensures that I do…</t>
  </si>
  <si>
    <t>RT @Str8DonLemon: Also what did @mariachapelleN mean by this tweet??
#moleg #mogov #greitens #missouri #stl #lihtc #taxcredits 
@JohnLamp…</t>
  </si>
  <si>
    <t>Also what did @mariachapelleN mean by this tweet??
#moleg #mogov #greitens #missouri #stl #lihtc #taxcredits 
@JohnLamping @EricGreitens @melody_grover @BigJShoota @Cernovich @NameRedacted7 @tracybeanz @Thomas1774Paine @ThomasWictor @DrPolitics1 https://t.co/qU6gN3p5hu</t>
  </si>
  <si>
    <t>RT @Str8DonLemon: What deal did @Mikelkehoe cut with @mikeparson to enable this coup in #Greitens 
Also LIHTC ????
Somebody should be fol…</t>
  </si>
  <si>
    <t>What deal did @Mikelkehoe cut with @mikeparson to enable this coup in #Greitens 
Also LIHTC ????
Somebody should be following that money! 
#moleg #MOGov @Eric_Schmitt @MattStoneABC @blackwidow07 @Neilin1Neil @dbongino @DRUDGE #Missouri #stlouis #stl #KCMO @BillEigel #mosen https://t.co/exrCt4oKL8</t>
  </si>
  <si>
    <t>INNOCENT MAN FIGHTS BACK
#Missouri Coup is on!
Are U against:
✔Witch Hunts?
✔Prosecutorial Misconduct?
✔Undoing elections?
✔Low Income Tax Credit Scams?
Fight back!
Sign petition 2 stop COUP of #greitens 
#moleg #mogov #Missouri
Petition here: https://t.co/ggbyxUdVC4 https://t.co/TKIcHagbXe</t>
  </si>
  <si>
    <t>RT @Barnes_Law: "The story of the election was not that Trump voters were uninformed about their man and their country, but that the press…</t>
  </si>
  <si>
    <t>RT @charliekirk11: Annual cost of illegal immigration by state:
CA.. $21.8 Billion 
NY.. $9.5 Billion 
TX.. $8.9 Billion 
FL.. $5.5 Billio…</t>
  </si>
  <si>
    <t>RT @ThePatriot142: @JohnBrennan We’ll see who laughs last, jackass. Oh yes. We’ll see. https://t.co/vbMFDixXYE</t>
  </si>
  <si>
    <t>RT @JackPosobiec: Tom Fitton is correct
If Barack Obama ordered political spying of Candidate Trump he must be impeached, and barred from…</t>
  </si>
  <si>
    <t>RT @Str8DonLemon: What deal did @Mikelkehoe cut with @mikeparson to enable this coup in #Greitens 
Also caleb. What do you know about LIHT…</t>
  </si>
  <si>
    <t>RT @Str8DonLemon: Lol. Your basically arguing against justice.
You dont want a man to be able to defend himself?
This Hafner guy is clear…</t>
  </si>
  <si>
    <t>RT @realDonaldTrump: The Witch Hunt finds no Collusion with Russia - so now they’re looking at the rest of the World. Oh’ great!</t>
  </si>
  <si>
    <t>RT @realDonaldTrump: I hereby demand, and will do so officially tomorrow, that the Department of Justice look into whether or not the FBI/D…</t>
  </si>
  <si>
    <t>RT @Str8DonLemon: Except if U follow the money, it literally is the LIHTC men. Wonder how many people have their hands connected to these p…</t>
  </si>
  <si>
    <t>RT @Lautergeist: WHAAAAAAT
#RemoveKimGardner
#KimShady 
#GreitensTrial 
#MoGov
#MoLeg https://t.co/yT0yeqVIgV</t>
  </si>
  <si>
    <t>Tony
When are you going to follow the money?
#moleg #mogov #greitens 
@Eric_Schmitt @MattStoneABC @gatewaypundit @DRUDGE https://t.co/T6XZrk8E5x</t>
  </si>
  <si>
    <t>Lol. Your basically arguing against justice.
You dont want a man to be able to defend himself?
This Hafner guy is clearly against justice and fairness
Wonder why friend of Scott Faughn wlild be against justice...
#moleg #mogov #greitens 
@Eric_Schmitt @drudge @MattStoneABC https://t.co/8XMeOlPR31</t>
  </si>
  <si>
    <t>Except if U follow the money, it literally is the LIHTC men. Wonder how many people have their hands connected to these people.
And soros did buy #KimShady via donations. Hes trying to do in again in #Sandiego 
Time to get the IRS INVOLVED!
Follow the money!
#moleg #MOGov https://t.co/sFadLi6j9D</t>
  </si>
  <si>
    <t>RT @melody_grover: Someone call Ringling Brothers, because PT Barnum wants his circus back from @jaybarnes5. Somehow #moleg has managed to…</t>
  </si>
  <si>
    <t>RT @YearOfZero: Top 5 reasons KC STAR IS FAKE NEWS  
1. Cuz they are 
2. Cuz they are 
3. Cuz they are 
4. Cuz they are 
5. Cuz they are…</t>
  </si>
  <si>
    <t>RT @88YahamaKeys: So now you are making up your own rules #MoLeg? https://t.co/9VpFLJ8eX2</t>
  </si>
  <si>
    <t>RT @CStamper_: Unlike Soros-backed prosecutors, lobbyists, greedy special interests, self-interested politicians, and the liberal media, re…</t>
  </si>
  <si>
    <t>RT @JCunninghamMO: Why?  After two prosecutors dropped their cases for lack of evidence, moving forward by the legislature looks like a per…</t>
  </si>
  <si>
    <t>What deal did @Mikelkehoe cut with @mikeparson to enable this coup in #Greitens 
Also caleb. What do you know about LIHTC ????
Somebody should be following that money! 
#moleg #MOGov @Eric_Schmitt @MattStoneABC @blackwidow07 @Neilin1Neil @dbongino @DRUDGE https://t.co/rXSWY5Xued</t>
  </si>
  <si>
    <t>RT @JW1057: Hmm. Do you suppose @mikeparson will make @Mikelkehoe Lt. Gov. if the they succeed in impeaching/convicting @GovGreitensMO? Iro…</t>
  </si>
  <si>
    <t>RT @Lautergeist: The Trail ~ but WHO'S #TheFunder?!
#greitens #GreitensTrial 
#MoTaxScam
#MoLeg
#MoGov
@DRUDGE_REPORT 
@seanhannity 
@mar…</t>
  </si>
  <si>
    <t>@strmsptr @angiericono @EricGreitens @KCTV5 #moleg #mogov #greitens
#taxcredits 
@mikeparson @Eric_Schmitt @MattStoneABC @EricGreitens https://t.co/I1fBvnwgi9</t>
  </si>
  <si>
    <t>RT @strmsptr: @angiericono @EricGreitens @KCTV5 I am still trying to figure out why #moleg is willing to enrage the base over #LIHTC scams.…</t>
  </si>
  <si>
    <t>RT @magathemaga1: The KC STAR IS FOR THE POLITCAL COUP OF THE PEOPLE OF MISSOURI 
SO ARE DEMOCRATS TOO
#MoLeg #mogov #greitens https://t.…</t>
  </si>
  <si>
    <t>RT @VisioDeiFromLA: “Crime, once exposed, has no refugee, but in audacity”
-Tacitus
Lock his ass up @realDonaldTrump 
Also @SecretServic…</t>
  </si>
  <si>
    <t>RT @Str8DonLemon: Meet Stefan Halper
Obama Spied on @realDonaldTrump illegally.
Obama created a constitutional crisis.
They all need to…</t>
  </si>
  <si>
    <t>Meet Stefan Halper
Obama Spied on @realDonaldTrump illegally.
Obama created a constitutional crisis.
They all need to go to jail.
#ObamaGate 
@dbongino @JackPosobiec @Cernovich @parscale @ScottAdamsSays @Thomas1774Paine @marklevinshow @MarkDice 
#maga #RedWaveRising2018 https://t.co/2cfHW5S93h</t>
  </si>
  <si>
    <t>RT @88YahamaKeys: #Moleg What are you going to impeach the @GovGreitensMO for?  Do tell! Because charges were dropped and then this was iss…</t>
  </si>
  <si>
    <t>@ABC That's because hes innocent</t>
  </si>
  <si>
    <t>Lets see he was innocent on both charges.
How is he corrupt?
Not liking somebody isnt grounds for impeachment snowflake 
#moleg #mogov #greitens https://t.co/1UWyuke9Zz</t>
  </si>
  <si>
    <t>RT @melody_grover: Do two of @HawleyMO biggest early backers, @JCunninghamMO and @JohnLamping, still support him even after his politically…</t>
  </si>
  <si>
    <t>RT @Lautergeist: DROP IT.  
#greitens
#MoLeg https://t.co/9KyZWYlhyl</t>
  </si>
  <si>
    <t>RT @rhondas_lil_sis: @StLCountyRepub @BillEigel Great job gentlemen. Ni can you talk some sense into #MoLeg and get them to stop the insane…</t>
  </si>
  <si>
    <t>RT @JW1057: @RSF_LAW Image that a prosecutor reviews the law and the evidence and conclude no probable cause. @stlcao please take those not…</t>
  </si>
  <si>
    <t>RT @JW1057: @kendylei So, Kim Gardner decided to ruin herself instead!
#moleg #mogov #greitens #KimShady #IStandWithGreitens</t>
  </si>
  <si>
    <t>RT @JW1057: This petition deals exclusively with HR 2 and rules going forward. We only have a couple days to make a difference, so please s…</t>
  </si>
  <si>
    <t>RT @CStamper_: These sham charges are disappearing left and right. It’s good to see that when push comes to shove and facts and evidence ar…</t>
  </si>
  <si>
    <t>RT @JW1057: @paulcurtman @Eric_Schmitt @Missourinet @hrehder 
#STLCards #StLouis #RoyalWedding #GOP #Republican #moleg #mogov</t>
  </si>
  <si>
    <t>RT @RealTravisCook: Only thing they can "impeach" him for is for sleeping with an attractive woman... #MoLeg #KimShady #SaveGovernorGreiten…</t>
  </si>
  <si>
    <t>RT @RealTravisCook: Dear #MoLeg:  We elected Governor #Greitens.  We are pleased with his performance thus far.  We also elected you.  This…</t>
  </si>
  <si>
    <t>RT @Mizzourah_Mom: @CristieMoss1963 I agree that it is a total witch hunt, but in the #moleg it is bi-partisan. Both sides seem to want him…</t>
  </si>
  <si>
    <t>RT @Neilin1Neil: due process. No such thing with this #moleg! KANGAROO IMPEACHMENT COURT @KathieConway @EricGreitens @RealTravisCook @YearO…</t>
  </si>
  <si>
    <t>RT @JCunninghamMO: Why?  After two prosecutors dropped their cases for lack of evidence, moving forward by the legislature on @EricGreitens…</t>
  </si>
  <si>
    <t>RT @Str8DonLemon: Did #MoneyBagsAl file Form 8300 with  IRS. It is required, as is the case here, when receiving $10k or more in cash. Fede…</t>
  </si>
  <si>
    <t>RT @Str8DonLemon: #Ladderboy at it again!
Hawley shows clear COI so anything he says only be assumed to be coming from his interest in see…</t>
  </si>
  <si>
    <t>RT @SheenaGreitens: It makes permanent a new policy that foster kids will no longer be charged to get usable copies of their own birth cert…</t>
  </si>
  <si>
    <t>RT @SheenaGreitens: This legislation makes foster parent fingerprints/background checks safer &amp;amp; more efficient; protects privacy of foster…</t>
  </si>
  <si>
    <t>RT @JohnLamping: #moleg If special interests can take out a sitting MOGOV think what will happen to you when you don't vote as you're told…</t>
  </si>
  <si>
    <t>#Ladderboy at it again!
Hawley shows clear COI so anything he says only be assumed to be coming from his interest in seeing #Greitens out of office cuz "consultants" say its bad
COU
Tax Credit men must have begged him! 
@AP4Liberty still on ballot?
#MoLeg #mogov #mosen https://t.co/oyClIR3e0O</t>
  </si>
  <si>
    <t>@JohnLamping amen!</t>
  </si>
  <si>
    <t>RT @JohnLamping: #moleg go home stay there till Veto Session. Youve been played by lobbyists n leadership. Think how much has changed since…</t>
  </si>
  <si>
    <t>RT @caesar718: #KimShady just can’t admit she attempted to prosecute a case w/ no evidence, hired an invstgr who lied on the stand, trying…</t>
  </si>
  <si>
    <t>@SheenaGreitens Great work!</t>
  </si>
  <si>
    <t>RT @SheenaGreitens: They allow judges overseeing foster care to modify custody as needed for kids' interests; establish a timeline for esta…</t>
  </si>
  <si>
    <t>RT @SheenaGreitens: These bills retain data from child abuse/neglect reports that investigators use to protect kids; improve information-sh…</t>
  </si>
  <si>
    <t>RT @SheenaGreitens: Every Missouri child should be in a safe, stable, loving home. Provisions in SB819 &amp;amp; SB800 protect kids from abuse/negl…</t>
  </si>
  <si>
    <t>RT @SheenaGreitens: Delighted to see the Missouri General Assembly pass both #SB819 and #SB800! We worked hard last year to develop many of…</t>
  </si>
  <si>
    <t>Who is The Source of the Money?
Who gave the money to Scott Faughn?
#moleg #mogov #greitens #missouri 
@Eric_Schmitt @EricGreitens  @MissouriGOP @StCharlesMOGop https://t.co/A8RJ0BmmB4</t>
  </si>
  <si>
    <t>INNOCENT MAN FIGHTS BACK
#Missouri Coup is on!
Are U against:
✔Witch Hunts?
✔Prosecutorial Misconduct?
✔Undoing elections?
✔Low Income Tax Credit Scams?
Fight back!
Sign petition 2 stop COUP of #greitens 
#moleg #mogov #Missouri
Petition here: https://t.co/ggbyxUdVC4 https://t.co/UHvVJ9P5aI</t>
  </si>
  <si>
    <t>@grcfay @EricGreitens Great speech</t>
  </si>
  <si>
    <t>RT @Str8DonLemon: @EricGreitens "Forgotten Man" speech
This speech is great, besides it being moving, is he calls out why #MoLeg is really…</t>
  </si>
  <si>
    <t>It never was. The whole thing is a farce.
#moleg #mogov https://t.co/csvwkSzYPM</t>
  </si>
  <si>
    <t>@JCunninghamMO Check out @Str8DonLemon’s Tweet: https://t.co/M8NuXOh9Pr</t>
  </si>
  <si>
    <t>RT @JCunninghamMO: #MOLeg beware. This letter writer expresses what a lot of your base strongly think.  https://t.co/ReVLsgmItg</t>
  </si>
  <si>
    <t>@EricGreitens "Forgotten Man" speech
This speech is great, besides it being moving, is he calls out why #MoLeg is really mad
He took away wasteful toys &amp;amp; spending!
Tax Credit Junkies mad &amp;amp; stage a COUP!
#MoGov #Greitens #STL #MAGA #mosen
Watch here: https://t.co/KNBl3tPW9U</t>
  </si>
  <si>
    <t>Do Kim Gardner 
#moleg #mogov #Greitens https://t.co/4APhm4E8I8</t>
  </si>
  <si>
    <t>RT @CStamper_: Only 42% of this taxpayer money actually goes to housing. The remaining 58% is making some people very, very wealthy. Greite…</t>
  </si>
  <si>
    <t>RT @CStamper_: Representative Jay Barnes, who is leading the House Committee trying to impeach Greitens, has also been showered in campaign…</t>
  </si>
  <si>
    <t>RT @CStamper_: At a housing project in Cape Girardeau “per apartment unit, (taxpayers paid) $376,000.” Per unit! Governor Greitens put a st…</t>
  </si>
  <si>
    <t>RT @CStamper_: Soros-backed prosecutor Kim Gardner, whose sham charges against Greitens were dropped last week, has received campaign contr…</t>
  </si>
  <si>
    <t>RT @CStamper_: Lt. Gov. Parson, who would replace Greitens if he is impeached, has also seen money flow into his campaign account from thes…</t>
  </si>
  <si>
    <t>RT @JW1057: @RealJamesWoods @seanhannity @RoyBlunt @MarkReardonKMOX 
Please sign and ask your followers to do so as well. This is baseless…</t>
  </si>
  <si>
    <t>RT @CStamper_: Soros-backed prosecutor Kim Gardner tried to take down Greitens. Now the liberal media, self-interested politicians &amp;amp; schemi…</t>
  </si>
  <si>
    <t>RT @CStamper_: A Soros-backed prosecutor tried to put him in jail. Special interests, self-interested politicians &amp;amp; the liberal media are t…</t>
  </si>
  <si>
    <t>RT @YearOfZero: 8. Please sign petition
Outlines point by point breakdown of why this is a total witch hunt &amp;amp; a coup
I encourage you to r…</t>
  </si>
  <si>
    <t>RT @YearOfZero: 7. “When I Look to my left, I see you.... when I look to my right, I see your friends and family...”
This is why @EricGrei…</t>
  </si>
  <si>
    <t>RT @YearOfZero: 3. 113 K regulations and 33 thousand cut after review.
@EricGreitens cut the bs and got government out of people’s way.
#…</t>
  </si>
  <si>
    <t>RT @YearOfZero: 2. For too long, rural #Missouri had been forgotten...
@TeamGreitens @MissouriGOP 
#moleg #mogov #greitens https://t.co/f…</t>
  </si>
  <si>
    <t>RT @YearOfZero: 1. Fighting for The Forgotten Man
@EricGreitens gives speech at the Bio-Disel Press Connferene in #Missouri
He also calls…</t>
  </si>
  <si>
    <t>@JW1057 @MissouriGOP @GovGreitensMO @KevinCorlew @kendylei @parscale @grcfay @RetNavy93 @dbongino @Cernovich @Thomas1774Paine @SykesforSenate @charliekirk11</t>
  </si>
  <si>
    <t>RT @marklevinshow: Nice to know that Mueller apparently agrees with me https://t.co/mIM46RQg0n</t>
  </si>
  <si>
    <t>RT @Str8DonLemon: @EricGreitens "Forgotten Man" speech.
What's great about this speech besides it being moving is he calls out why #MoLeg…</t>
  </si>
  <si>
    <t>RT @DiamondandSilk: Do the left wing media know the difference between MS-13 Gang members and law abiding citizens?
They must be trying to…</t>
  </si>
  <si>
    <t>RT @paulsperry_: Though the media portray Yates as a heroic whistleblower, who was a “career prosecutor” before Obama appointed her, she wa…</t>
  </si>
  <si>
    <t>@JW1057 @MissouriGOP @GovGreitensMO Paging @Rep_TRichardson @TeamGreitens @BillEigel @BobOnderMO 
Support our duly elected Gov!</t>
  </si>
  <si>
    <t>@JW1057 @MissouriGOP @GovGreitensMO Will do!</t>
  </si>
  <si>
    <t>RT @JW1057: @MissouriGOP 
Please sign and ask your followers to do so as well. This is baseless attack upon @GovGreitensMO  and we must fi…</t>
  </si>
  <si>
    <t>@MOHouseGOP @MissouriGOP @StLCountyRepub @BooneCoMOGOP @SuperDriver318 @TomJEstes @CStamper_ @SpeakerTimJones @MOGOP_Chairman @mogop_jasper @JCPenknife</t>
  </si>
  <si>
    <t>@EricGreitens "Forgotten Man" speech.
What's great about this speech besides it being moving is he calls out why #MoLeg is really mad.
He took away the wasteful toys and spending!
Wealthy donors mad &amp;amp; stage a COUP?
#MoGov #Greitens #STL
Watch It here: https://t.co/KNBl3tPW9U</t>
  </si>
  <si>
    <t>RT @Avenge_mypeople: The reason Eric #Greitens witch hunt is taking place. People outside of Missouri should watch closely what is going on…</t>
  </si>
  <si>
    <t>@JW1057 @rxpatrick @joelcurrier @ws_missouri Al Watkins, lie?</t>
  </si>
  <si>
    <t>RT @JW1057: @rxpatrick @joelcurrier @ws_missouri Interesting that Watkins claims to have received cash on 1/8/18. That is the very same day…</t>
  </si>
  <si>
    <t>RT @Str8DonLemon: @Sticknstones4 @VisioDeiFromLA @latimes We citizens have been digging ... look into Jeff Smith and Scott Faughn... TAX CR…</t>
  </si>
  <si>
    <t>RT @Str8DonLemon: #moleg members.
The FBI &amp;amp; IRS needs to investigate the whereabouts of Scott Faughn and who gave him the moneh to pay off…</t>
  </si>
  <si>
    <t>RT @HotPokerPrinces: THE LA TIMES  PUT  MISSOURI  BIAS FAKE NEWS MEDIA TO SHAME ! 
OMG THE BROKE E BROKE DETAILS OF SCAMMING SCOTT FAUGHN…</t>
  </si>
  <si>
    <t>RT @Sticknstones4: @latimes Dig further , look into JES Holdings LLC  Jeff Smith 
His company receives the largest amount of Low Income Hou…</t>
  </si>
  <si>
    <t>RT @CStamper_: This is the sort of crap driving the witch hunt to oust Missouri Governor Eric Greitens. No shocker that the local media nev…</t>
  </si>
  <si>
    <t>RT @HennessySTL: Be the Pollster! Poll your Missouri State Rep. Record Results Here. "Impeachment, Yay or Nay?"
→ https://t.co/zNqPo8Rp20…</t>
  </si>
  <si>
    <t>RT @Sticknstones4: HEY #MOLEG  LOOK AT HOW SLEEZY SCAMMING SCOTT FAUGHN IS !  LA TIMES IS HOT ! THEYRE FOLLOWING THE MONEY 💰 STERLING BANK…</t>
  </si>
  <si>
    <t>RT @MattStoneABC: ABC News has obtained a photo of one of the two packages each containing $50,000 that attorney Al Watkins claims he recei…</t>
  </si>
  <si>
    <t>@Sticknstones4 @VisioDeiFromLA @latimes We citizens have been digging ... look into Jeff Smith and Scott Faughn... TAX CREDITS.
Also I would ask if Scott Simpson the lawyer of KS got some money dropped off to him too
#moleg #mogov #Greitens #STL
#KimShady
@Eric_Schmitt @EricGreitens @MOGOP_Chairman @MissouriGOP https://t.co/vB050PcZiw</t>
  </si>
  <si>
    <t>Did #MoneyBagsAl file Form 8300 with  IRS. It is required, as is the case here, when receiving $10k or more in cash. Federal criminal offense 2 have failed to file...
Also he contacted the FBI "before depositing"
Wouldnt LE take money as evidence?
#moleg #mogov #greitens https://t.co/Dk6gyjorsh</t>
  </si>
  <si>
    <t>RT @YearOfZero: #OccupyJeffCity 
The peasants are coming!
@HennessySTL 
@EricGreitens @Eric_Schmitt @BillEigel @TeamGreitens @gatewaypun…</t>
  </si>
  <si>
    <t>RT @YearOfZero: The affair was consensual. 
Why would a woman keep going back and seeing a rapist? 
Why would a woman nude face time afte…</t>
  </si>
  <si>
    <t>RT @YearOfZero: @puckroger @JCunninghamMO #moleg #mogov @BobOnderMO https://t.co/eBkm7T0m73</t>
  </si>
  <si>
    <t>RT @Str8DonLemon: @Rep_TRichardson
IRS and FBI involved yet?
Who gave money 2 Faughn to pay off Al Watkins &amp;amp; Moon to invent fake sex scan…</t>
  </si>
  <si>
    <t>@Rep_TRichardson
IRS and FBI involved yet?
Who gave money 2 Faughn to pay off Al Watkins &amp;amp; Moon to invent fake sex scandal?
Its time to get to work and get investigating. Al says "rich Republican"
@ScottCharton is friends with Scott Faughn. Ask him
#moleg #mogov #Greitens https://t.co/SkZElMOsCl</t>
  </si>
  <si>
    <t>#moleg members.
The FBI &amp;amp; IRS needs to investigate the whereabouts of Scott Faughn and who gave him the moneh to pay off Al Watkins and the accuser. 
I hear his buddy @ScottCharton knows who did it. Might want to also ask him
#moleg #mogov #greitens
@Eric_Schmitt @BobOnderMO https://t.co/Pnup28EHbK</t>
  </si>
  <si>
    <t>RT @Str8DonLemon: We have to ask why Scott Charton is so invested in this COUP?
Is he getting paid by the same man who gave Scott Faughn t…</t>
  </si>
  <si>
    <t>RT @Str8DonLemon: 2 weeks have passed since Scott Faughn was discovered dropping off money to Al Watkins for this COUP.
Yes paying for the…</t>
  </si>
  <si>
    <t>RT @JW1057: @Lautergeist @SLMPD Perhaps, Wooten meant to say, "Mr. Tisaby did not perjure himself, he couldn't have done it without Kim Gar…</t>
  </si>
  <si>
    <t>RT @JCunninghamMO: Consensual is the key. She kept coming back. That is not a victim. It is a participant. https://t.co/aJQWi4I0CN</t>
  </si>
  <si>
    <t>RT @CStamper_: Why would Scott Faughn blatantly lie about these payments, and why does nobody in #moleg seem to care?  https://t.co/7RcjCE0…</t>
  </si>
  <si>
    <t>2 weeks have passed since Scott Faughn was discovered dropping off money to Al Watkins for this COUP.
Yes paying for the coup.
When is Scott Charton going to on record and explain what he knows about it since he is friends with Faughn?
#moleg #mogov #Greitens https://t.co/Mc0w9dQFah</t>
  </si>
  <si>
    <t>We have to ask why Scott Charton is so invested in this COUP?
Is he getting paid by the same man who gave Scott Faughn the money?
A lot of of people are wondering.
#moleg #mogov #Greitens https://t.co/8JvZQvyWL5</t>
  </si>
  <si>
    <t>RT @FoxNews: TONIGHT: @realDonaldTrump's lawyer Rudy Giuliani gives an exclusive interview to Laura Ingraham. Tune in to @IngrahamAngle on…</t>
  </si>
  <si>
    <t>Same offer goes for @Monetti4Senate and @SykesforSenate 
#MOSEN</t>
  </si>
  <si>
    <t>#MoSen
I will offer my MemeLord self to the winner of the primary.
I am better than all you all including @AP4Liberty people
If Austin's people manage to win, I will be your servant. You think you seem some memes? You haven't seen squat yet 
@Monetti4Senate @SykesforSenate</t>
  </si>
  <si>
    <t>RT @YearOfZero: Attn #MoLeg
Are you ready?
To be voted out?
For engaging in this COUP against @EricGreitens ....
Get ready because we a…</t>
  </si>
  <si>
    <t>@AP4Liberty Ok you win this one hands down, but I'm sorry bro, my meme skills alone beats your entire team. Mayve we should join forces. I want Saturdays off and I will need a personal assistant.  
#MOSEN</t>
  </si>
  <si>
    <t>RT @Lautergeist: Keep an eye over your shoulder.  You won't hear us coming
#MoLeg
#OccupyJeffCity https://t.co/4GBync7z2Y</t>
  </si>
  <si>
    <t>RT @ResignNowKim: @MSTLGA Yeah: where is @nicolergalloway ‘s audit of the #TaxCreditQueen rip off of Missouri taxpayers? ($600M annual)And…</t>
  </si>
  <si>
    <t>RT @ResignNowKim: (2) All #moleg need to be required to do this. And if they aren’t willing to do it, then that entitles PUBLIC to an adver…</t>
  </si>
  <si>
    <t>RT @ResignNowKim: (3) #moleg need to PUBLICLY IDENTIFY all tax credit dominations to their campaigns- now. Hell, they should issue a press…</t>
  </si>
  <si>
    <t>RT @ResignNowKim: @RGreggKeller You and your crony clients and whipped #moleg engineer scandals/coup, imperil his freedom and career, &amp;amp; the…</t>
  </si>
  <si>
    <t>RT @ResignNowKim: (1) RE: #SpecialSession : Every single #moleg needs to disclose all monies received from any tax credit queen donor.  Inc…</t>
  </si>
  <si>
    <t>RT @ResignNowKim: So, who’s up for #OccupyJeffCity ? Those of us who can, let’s take our tents and campers and RVs and go tailgate/camp out…</t>
  </si>
  <si>
    <t>RT @Str8DonLemon: Yo #Moleg 
The peasants are coming!
We are on a mission to find out who paid Scott Faughn and to find out who is paying…</t>
  </si>
  <si>
    <t>@jeffreyjonesmo @philip_saulter @GovGreitensMO @JCunninghamMO 120 grand will get somebody to say that, wouldn't it?
Is the IRS investigating the money?</t>
  </si>
  <si>
    <t>Yo #Moleg 
The peasants are coming!
We are on a mission to find out who paid Scott Faughn and to find out who is paying lawmakers to engineer this coup.
You ready?
We are coming. Patriots please spread the word on Facebook 
#mogov #Greitens #OccupyJeffCity 
@KevinCorlew https://t.co/vZiR07kY3h</t>
  </si>
  <si>
    <t>@jeffreyjonesmo @philip_saulter @GovGreitensMO @JCunninghamMO I know what consent is. The problem is you are trying to redefine it, such is the leftist way</t>
  </si>
  <si>
    <t>She kept seeing the man. I find it hilarious you want to relitigate this obviously consensual affair after charges have been dismissed.
She kept seeing man.
Money dropped off to Al Watkins 
Did scotty also drop money to Scott Simpson?
Story is fake 
#moleg #mogov #Greitens https://t.co/ZxZvjHnXUv</t>
  </si>
  <si>
    <t>RT @KamVTV: Judge ruled Friday that the “elections supervisor in Florida’s second-most populous county (Broward) broke state and federal la…</t>
  </si>
  <si>
    <t>RT @dbongino: Make absolutely NO MISTAKE, today’s NY Times story on #CrossfireHurricane is a timed leak through the NY Times propaganda mac…</t>
  </si>
  <si>
    <t>@jeffreyjonesmo @philip_saulter @GovGreitensMO @JCunninghamMO Yes she did. She also facetimed with him nude at a later date. Did eric make KS take her clothes off from a remote location?
Come on. You didnt read the depositions.</t>
  </si>
  <si>
    <t>RT @Str8DonLemon: You clearly did not read both depositions or know anything, not to mention her story changed, meaning she lied (or was ma…</t>
  </si>
  <si>
    <t>RT @ResignNowKim: @ScottCharton @EricGreitens Did you quit the AP, or were you fired for being as stupid as you are slovenly? By definition…</t>
  </si>
  <si>
    <t>You clearly did not read both depositions or know anything, not to mention her story changed, meaning she lied (or was manipulated to lie)
She nude facetimed with him after the incident. No police? U clearly are a Parson Tilley Jeff smith tax credit bot.
#moleg #mogov #Greitens https://t.co/J8rfzwnt5H</t>
  </si>
  <si>
    <t>RT @Str8DonLemon: How much did Kim Gardners clown show cost?
#moleg #mogov #greitens https://t.co/X76n6MM03w</t>
  </si>
  <si>
    <t>Scott Faughns propaganda arm is pushing the coup efforts along i see
#moleg #mogov #Greitens https://t.co/TbPLwrt9Jq</t>
  </si>
  <si>
    <t>RT @MGoentzel: @MoDemParty getting lazy with @RepLaurenArthur campaign? No permission for the sign, but put it there anyways kind of litter…</t>
  </si>
  <si>
    <t>Where were you when gardner was wasting tax payer money?
#KimShady #moleg #Greitens https://t.co/KvzqsMG8CL</t>
  </si>
  <si>
    <t>RT @YearOfZero: Hey @BobOnderMO can you look into this???
#moleg #mogov #greitens https://t.co/dyNIIIkohP</t>
  </si>
  <si>
    <t>RT @ZekeMelchizedek: @jaybarnes5, are you really that clueless regarding criminal law?  @GovGreitensMO would not give a statement per the w…</t>
  </si>
  <si>
    <t>RT @ZekeMelchizedek: @jaybarnes5 and @Rep_TRichardson:
If you were not so eager to impeach @GovGreitensMO, and if you truly cared about the…</t>
  </si>
  <si>
    <t>Yes he actually did 
Further she kept seeing him. In the real world, consent cant be taken away after the fact like these marxists claim. 
Also regret doesn't mean you get yo change your mind either 
@JCunninghamMO 
#moleg #mogov #Greitens https://t.co/mqz2hhrRDD</t>
  </si>
  <si>
    <t>RT @JW1057: @ksdknews I hear @EricGreitens may have left toilet seat up. Barnes' Star Chamber  (aka the Committee) should investigate that…</t>
  </si>
  <si>
    <t>RT @YearOfZero: Upset that Gardner, who engaged in serious judicial misconduct, collusion with #moleg on this witch hunt / COUP, and other…</t>
  </si>
  <si>
    <t>RT @Sticknstones4: Jay Barnes, Todd Richardson, Elijah Haahr, Jamilah nasheed, Doug Libla, Gary Romine, Ron Richard , 
Gina Walsh, Rob Scha…</t>
  </si>
  <si>
    <t>RT @YearOfZero: Washed up ex journalist and now tax credit funded propagandaist mad people are calling out this coup for what it is?
Tell…</t>
  </si>
  <si>
    <t>RT @YearOfZero: Is he ever going to be hailed in and ask where he got the money he dropped off to Al Watkins?
#moleg #mogov #greitens http…</t>
  </si>
  <si>
    <t>RT @Avenge_mypeople: @martuk56 @gatewaypundit @jallman971 That's been my observation as well, but this #greitens issue made me realize that…</t>
  </si>
  <si>
    <t>RT @BryanLowry3: Watkins says he was led to believe that both halves of the $100K came from a single source and that Faughn and the courier…</t>
  </si>
  <si>
    <t>RT @YearOfZero: Jeff Smith?
Nobody wants to say the name but I’ll say it. Did the money come from Jeff Smith as rumored? Is #MoLeg investi…</t>
  </si>
  <si>
    <t>RT @YearOfZero: But not #KimShady investigators?
This is a coup
#moleg #mogov @Neilin1Neil @JW1057 @BobOnderMO @KevinCorlew @BillEigel @B…</t>
  </si>
  <si>
    <t>RT @Str8DonLemon: #MoLeg coup plotters entire strategy is banking on the fact that they think the voters won't vote them out.
They are mis…</t>
  </si>
  <si>
    <t>Wake up @STLCountyGOP @TessonFerryGOP @PlatteCountyGOP @MOHouseGOP @MissouriGOP @WashCoMOGOP @MoGOP19 @mogop_jasper @MOGOP_Chairman</t>
  </si>
  <si>
    <t>RT @J_Hancock: In an interview Tuesday w/@BryanLowry3, attorney Al Watkins contradicted @scottfaughn's claim that a $50,000 payment was rel…</t>
  </si>
  <si>
    <t>#MoLeg coup plotters entire strategy is banking on the fact that they think the voters won't vote them out.
They are mistaken.
Coup stops now or you will be voted out. You working for hawleys boys? I hope so becagee claire McCaskill will be reelected.
#mogov #MOSEN @MOHouseGOP https://t.co/3JuGiZklcv</t>
  </si>
  <si>
    <t>RT @YearOfZero: Hey @jaybarnes5 
Your committe is a sham as we all have been saying the whole time.
I hope members of the house aren’t st…</t>
  </si>
  <si>
    <t>RT @Str8DonLemon: Yo #MoLeg
I see you still got ur witch hunt going!
Remember, there would be no second indictment without the first indi…</t>
  </si>
  <si>
    <t>Yo #MoLeg
I see you still got ur witch hunt going!
Remember, there would be no second indictment without the first indictment! Nobody cared about this list last year. 
We know you all are involved. Prepare to be voted out!
Impeach &amp;amp; you will be voted out! 
#mogov #greitens https://t.co/jGrCqpuoo1</t>
  </si>
  <si>
    <t>RT @LibertarianBlue: So here's @YouTube's current policy.
1. Music video featuring pistol shots to the head - fine, age-appropriate, adver…</t>
  </si>
  <si>
    <t>Yo @getongab there is no way for me to save images on your app! Also new color thing is too much. Just give me a night mode button. I dont want to think too hard</t>
  </si>
  <si>
    <t>RT @smart_hillbilly: Josh Hawley's campaign shirts are out! #MOSen #moleg #Greitens #MidTerms #WednesdayWisdom 
#LeadersNotLadders #LadderB…</t>
  </si>
  <si>
    <t>@J_Hancock @EricGreitens I agree</t>
  </si>
  <si>
    <t>RT @J_Hancock: . @EricGreitens’ impeachment team says alleged victim should testify in open, face cross-examination https://t.co/9AHWTd4qZO…</t>
  </si>
  <si>
    <t>How much did Kim Gardners clown show cost?
#moleg #mogov #greitens https://t.co/X76n6MM03w</t>
  </si>
  <si>
    <t>@CStamper_ Shady!</t>
  </si>
  <si>
    <t>RT @CStamper_: Sounds like the FBI is investigating the shady $100,000 cash payment that went to one of the witnesses’ attorney in Soros-ba…</t>
  </si>
  <si>
    <t>RT @IngrahamAngle: Every American should hope that @realdonaldtrump &amp;amp; his team succeed in its work to de-nuclearize the Korean Peninsula. B…</t>
  </si>
  <si>
    <t>@Neilin1Neil @edemery @KathieConway Yup. Kathie would be one of those. She literally kept selling us this lie cuz she dont carr about them voters</t>
  </si>
  <si>
    <t>RT @Neilin1Neil: Some reps/senators against Greitens terms are up, and do not care about threat to not vote for them.
Write letters to edit…</t>
  </si>
  <si>
    <t>RT @caesar718: @Str8DonLemon @HotPokerPrinces @RealTravisCook @MSTLGA @Hope4Hopeless1 @RetNavy93 @grcfay I think there are a lot of people…</t>
  </si>
  <si>
    <t>RT @JW1057: @RealTravisCook Any truth to the report Phil Sneed is founding a new band called "Limp Dick?"
#moleg #mogov #greitens #KimShady…</t>
  </si>
  <si>
    <t>RT @JW1057: @stlcao has suborned perjury, repeatedly lied to the court, and engaged in additional criminal conduct. Should we be concerned…</t>
  </si>
  <si>
    <t>RT @MoScarlet: How about that! Soros-backed #LiarKimGardner made national headlines @FoxNews #MOLEG
#hannity #IngrahamAngle  
https://t.co/…</t>
  </si>
  <si>
    <t>RT @MoScarlet: Attn: #MOLEG Moles and Rats.
On this 14th day of May 2018, in my own free will I contributed my personal donation to @repdot…</t>
  </si>
  <si>
    <t>RT @JW1057: @ws_missouri May want to look into secret Mission Continues donor list. Not so secret when the names are posted on their websit…</t>
  </si>
  <si>
    <t>RT @CStamper_: More bad news for Soros-backed prosecutor Kim Gardner &amp;amp; her handpicked investigator Tisaby: Tisaby is now under investigatio…</t>
  </si>
  <si>
    <t>RT @caesar718: Well well, what do you know?! Complete political witch hunt against @EricGreitens. They should have been in receipt of evide…</t>
  </si>
  <si>
    <t>RT @JW1057: @EricGreitens  I am so proud that you are fighting the good fight. I stand behind you. I know that this was just one battle in…</t>
  </si>
  <si>
    <t>RT @BigJShoota: This is just flatout NOT gonna happen. No govt. official in the #ShowMe State has EVER resigned. 😆😆😆😆
#MoLeg #Mogov #Greit…</t>
  </si>
  <si>
    <t>RT @JW1057: @BryanLowry3 To the contrary this case was all about Ms. Gardner and Mr. Tisaby. Ms. Gardner filed the case and Mr. Tisaby trie…</t>
  </si>
  <si>
    <t>RT @JW1057: @StevenDialTV @41actionnews This is what a persecution (aka witch hunt) looks like. @EricGreitens we are with you through this…</t>
  </si>
  <si>
    <t>RT @rhondas_lil_sis: Hoping #moleg will get back to the work of the people. #WitchHunt https://t.co/jQhE3R91nt</t>
  </si>
  <si>
    <t>RT @JW1057: You should move to unseal court records, including depositions, and use them as exhibits. We are here to fight for you. @Sheena…</t>
  </si>
  <si>
    <t>RT @blackwidow07: @amjoyshow no @EricGreitens will not be impeached. The citizens will make sure that #moleg understand it's not about them…</t>
  </si>
  <si>
    <t>RT @JW1057: @MOHOUSECOMM @MOHouseGOP @MOHouseDems A friendly reminder that a vote to impeach/censure @GovGreitensMO is a vote against your…</t>
  </si>
  <si>
    <t>RT @JW1057: Consent. Committee Failure. Prosecutorial Misconduct. @MoRepEvans @TeamGreitens 
#moleg #mogov #greitens #KimShady #IStandWithG…</t>
  </si>
  <si>
    <t>RT @Mizzourah_Mom: @STL_Blonde @MissouriGOP The sad thing is the #moleg committee said that this will not change anything. They are full st…</t>
  </si>
  <si>
    <t>RT @christoferguson: Kim Gardner screwed this case up bad. And she should feel bad. And so should citizens of #StL City  who are at risk of…</t>
  </si>
  <si>
    <t>RT @Mizzourah_Mom: @Neilin1Neil @EricGreitens @RealTravisCook @Sticknstones4 @KathieConway @inthejungle234 @Norasmith1000 @liberty1776son I…</t>
  </si>
  <si>
    <t>RT @YearOfZero: This is a good thread on what to do to stop THE COUP against #Missouri voters
#moleg #mogov #greitens @MissouriGOP @TeamGr…</t>
  </si>
  <si>
    <t>RT @dbongino: Proposed Dem 2018 Campaign Themes:
- You’re a victim
- You’re defined exclusively by your race, sex, &amp;amp; immigration status
- M…</t>
  </si>
  <si>
    <t>Yo @realDonaldTrump Why does John Kerry get a pass? If he broke the law, treat him just like Flynn was treated. https://t.co/wvNoP4Z8xG</t>
  </si>
  <si>
    <t>RT @Thomas1774Paine: Kerry walks away ... Two sets of laws in this country. Who is tired of this? https://t.co/jDpABRHA7E</t>
  </si>
  <si>
    <t>RT @FriendlyJMC: https://t.co/4CFUYGNUul
Mueller never thought any of the 13 Russian entities would fight back. He was wrong. Now they are…</t>
  </si>
  <si>
    <t>RT @VisioDeiFromLA: Still on here pushing for #MoLeg to screw voters over I see?
@Eric_Schmitt @MOHouseGOP @EricGreitens 
#MOGov #Greiten…</t>
  </si>
  <si>
    <t>RT @VisioDeiFromLA: Scott Chartons buddy Scott Faughn got busted dropping off money to the key witness in the #GreitensTrial
Its clear to…</t>
  </si>
  <si>
    <t>RT @VisioDeiFromLA: Who paid Scott Faughn the money to pay Al Watkins.
We havent forgotten and the issue wont go away.
Guys like Scott Ch…</t>
  </si>
  <si>
    <t>RT @VisioDeiFromLA: Have been  wondering @Eric_Schmitt 
Do you stand with then people and against depriving them of their vote, or with pe…</t>
  </si>
  <si>
    <t>RT @CStamper_: Yesterday we witnessed a political witch hunt designed to force a conservative out of office collapse. Accusations and media…</t>
  </si>
  <si>
    <t>RT @Avenge_mypeople: Here's the guy who gave 50 grand to lawyer Al Watkins. He has some big money backing him. Banks with interest in keepi…</t>
  </si>
  <si>
    <t>RT @VoiceOfPrivileg: To be fair, there is no worse legislator in any legislative body anywhere than @staceynewman. Just an awful, awful per…</t>
  </si>
  <si>
    <t>RT @VisioDeiFromLA: (7) Next on Deck
Scott Fitzpatrick
Will he screw over #Missouri Voters by impeaching?
Call him up, email him and twe…</t>
  </si>
  <si>
    <t>RT @CStamper_: This witch hunt was led by a Soros-backed prosecutor aided by MO Dem. leadership who “encouraged the alleged victim to work…</t>
  </si>
  <si>
    <t>RT @RetNavy93: @Str8DonLemon @Avenge_mypeople @RealTravisCook @Shawtypepelina @philip_saulter @HotPokerPrinces @blackwidow07 @STLCountyGOP…</t>
  </si>
  <si>
    <t>RT @Neilin1Neil: The hostile power in MO is from within #moleg! Very frightening! The people elected Greitens! @EricGreitens @RealTravisCoo…</t>
  </si>
  <si>
    <t>RT @CStamper_: As if having her witch hunt dismissed yesterday weren’t bad enough for Soros-backed prosecutor Kim Gardner, now a police rep…</t>
  </si>
  <si>
    <t>RT @CStamper_: Soros-backed Kim Gardner handpicked an investigator who repeatedly committed perjury, hid evidence, and created false eviden…</t>
  </si>
  <si>
    <t>RT @Norasmith1000: #moleg 
Greitens' lawyer to file police report against Kim Gardner, investigator https://t.co/q205T0uYQK via @fox2now</t>
  </si>
  <si>
    <t>RT @Neilin1Neil: The false charges against Gov. Greitens were dropped. Since that did not work, #moleg will attempt impeachment. #moleg doe…</t>
  </si>
  <si>
    <t>RT @sigi_hill: Smells like #Fraud to me, #LewisAndClarkRealEstate the money laundering pad for #moleg #LIHTC? Could that be the reason why…</t>
  </si>
  <si>
    <t>@ZebraBrat @Avenge_mypeople @RealTravisCook @Shawtypepelina @philip_saulter @HotPokerPrinces @blackwidow07 @STLCountyGOP @MissouriGOP @Hope4Hopeless1 @aaron_hedlund Lol. Its actually overused, but thanks</t>
  </si>
  <si>
    <t>RT @VisioDeiFromLA: Misusing the justice system and impeaching on trumped up charges (or no charges) is NOT a peaceful transfer of power.…</t>
  </si>
  <si>
    <t>RT @caesar718: @MecklesMassacre @EricGreitens Things that make ya go “hmm?!” #KimShady #MoLeg #Greitens</t>
  </si>
  <si>
    <t>RT @VisioDeiFromLA: I dont believe you. 
You have a change of heart?
It's called elections.
They happen every 2 to 4 years. Stealing the…</t>
  </si>
  <si>
    <t>RT @Str8DonLemon: #MoLeg 
Food 4 thought
There would be no special committee if no fake indictment
Think.
U dbags only formed special h…</t>
  </si>
  <si>
    <t>RT @JakeGrayPoliSci: This is why I think #MoLeg should have waited to act. With all the new evidence coming out including Judge Burlison’s…</t>
  </si>
  <si>
    <t>#MoLeg 
Food 4 thought
There would be no special committee if no fake indictment
Think.
U dbags only formed special house panel cuz fake #KimShady charges
Without that, there would be no committe led by Barnes
U know I am right. WITCHHUNT 
#mogov #Greitens #STL #MOSen https://t.co/OrkMQaONSk</t>
  </si>
  <si>
    <t>RT @HotPokerPrinces: Who is Andrew Newman  ? 
More Missouri Tax Credit Drama !
#moleg #STLCards #radiofreeallman #stl #istandwithjamieall…</t>
  </si>
  <si>
    <t>@scottfaughn Scott where did the money come from?</t>
  </si>
  <si>
    <t>RT @Str8DonLemon: @HennessySTL A storm is a brewing! 
#moleg #mogov #Greitens #missouri #MoSen https://t.co/qA4MUDmX5F</t>
  </si>
  <si>
    <t>RT @CStamper_: We are about to find out what happens when a Soros-backed prosecutor takes a case to trial without literally any actual evid…</t>
  </si>
  <si>
    <t>RT @CStamper_: George Soros is expanding the model he has tested in Missouri, where the prosecutor he funded is now leading a witch hunt ag…</t>
  </si>
  <si>
    <t>RT @CStamper_: Soros-backed Kim “Gardner herself met personally with the witness in a motel in Illinois where there were no witnesses and n…</t>
  </si>
  <si>
    <t>RT @JCunninghamMO: A friend tweeted this: “It’s a shame some in #MoLeg are letting their distaste for the Gov ‘s actions cause them to take…</t>
  </si>
  <si>
    <t>RT @88YahamaKeys: @Aletheia_4Truth @molegislature @Bren05_ @rhondas_lil_sis Time will tell.  There was no case to begin with on invasion of…</t>
  </si>
  <si>
    <t>RT @HennessySTL: Tonight feels like 2009 all over again. Maybe we need a little #teaparty in JC #mo? Give #moleg the old George III treatme…</t>
  </si>
  <si>
    <t>@HennessySTL A storm is a brewing! 
#moleg #mogov #Greitens #missouri #MoSen https://t.co/qA4MUDmX5F</t>
  </si>
  <si>
    <t>RT @aaron_hedlund: With that circus over with, the time is ripe for moving forward productively and getting things done for Missouri. #mogo…</t>
  </si>
  <si>
    <t>RT @MoScarlet: #LiarKimGardner Good luck! @DRUDGE_REPORT next...
Bet it wasn't worth a career...However deserving for 
many in the end -&amp;gt; #…</t>
  </si>
  <si>
    <t>RT @RealTravisCook: #KimShady doesn't trust police reports anyhow--that's why she wants her own corrupt office investigating police shootin…</t>
  </si>
  <si>
    <t>RT @joshschisler: @johnrhancock If your side flagrantly violates the law while "investigating" your political adversary, I would not recomm…</t>
  </si>
  <si>
    <t>RT @JW1057: @l_hoffer No. It is an extremely high burden to call prosecutor as a witness. Gardner mishandled this case from the beginning w…</t>
  </si>
  <si>
    <t>RT @STLsherpa: You spend taxpayer money to prosecute a governor. You hire experts, investigate and file charges. Then your case gets dismis…</t>
  </si>
  <si>
    <t>RT @VisioDeiFromLA: IT'S NOT A COUP
IT'S NOT A COUP
IT'S NOT A COUP
IT'S NOT A COUP
IT'S NOT A COUP
IT'S NOT A COUP
IT'S NOT A COUP
IT'S NO…</t>
  </si>
  <si>
    <t>RT @RetNavy93: @rlippmann @tkinder The #moleg better think twice before calling for the Governor to resign. A lot of them are up for reelec…</t>
  </si>
  <si>
    <t>Bro u havent been paying attention. Story is made up https://t.co/pZkzJeTL1t</t>
  </si>
  <si>
    <t>RT @EricGreitens: Today, the prosecutor dropped the false charges against me.
This was a great victory and a long time coming. I've said f…</t>
  </si>
  <si>
    <t>RT @DeplorableGoldn: RT🚨👇
Boom!
We have a circuit attorney in St. Louis, not a District Attorney. This was a felony invasion of privacy cha…</t>
  </si>
  <si>
    <t>RT @aaron_hedlund: What we observed today was a politically motivated, incompetent prosecutor with no evidence throw in the towel rather th…</t>
  </si>
  <si>
    <t>RT @VisioDeiFromLA: It's COUP Time!
Not even an apology 4 dragging #greitens through the mud on false charges! 
Now #MoLeg looks to disre…</t>
  </si>
  <si>
    <t>RT @HennessySTL: Now, that crooked Kim Gardner dropped fraudulent charges, it’s time for the people to take down the crooks trying to overt…</t>
  </si>
  <si>
    <t>RT @strmsptr: So it is official, This #GreitensTrial will be centered on three year old hearsay testimony. No photos. Pure waste of the tax…</t>
  </si>
  <si>
    <t>Where is the police report?
Oh wait Kim Gardner didnt go to the police and instead hired some "OUTSIDE PROSECUTORS"
She has no evidence either.
What a waste of tax payers money #stlouis 
#missouri #mogov #moleg #greitens #GreitensTrial https://t.co/SFUZ1KO0GV</t>
  </si>
  <si>
    <t>RT @Str8DonLemon: Remember #MoLeg
No evidence.
She dont even have the photo!
The whole case based on that!
When do we disbar Crooked Kim…</t>
  </si>
  <si>
    <t>Remember #MoLeg
No evidence.
She dont even have the photo!
The whole case based on that!
When do we disbar Crooked Kim Gardner???
#mogov #GreitensTrial #Greitens #KimShady #StLouis https://t.co/EhZPVaKEuo</t>
  </si>
  <si>
    <t>RT @TomJEstes: School admins like this guy are now openly opposing a bill that would require public schools to work harder to make sure kid…</t>
  </si>
  <si>
    <t>RT @HotPokerPrinces: Republicans &amp;amp; Democrats profited off this scam
The Witch Hunt is a Bi Partisan Effort 
Corrupt Money Supply &amp;amp; Greed…</t>
  </si>
  <si>
    <t>RT @CStamper_: Soros spent "more than $3 million into seven local district-attorney campaigns in six states over the past year,” &amp;amp; his inve…</t>
  </si>
  <si>
    <t>RT @HotPokerPrinces: HOW TAX CREDITS CONTINUED FOR SO LONG
Follow the Money 💰 
DEVELOPERS 
BANKS
SPECIAL INTERESTS 
LOBBYIST &amp;amp; POLITICAL O…</t>
  </si>
  <si>
    <t>RT @netanyahu: We are happy to host the distinguished US delegation in Israel representing President Trump: Deputy Secretary of State John…</t>
  </si>
  <si>
    <t>The story of America is us conquering and invading land.
Sorry but your stupid poem doesnf dictate immigration policy https://t.co/tEbmjh0Xtg</t>
  </si>
  <si>
    <t>It's a poem. Its not law https://t.co/tEbmjh0Xtg</t>
  </si>
  <si>
    <t>RT @derekahunter: No, that is literally a poem written as a fundraiser to pay for a base for the statue. And that's "literally" all it is.…</t>
  </si>
  <si>
    <t>RT @marklevinshow: Reckless Mueller https://t.co/IqdIDhcTen</t>
  </si>
  <si>
    <t>RT @jeepsuzih2: This is Such a Disgrace to know the media spent 30 seconds on prisoners return from N. Korea 
With our PresidentTrump there…</t>
  </si>
  <si>
    <t>RT @MasonBilly87: Melania Trump dazzles at state dinner with France https://t.co/36IRdla90x</t>
  </si>
  <si>
    <t>RT @magathemaga1: FLASHBACK #moleg #mogov
Remember this? 
This is when @EricGreitens cut off the gravy train. This was late last year....…</t>
  </si>
  <si>
    <t>RT @rhondas_lil_sis: I couldn’t agree more. It’s a shame that some  #MoLeg are letting their distaste for the Gov ‘s actions cause them to…</t>
  </si>
  <si>
    <t>RT @HotPokerPrinces: Special interests Ripping off Missouri Taxpayers 
Eric Greitens stood up for Taxpayers to end this corrupt scam  
TIM…</t>
  </si>
  <si>
    <t>RT @CStamper_: Soros-backed Kim Gardner wasted over $100,000 in taxpayer money to bring in a Harvard professor who today angered the judge…</t>
  </si>
  <si>
    <t>RT @CStamper_: In both D.C. and Missouri, “prosecutors are pursuing a sitting Republican executive with criminal or potentially criminal ch…</t>
  </si>
  <si>
    <t>RT @Sticknstones4: 8)  NO COERCION  👇👇👇
Katrina testified to giving Consent 
The behind closed door 🚪 house committee lead a series of que…</t>
  </si>
  <si>
    <t>RT @JW1057: Hmm! 2 times in 12 years. 1 time wasn't really cheating? Were Kitty and Phil on a break so it didn't count (Ross &amp;amp; Rachel on Fr…</t>
  </si>
  <si>
    <t>RT @magathemaga1: Sorry @dcexaminer @ByronYork 
EG innocent 
Get out here 2 #moleg 2 investigate properly
#Missouri media is in cover up…</t>
  </si>
  <si>
    <t>RT @magathemaga1: Who is "The Funder"?
Where is the money coming from?
It wasn’t Scott’s Money. IRS NEEDS TO GET INVOLVED
#Greitens #Gre…</t>
  </si>
  <si>
    <t>RT @Sticknstones4: @KDNLABC30 @38sport @Connections22 
By airing on location, you’re accessory to @scottFaughn evading a supoena 
You are…</t>
  </si>
  <si>
    <t>RT @JW1057: @KRCG13 Now they are going to try and taint the jury itself during trial. They are going to hold hearing when @EricGreitens can…</t>
  </si>
  <si>
    <t>RT @magathemaga1: Who is "The Funder"?
Where is the money coming from?
It wasn’t Scott’s Money. 
#Greitens #GreitensTrial #mogov #moleg…</t>
  </si>
  <si>
    <t>RT @magathemaga1: Keep spinning tony.
You and charton ain't going to make the question of where Scott Faughn got his money go away.
Basic…</t>
  </si>
  <si>
    <t>RT @magathemaga1: 🚨 #MoSen Poll 🚨 
I may not be a West Butler County Hillbilly, but I am a West DC Fake Deputy Attorney General Swamp Mons…</t>
  </si>
  <si>
    <t>RT @magathemaga1: Says a lot about journalism in #Missouri when @MariaChappelleN only one asking hard questions
Where is Scott?
And where…</t>
  </si>
  <si>
    <t>RT @JW1057: 2/2 What was spent on two other experts and Enterra? Plus additional work. Don't you wonder if the CAO is actually paying these…</t>
  </si>
  <si>
    <t>RT @magathemaga1: Where did Scott Faughn Get the money? 
About time we get the IRS involved @MissouriGOP 
@MOGOP_Chairman @gatewaypundit…</t>
  </si>
  <si>
    <t>RT @JW1057: @MariaChappelleN Watkins says he received $120k. Sullivan's contract is capped at $120k. Coincidence?
#moleg #mogov #greitens #…</t>
  </si>
  <si>
    <t>RT @NickBSchroer: Senator also fails to mention #moleg House passed massive ethics reform and gift ban out of House past two yrs under @Rep…</t>
  </si>
  <si>
    <t>RT @magathemaga1: What is @tonymess going to report?
U cant gag the public.
Judge OKd use of the names for media. Why arent you naming th…</t>
  </si>
  <si>
    <t>RT @magathemaga1: Anybody know what @MariaChappelleN meant???
#moleg #mogov #Greitens #GreitensTrial #StLouis #stl
@Rep_TRichardson @elij…</t>
  </si>
  <si>
    <t>RT @magathemaga1: Quit trying to change the subject.
Your talking about dark money. Let’s talk about dark money.
Who Gave Scott Faughn th…</t>
  </si>
  <si>
    <t>RT @JW1057: @KMOXKilleen @EricGreitens No proof of transmission (plus other problems) means no case. Dismissal time @stlcao! You manipulate…</t>
  </si>
  <si>
    <t>RT @magathemaga1: Messenger still doesn’t care who gave Scott Faughn his money though.
This is why the St. Louis Post dispatch has no cred…</t>
  </si>
  <si>
    <t>RT @magathemaga1: Well it was interesting, wasn’t it? 
You were on location?
Still evading that subpoena, Scott?
Where did you get the m…</t>
  </si>
  <si>
    <t>RT @NickBSchroer: Would love to hear why @robschaaf supports initiative funded by #DarkMoney in sum of hundreds of thousands from progressi…</t>
  </si>
  <si>
    <t>RT @CStamper_: Soros-backed Kim Gardner is wasting big time taxpayer dollars on a Harvard professor who simply laughs at the judge after th…</t>
  </si>
  <si>
    <t>RT @magathemaga1: Hi #moleg
1. No Photo
2. Find Scotty!
3. #MoGov COUP!
4. Moleg Collusion with #KimShady
5. Inconsistent testimony (she l…</t>
  </si>
  <si>
    <t>RT @JW1057: @mffisher Please get the facts straight about what we know regarding the affair between @EricGreitens and Katrina. @JamesMNHarr…</t>
  </si>
  <si>
    <t>RT @ResignNowKim: @magathemaga1 @scottfaughn @Neilin1Neil @RealTravisCook @blackwidow07 @Norasmith1000 @Shawtypepelina @willscharf @DerekGr…</t>
  </si>
  <si>
    <t>RT @Sticknstones4: When you have cash payments , closed door sessions, indictments without evidence &amp;amp; witnesses evading a supoena   You bet…</t>
  </si>
  <si>
    <t>RT @magathemaga1: @tonymess since U dont want people talking about Stacey Newman's friend or her inconsistent testimony (lies) &amp;amp; perhaps he…</t>
  </si>
  <si>
    <t>RT @magathemaga1: @ResignNowKim @scottfaughn @Neilin1Neil @RealTravisCook @blackwidow07 @Norasmith1000 @Shawtypepelina @willscharf @DerekGr…</t>
  </si>
  <si>
    <t>RT @magathemaga1: "The Thing"?
Sounds like The Coup
Saying that in such a way presupposes there was plan in motion
"Failure to..." indic…</t>
  </si>
  <si>
    <t>RT @CStamper_: Soros-backed Kim Gardner’s witness, the supposed victim’s “ex-husband -- who divorced her over the affair with Greitens -- v…</t>
  </si>
  <si>
    <t>RT @magathemaga1: @RGreggKeller 
Was going through #MoLeg tweets &amp;amp; a tweet of yours caught my eye
Whipping votes?  
“Failure to see ‘The…</t>
  </si>
  <si>
    <t>RT @magathemaga1: SPECULATION #MOLEG
Why does media lack any curiosity as to where @scottfaughn's 💰 came from?
What if media knows where…</t>
  </si>
  <si>
    <t>RT @CStamper_: Soros-backed Kim Gardner’s witch hunt centers on whether or not a photograph was taken. “The prosecution does not have the p…</t>
  </si>
  <si>
    <t>RT @VisioDeiFromLA: @EdBigCon @sarahkendzior @StaarVellocet Sarah is an idiot. Hey Sarah how many times have you been wrong about russia?…</t>
  </si>
  <si>
    <t>RT @CStamper_: Soros’ with hunt is reaching its apex in Missouri where his prosecutor is currently trying to oust Missouri’s Republican Gov…</t>
  </si>
  <si>
    <t>RT @magathemaga1: Find The Funder, Find The Key
✔️Where is Scott Faughn
✔️Who gave him the money?
✔️Who is Skyler?
👉Who lost the most fro…</t>
  </si>
  <si>
    <t>RT @TomJEstes: Superintendent openly endorses @clairecmc See #moleg ? These people aren’t on your side. We need to ignore the educrats and…</t>
  </si>
  <si>
    <t>RT @TomJEstes: Let the boycotting begin. #findscott #moleg https://t.co/DV1khaaYgb</t>
  </si>
  <si>
    <t>RT @CStamper_: Already two days into jury selection and Soros-backed Kim Gardner is still desperately in search of evidence she should have…</t>
  </si>
  <si>
    <t>RT @realDonaldTrump: President Xi of China, and I, are working together to give massive Chinese phone company, ZTE, a way to get back into…</t>
  </si>
  <si>
    <t>RT @IngrahamAngle: Hold the line, Mr. President. Also know you’re under huge pressure from biz interests who say you’re being too hard on C…</t>
  </si>
  <si>
    <t>RT @JackPosobiec: John Kerry Spotted In Secret Meeting With Iranian Officials As Bolton Threatens EU Firms With Sanctions https://t.co/vIYS…</t>
  </si>
  <si>
    <t>RT @BoLoudon: Retweet if you are proud of @realDonaldTrump https://t.co/YslrDKz0eY</t>
  </si>
  <si>
    <t>RT @JW1057: Katrina "Kitty" Sneed doesn't believe her own accusations against @EricGreitens. Kitty embraces metoo and refers to secret phot…</t>
  </si>
  <si>
    <t>RT @JW1057: Were Philip Sneed and Al Watkins trying to blackmail @EricGreitens ? Philip, Eric wasn't in your life he was in Kitty's life. K…</t>
  </si>
  <si>
    <t>RT @Sticknstones4: The Great Greitens Railroading 
There’s No Photo 
#greitens #greitenstrial #soros #missouri #stlouis #stl #kimshady…</t>
  </si>
  <si>
    <t>RT @JW1057: Does anyone know, or believe that they know, the affair between @EricGreitens and Katrina Sneed began earlier that 3/21/15?  Ph…</t>
  </si>
  <si>
    <t>RT @Lautergeist: Sounds like the #greitenstrial
 https://t.co/vF79c5nq6X</t>
  </si>
  <si>
    <t>RT @ThomasSowell: “One of the reasons it has taken so long for some people to finally see through Barack Obama is that people do not like t…</t>
  </si>
  <si>
    <t>RT @TomJEstes: It’s time to put pressure on the stations that carry Scott’s show. No network should be airing a TV show who’s host is evadi…</t>
  </si>
  <si>
    <t>RT @Trader_Moe: Trump is ending the pharmacist gag rule, which prevents pharmacists from telling consumers how they can save money on drugs…</t>
  </si>
  <si>
    <t>RT @RealJamesWoods: Five ISIS leaders killed. If this had happened under Obama, the press would have given him another tongue bath.</t>
  </si>
  <si>
    <t>RT @MarkDice: Since ABC canceled Last Man Standing after Tim Allen denounced the liberal lunatics and PC police in Hollywood, Fox will soon…</t>
  </si>
  <si>
    <t>#greitenstrial #GreitensCriminalTrial 
#Greitens #stlouis #Missouri #stl #moleg #mogov #NoNotesTisaby #KimShady https://t.co/UyLniWxf2p</t>
  </si>
  <si>
    <t>RT @Str8DonLemon: @internalmonolo2 #moleg #mogov #Greitens
#GreitensTrial 
Liberals &amp;amp; establishment GOP still hasn't figured it out yet, e…</t>
  </si>
  <si>
    <t>RT @Hope4Hopeless1: @Buschbeer2015 @RealTravisCook @ResignNowKim @Nanci2GH @VisioDeiFromLA @JW1057 @joelcurrier @HereLiesMoon @SheenaGreite…</t>
  </si>
  <si>
    <t>RT @DeplorableGoldn: RT 🚨
1. Newman Lynch Mob 
@StaceyNewman seems 2 be Involved In #greitens witch hunt in some way. She also helped orga…</t>
  </si>
  <si>
    <t>RT @memoriadei: There is so much hate going on about my #MoGov #GreitensTrial that I cannot tell Democrats from Republicans!  Now that is N…</t>
  </si>
  <si>
    <t>RT @VisioDeiFromLA: Source of Faughn’s Money?
Did Simpson also get money bag dropped to him in the middle of the night? 
Simpson, Sneed,…</t>
  </si>
  <si>
    <t>RT @SKOLBLUE1: I see my boss in that meeting, well done! @EricGreitens you are doing a wonderful job! Thank you for your hard work and dedi…</t>
  </si>
  <si>
    <t>RT @VisioDeiFromLA: Outsider advice
U screwed a man. Lied about him. Released incomplete report, timed 4 maximum political damage
U all a…</t>
  </si>
  <si>
    <t>RT @memoriadei: I am ashamed of #moleg the first time in the 15 yrs I have been in this great state.  Your pressure in posts and #media hav…</t>
  </si>
  <si>
    <t>@internalmonolo2 #moleg #mogov #Greitens
#GreitensTrial 
Liberals &amp;amp; establishment GOP still hasn't figured it out yet, even after trump.
The people do not roll over anymore.
Citizens fight back.
Courage is contagious. When a brave man takes a stand, the spines of others are often stiffened https://t.co/OTuBqFeUrL</t>
  </si>
  <si>
    <t>RT @Str8DonLemon: One of my favs to describe this whole mess.
Follow the money!
#greitenstrial #GreitensCriminalTrial 
#Greitens #stlouis…</t>
  </si>
  <si>
    <t>RT @memoriadei: Too bad #moleg #MOHouse #mosen is more interested in #GreitensTrial than they have about #prolife with babies being butcher…</t>
  </si>
  <si>
    <t>One of my favs to describe this whole mess.
Follow the money!
#greitenstrial #GreitensCriminalTrial 
#Greitens #stlouis #Missouri #stl #moleg #mogov @971FMTalk @jallman971 #RadioFreeAllman @FOX2now @DRUDGE @MissouriGOP https://t.co/n3XQw9vqBy</t>
  </si>
  <si>
    <t>#greitenstrial #GreitensCriminalTrial 
#Greitens #stlouis #Missouri #stl #moleg #mogov https://t.co/GmgvhEiiUu</t>
  </si>
  <si>
    <t>RT @HotPokerPrinces: Fake News in the making
💰💵 + 👨🏼‍💻👨🏻‍💻 = Nothing Burger 🍔 
#findfaughn #greitens #moleg https://t.co/91Go8i3wjQ</t>
  </si>
  <si>
    <t>RT @LouDobbs: Pence stands shoulder to shoulder with @realDonaldTrump against Mueller, declares it’s time to wrap it up'. Now Ryan @ McConn…</t>
  </si>
  <si>
    <t>RT @MarkDice: Anderson Cooper can barely get a million viewers to watch him, yet he's paid $45,000 PER EPISODE.  CNN is subsidized propagan…</t>
  </si>
  <si>
    <t>RT @wheelerdavid: For you libtards that understand things better with pictures, here’s the difference between leading from behind with weak…</t>
  </si>
  <si>
    <t>#greitenstrial #GreitensCriminalTrial 
#Greitens #stlouis #Missouri #stl #moleg #mogov https://t.co/UI13zkCfxk</t>
  </si>
  <si>
    <t>RT @Str8DonLemon: #greitenstrial #GreitensCriminalTrial 
#Greitens #stlouis #Missouri #stl #moleg #mogov #GreitensIndictment
@MissouriGOP…</t>
  </si>
  <si>
    <t>#greitenstrial #GreitensCriminalTrial 
#Greitens #stlouis #Missouri #stl #moleg #mogov https://t.co/oeRpN3ufFI</t>
  </si>
  <si>
    <t>RT @christoferguson: Remind me again why a bench trial was not allowed? #Moleg https://t.co/Es26FwocMA</t>
  </si>
  <si>
    <t>RT @J_Hancock: . @MariaChappelleN says she plans to go one by one through the 34-member Senate, asking each Senator if they know where @sco…</t>
  </si>
  <si>
    <t>RT @magathemaga1: Waiting 4 @ScottCharton to get off phone with @scottfaughn as they figure how 2 spin latest news showing this 2 be scam a…</t>
  </si>
  <si>
    <t>#greitenstrial #GreitensCriminalTrial 
#Greitens #stlouis #Missouri #stl #moleg #mogov #GreitensIndictment
@MissouriGOP @CaseyNolen @JackPosobiec https://t.co/D0PIwNGCG2</t>
  </si>
  <si>
    <t>RT @Str8DonLemon: #greitenstrial #GreitensCriminalTrial 
#Greitens #stlouis #Missouri #stl #moleg #mogov https://t.co/Tcq3XVqljp</t>
  </si>
  <si>
    <t>RT @VisioDeiFromLA: Another question:
Kim Gardner (#KimShady)
Don Tisaby (#TriflingTisaby)
Scott Simpson
Katrina Sneed
All met in “a hote…</t>
  </si>
  <si>
    <t>RT @magathemaga1: WitchHunt Still On!
#ScammingScott running media while RUNNING FROM MEDIA!
#MoneyBagsAl got 20k MORE!
#KimShady is, well…</t>
  </si>
  <si>
    <t>RT @HotPokerPrinces: #donnybrookST
Let’s talk about Lobbyists and Special Interests 
funneling cash to Scott Faughn 
120k to take Down #gre…</t>
  </si>
  <si>
    <t>RT @HotPokerPrinces: MEDIA, TIME TO STOP GETTING YOUR STRINGS PULLED BY SCOTT FAUGHN
 FOLLOW THE MONEY !
120K CASH BUYS A FAKE SEX SCANDA…</t>
  </si>
  <si>
    <t>RT @memoriadei: For so many who say they believe in our Constitution and justice system, there seems to be a lot who believe #Greitens is g…</t>
  </si>
  <si>
    <t>RT @Str8DonLemon: #greitenstrial #GreitensCriminalTrial 
#Greitens #stlouis #Missouri #stl #moleg #mogov https://t.co/xG4jFCQx4q</t>
  </si>
  <si>
    <t>RT @magathemaga1: @Sticknstones4 @shesova @EricGreitens @TuckerCarlson @FoxNews @molegislature Follow the money!
#MoLeg #mogov #Greitens #…</t>
  </si>
  <si>
    <t>#greitenstrial #GreitensCriminalTrial 
#Greitens #stlouis #Missouri #stl #moleg #mogov https://t.co/xG4jFCQx4q</t>
  </si>
  <si>
    <t>#greitenstrial #GreitensCriminalTrial 
#Greitens #stlouis #Missouri #stl #moleg #mogov https://t.co/5aZzcc79v3</t>
  </si>
  <si>
    <t>#greitenstrial #GreitensCriminalTrial 
#Greitens #stlouis #Missouri #stl #moleg #mogov https://t.co/Tcq3XVqljp</t>
  </si>
  <si>
    <t>RT @VisioDeiFromLA: #MoLeg
U lied/slandered a man. A kinky, consensual affair U all knew about
Denied presumption of innocence. Fairness.…</t>
  </si>
  <si>
    <t>RT @MSTLGA: @RonFRichard You’re derelict of your duty 
The governor can sign passed bills into law 
Stop screwing Missouri Voters with yo…</t>
  </si>
  <si>
    <t>RT @EdBigCon: @sarahkendzior @StaarVellocet #Fact Bought and paid for GOPe are the ones trying to impeach him.  Hafner was fired because he…</t>
  </si>
  <si>
    <t>RT @MSTLGA: FOLLOW THE MONEY
Who was the source of the 120K Cash ?
#Moleg #MoGov #Greitens https://t.co/d1nMvvWoBc</t>
  </si>
  <si>
    <t>RT @JW1057: @jmannies People are entitled to know who Katrina Sneed and Philip Sneed are. The fact is the people to blame are Philip for ma…</t>
  </si>
  <si>
    <t>RT @MSTLGA: Simply Outrageous Behavior 
Not Shocking Though
This is what the Far Left has Resulted too 
Sumbodybetter start to investigate…</t>
  </si>
  <si>
    <t>RT @HotPokerPrinces: WHEN THE SHERIFF GIVES YOU A HUG  &amp;amp; PATS YOU ONTHE BACK FOR SUPPORT 
YOU KNOW ITS A WITCH HUNT  !    GO GOVERNOR GREI…</t>
  </si>
  <si>
    <t>RT @RealTravisCook: Hey now--the kitty (Sneed, that is) screwed the Governor just as much as he screwed her.  She's just as much to blame f…</t>
  </si>
  <si>
    <t>RT @magathemaga1: Good Morning #MoLeg
We need to talk
We still dont know where Scott Faughn is
We still dont know where the money came f…</t>
  </si>
  <si>
    <t>RT @MattsIdeaShop: Captain Cocaine Mitch, Sailing The High Seas With A Boat Full Of Pure ‘White Whale’ Straight From The China People. http…</t>
  </si>
  <si>
    <t>RT @Avenge_mypeople: In case you haven't seen the latest article describing how @staceynewman used Kitty Sneed to attempt to bring down Gov…</t>
  </si>
  <si>
    <t>RT @HotPokerPrinces: The Acuser never said she was coerced into a sex act
In fact she said she gave consent. relations were consensual 
Th…</t>
  </si>
  <si>
    <t>RT @HotPokerPrinces: House Committee has not yet heard Greitens side of the story.  He has stated, post trial he will be able to share his…</t>
  </si>
  <si>
    <t>RT @TomJEstes: I thoroughly enjoy watching @Koenig4MO destroy pro abortion arguments on the Senate Floor. #moleg</t>
  </si>
  <si>
    <t>RT @Norasmith1000: Kim Gardner conspired with lead witness and #moleg Dems to bring down our Governor. Dirty Dems are getting good at this…</t>
  </si>
  <si>
    <t>RT @Jesus_isPeace: Why #StLouis #CircuitAttorney #KimGardner Must Be Investigated—and Stopped!
#MOGovernor #EricGreitens #CCOT #PJNet #MoL…</t>
  </si>
  <si>
    <t>RT @TomJEstes: I wonder how many pages on Jane’s iPad Pro are filled with “all work and no play makes Jane a dull girl” ?? #moleg #mogov ht…</t>
  </si>
  <si>
    <t>RT @melody_grover: Why all the interest in @HafnerMO? The ultimate #FakeNews is interviewing fired campaign consultants whose sense of ethi…</t>
  </si>
  <si>
    <t>RT @TomJEstes: @MariaChappelleN is blowing @scottfaughn up right now!! Scott! Where are you Scott??!! Hilarious! #moleg #findscott</t>
  </si>
  <si>
    <t>RT @Beatlebaby64: @Aletheia_4Truth @Bren05_ @Lautergeist @88YahamaKeys @SpeakerTimJones That’s right ladies! Only 9 legislative days remain…</t>
  </si>
  <si>
    <t>RT @Sticknstones4: MISSOURI COLLUSION 
MEMES DONT LIE  BUT #MOLEG DOES
Corrupt Politicians, Prosecutor, Political Operatives
Payoff &amp;amp; Uni…</t>
  </si>
  <si>
    <t>RT @Sticknstones4: #DONNYBROOKSTL
Please discuss #MoLeg Collusion https://t.co/MtEfW3y0EZ</t>
  </si>
  <si>
    <t>RT @CStamper_: Why were #moleg Democratic leaders texting with the lead witness and communicating with Soros-backed prosecutor Kim Gardner…</t>
  </si>
  <si>
    <t>RT @magathemaga1: Can somebody ask Maria what she meant by her tweet:
"Scott Faughn-Tilley-Parson-Republic Services-Exelon connection"
Is…</t>
  </si>
  <si>
    <t>RT @VisioDeiFromLA: "What happens when an “activist” runs of out enemies to fight? What happens when society rewards false accusers &amp;amp; victi…</t>
  </si>
  <si>
    <t>RT @MSTLGA: Fake News Missouri Times
Stories Pimped to You and 
Paid For by Lobbyists &amp;amp; special interests groups 
Bought Narratives are not…</t>
  </si>
  <si>
    <t>RT @magathemaga1: #Missouri Media
Scott Faughn DICTATING journalism in state, as none of U, with few exceptions, will report where money h…</t>
  </si>
  <si>
    <t>RT @magathemaga1: ATTENTION #moleg 
Has anybody seen Scott Faughn?
Is anybody asking:
✔Where his money came from?
✔What was it for?
✔Why…</t>
  </si>
  <si>
    <t>RT @ATeamMom1: Let @staceynewman know we the people have had it with her destructive, hateful, Marxist, Alinsky tactics. #RFA #RadioFreeAll…</t>
  </si>
  <si>
    <t>12. #Missouri  #GreitensIndictment
#MOSen #MoGov #greitens #MoSen #KimShady #STL #kcmo #moleg
@EricGreitens @MissouriGOP #stlouis #KansasCity https://t.co/qM6qpMX6vE</t>
  </si>
  <si>
    <t>11. #Missouri  #GreitensIndictment
#MOSen #MoGov #greitens #MoSen #KimShady #STL #kcmo #moleg
@EricGreitens @MissouriGOP #stlouis #KansasCity https://t.co/0oHqrnFdNM</t>
  </si>
  <si>
    <t>RT @Str8DonLemon: 10. #Missouri  #GreitensIndictment
#MOSen #MoGov #greitens #MoSen #KimShady #STL #kcmo 
@EricGreitens @MissouriGOP https…</t>
  </si>
  <si>
    <t>RT @JW1057: @jrosenbaum @EricGreitens @mattmfm 
Greitens vs Schneiderman. 
#moleg #mogov #greitens #KimShady #IStandWithGreitens https://…</t>
  </si>
  <si>
    <t>RT @CStamper_: “A prosecutor knows not to meet a witness alone. It’s simply not done.” Yet Soros-backer prosecutor Kim Gardner and her “lea…</t>
  </si>
  <si>
    <t>10. #Missouri  #GreitensIndictment
#MOSen #MoGov #greitens #MoSen #KimShady #STL #kcmo 
@EricGreitens @MissouriGOP https://t.co/YOrFjCFSkb</t>
  </si>
  <si>
    <t>RT @Str8DonLemon: 9. #moleg #mogov #Greitens #STL #GreitensImpeachment #GreitensCriminalCase #kcmo #stlouis #WitchHunt #maga https://t.co/d…</t>
  </si>
  <si>
    <t>RT @Str8DonLemon: Good morning #moleg 
Where is Scott Faughn?
Where did his money come from?
FOLLOW THE MONEY
Notice certain people who…</t>
  </si>
  <si>
    <t>9. #moleg #mogov #Greitens #STL #GreitensImpeachment #GreitensCriminalCase #kcmo #stlouis #WitchHunt #maga https://t.co/dAHXFi7Bbg</t>
  </si>
  <si>
    <t>Good morning #moleg 
Where is Scott Faughn?
Where did his money come from?
FOLLOW THE MONEY
Notice certain people who will scream about dark money yet now that Scotty been dropping some money they want the subject to change.
Follow the money!!!
#mogov #Greitens #STL https://t.co/JuHSKCz5zb</t>
  </si>
  <si>
    <t>8. 4.  #moleg #mogov #Greitens #STL #GreitensImpeachment #GreitensCriminalCase #kcmo #stlouis #WitchHunt #maga https://t.co/zp7IgvXkEJ</t>
  </si>
  <si>
    <t>7. #moleg #mogov #Greitens #STL #GreitensImpeachment #GreitensCriminalCase #kcmo #stlouis #WitchHunt #maga https://t.co/Cc72GvltBV</t>
  </si>
  <si>
    <t>RT @SpeakerTimJones: So another self-righteous, sanctimonious, “holier than thou”, fake, fraud Dem goes down. Head’s up @staceynewman - #MO…</t>
  </si>
  <si>
    <t>RT @TomJEstes: Things continue to go down hill for poor Scott. #findscott #MOLeg https://t.co/nNIYRsTxdp</t>
  </si>
  <si>
    <t>RT @HotPokerPrinces: Oh  #Moleg  
Slimey Scott Faughn delivers 70k  cash  &amp;amp; than hides 
To evade a supoena
Bad Times for The Missouri Ti…</t>
  </si>
  <si>
    <t>RT @magathemaga1: It's illegal
Daca never constitutional, but even so @realDonaldTrump offered a very generous offer that he didnt have to…</t>
  </si>
  <si>
    <t>RT @ResignNowKim: @ScottCharton Oooh Oooh I know what’s on it! BAM!!!!!!! HAHAHAHAHAHA! #moron #moleg #mogov https://t.co/He8Q1UoVv4</t>
  </si>
  <si>
    <t>RT @magathemaga1: Maybe Schneiderman is guilty and @EricGreitens is innocent?
Certainly the contradictory testimony from KS (She Lied) wou…</t>
  </si>
  <si>
    <t>RT @magathemaga1: You know the hairdresser and abuse story is completely made up Chelsea.... it was a consensual affair.
Not paying attent…</t>
  </si>
  <si>
    <t>RT @DeplorableGoldn: RT 🚨
. @EricGreitens attorneys want to question @scottfaughn but they’ve been unable to serve him with a subpoena.
“F…</t>
  </si>
  <si>
    <t>RT @magathemaga1: Why would Eric resign over a fake story?
You still believe that ?
✔Contradictory testimony (she lied)
✔Money dropped of…</t>
  </si>
  <si>
    <t>RT @DeplorableGoldn: WT actual f is going on?! 
#MOLeg #mogov #STL #StaceyNewman #KimShady #GreitensIndictment 
#MOSen #WitchHunt #greitens…</t>
  </si>
  <si>
    <t>RT @VisioDeiFromLA: Hey Pam, 
You talking about the fake hairdresser story?
Pay attention to what's going on with the case and you will r…</t>
  </si>
  <si>
    <t>RT @DeplorableGoldn: I would like an explanation from her!  This is ridiculous! @staceynewman #StaceyNewman #GreitensIndictment #MOLeg #mog…</t>
  </si>
  <si>
    <t>RT @DeplorableGoldn: #WitchHunt @staceynewman #StaceyNewman #MOLeg #mogov #MOsen #GreitensIndictment https://t.co/RQi5XA0iwo</t>
  </si>
  <si>
    <t>RT @magathemaga1: I have to give @scottfaughn some credit. This making him look like ultimate media mogul in #Missouri cuz MO media FOLLOWI…</t>
  </si>
  <si>
    <t>RT @TrumpChess: @DeplorableGoldn @staceynewman Mo lawmakers will block you in less than 2 seconds--they can't allow others to see us puttin…</t>
  </si>
  <si>
    <t>RT @magathemaga1: @pochelp @VisioDeiFromLA @EricGreitens Oh but they are lying.
Take for example the failure to cross examine the witness…</t>
  </si>
  <si>
    <t>RT @VisioDeiFromLA: So predictable scott.
Sorry but your lame narrative wont work.
Everybody knows the KS blackmail story is fake includi…</t>
  </si>
  <si>
    <t>RT @ResignNowKim: So, @tonymess got tired of me complaining he wasn’t doing his job, wasn’t asking obvious questions-like where did the dam…</t>
  </si>
  <si>
    <t>RT @VisioDeiFromLA: You do know that the hairdresser story is fake, dont you?
#Greitens shouldnt resign if he isnt guilty and as the contr…</t>
  </si>
  <si>
    <t>6. HT @Steffi_Cole 
#Missouri #moleg #mogov #MOSen
#kcmo #stl #TeamLiberty @AP4Liberty @LadderBoy26 @HawleySightings https://t.co/Mw9EhgbB5n</t>
  </si>
  <si>
    <t>5. For my #MoSen friends 
@AP4Liberty @Monetti4Senate @SykesforSenate 
@AvrilMai91 @FN4AP @Steffi_Cole @ChanelRion @jeffreyscarson 
#moleg #mogov #ladderboy #Missouri #StLouis #KansasCity #kcmo #stl https://t.co/MS1xBwIHZp</t>
  </si>
  <si>
    <t>4.  #moleg #mogov #Greitens #STL #GreitensImpeachment #GreitensCriminalCase #kcmo #stlouis #WitchHunt #maga #Newsmax https://t.co/NvaOybBp47</t>
  </si>
  <si>
    <t>RT @Str8DonLemon: 1. Yo #MoLeg
In a MEME MOOD TODAY! 
Gonna just post all the memes I've made or others have made and post them since the…</t>
  </si>
  <si>
    <t>3. #moleg #mogov #greitens #GreitensImpeachment #GreitensCriminalCase #STL #kcmo https://t.co/gSsHMH4WSo</t>
  </si>
  <si>
    <t>2. #moleg #mogov #Greitens #STL #GreitensImpeachment #GreitensCriminalCase #kcmo #stlouis https://t.co/eHv5ChuUVA</t>
  </si>
  <si>
    <t>1. Yo #MoLeg
In a MEME MOOD TODAY! 
Gonna just post all the memes I've made or others have made and post them since they tell the story well about a lot of things from the #Missouri Senate race to the #GreitensIndictment
#MOSen #MoGov #greitens #MoSen #KimShady #STL #kcmo https://t.co/Qjn2x8ohpW</t>
  </si>
  <si>
    <t>RT @mopns: Greitens Defense Team Say Additional $20k Paid to Ex Husband’s Attorney https://t.co/tsGu6IPZK5</t>
  </si>
  <si>
    <t>RT @VisioDeiFromLA: Stacey Newman &amp;amp; KS TEXTS 
Coordinating with KG?
“Ms. Newman sent a text to K.S., providing K.S. the name and phone nu…</t>
  </si>
  <si>
    <t>RT @mopns: Rep. Stacy Newman &amp;amp; Key Prosecution Witness Collude But Judge Allows Her Testimony Anyway https://t.co/r0uL66A0IW</t>
  </si>
  <si>
    <t>RT @VisioDeiFromLA: Where is your buddy Faughn?
As I’ve said yesterday, nothing U says has credibility if U don’t address ALL aspects of c…</t>
  </si>
  <si>
    <t>RT @TrumpChess: The deep state swamp of corrupt politicians want you and @POTUS to resign or be impeached -- show me some evidence! Keep up…</t>
  </si>
  <si>
    <t>RT @Norasmith1000: #moleg #mogov https://t.co/Ad1jU43Yuu</t>
  </si>
  <si>
    <t>RT @TrumpChess: @VisioDeiFromLA @Str8DonLemon If this all stated over a possible pic taken with EG smart phone (may have been a dream) why…</t>
  </si>
  <si>
    <t>RT @HotPokerPrinces: #kimshady #greitens #moleg https://t.co/B20MFdNkJ9</t>
  </si>
  <si>
    <t>RT @JW1057: @StLCountyRepub @EricGreitens @TeamGreitens @SheenaGreitens 
I am truth and justice and @stlcao and @jaybarnes5 are frauds!…</t>
  </si>
  <si>
    <t>RT @RealTravisCook: #KimShady needs to go. 10 murders in her city in 10 days--but she's focused on railroading Governor #Greitens instead o…</t>
  </si>
  <si>
    <t>RT @magathemaga1: FYI #GreitensCriminalCase
This is a complete and total witch hunt!
@RealTravisCook 
@Eric_Schmitt 
@MOHouseGOP 
@Missou…</t>
  </si>
  <si>
    <t>RT @VisioDeiFromLA: That CAO is seeking warrant 4 cell phone &amp;amp; email account week before trial SAYS EVERYTHING
1. This should've been done…</t>
  </si>
  <si>
    <t>RT @CStamper_: “One of the lead witnesses in this case... was paid for his testimony and participation, by forces unknown. The prosecutor k…</t>
  </si>
  <si>
    <t>RT @magathemaga1: The #GreitensIndictment FACTS
#moleg #mogov #MOSen #missouri #stlouis #STL #kcmo #greitenscriminalcase #KansasCity #Witc…</t>
  </si>
  <si>
    <t>RT @VisioDeiFromLA: 100 percent agree
 News Media 
Do your jobs
Or U R no better than The Missouri Times
👉Where did #ScammingScott's mo…</t>
  </si>
  <si>
    <t>RT @magathemaga1: Apparently 70 grand dropped off 2 #MoneyBagsAl not 50k
✔Meanwhile, who is Skyler?
✔What was money for?
✔Where did #Scamm…</t>
  </si>
  <si>
    <t>RT @magathemaga1: LOL!!!
WitchHunt Still On!
#ScammingScott running media while RUNNING FROM MEDIA!
#MoneyBagsAl got 20k MORE!
#KimShady…</t>
  </si>
  <si>
    <t>RT @VisioDeiFromLA: So, we still have investigative reporters, don't we?
This is very critical.
It needs to be investigated and it  shows…</t>
  </si>
  <si>
    <t>RT @jrosenbaum: BTW: I used term $120K because apparently, according to Greitens attorney Jim Martin, @scottfaughn delivered $20K in additi…</t>
  </si>
  <si>
    <t>RT @JW1057: @Norasmith1000 No photo. 
No witness who ever saw alleged photo.
No evidence of what alleged photo depicted.
No evidence of sub…</t>
  </si>
  <si>
    <t>RT @CStamper_: Soros-backed “Kim Gardner has clearly, repeatedly and consistently violated the ethics of her profession and brought disgrac…</t>
  </si>
  <si>
    <t>RT @CStamper_: Soros-backed prosecutor Kim Garner “needs to be removed from office in order to send a message to prosecutors around the nat…</t>
  </si>
  <si>
    <t>RT @JW1057: @KurtEricksonPD @stltoday That @stlcao is seeking a warrant for cell phone and e-mail account a week before trial says everythi…</t>
  </si>
  <si>
    <t>RT @JW1057: @KRCG13 That @stlcao is seeking a warrant for cell phone and e-mail account a week before trial says everything. (1) This shoul…</t>
  </si>
  <si>
    <t>RT @CStamper_: Soros-backed Kim Gardner “has ignored cases that were easy wins, prosecuted cops with what looks like outright malice, and l…</t>
  </si>
  <si>
    <t>RT @Norasmith1000: @JW1057 @KRCG13 @stlcao Gardner is getting desperate isn't she?!?! Still no picture I'm guessing, maybe because there IS…</t>
  </si>
  <si>
    <t>RT @CStamper_: While Soros-backed prosecutor Kim Gardner focused on her political witch hunt, “almost half of all felony cases from 2018 ha…</t>
  </si>
  <si>
    <t>RT @DowellTeam: The latest Gardner Connect! https://t.co/4xPzmPDlQN Thanks to @VisioDeiFromLA #greitens #moleg</t>
  </si>
  <si>
    <t>RT @magathemaga1: I wasn't joking #Missouri media
0 reporting on where money to #MoneyBagsAl came from makes U look like puppets &amp;amp; like Sc…</t>
  </si>
  <si>
    <t>RT @VisioDeiFromLA: Lol still pushing this lame tripe.
The public is woke.
The #MoLeg GOP are swamp
@EricGreitens is an OUTSIDER
Sorry…</t>
  </si>
  <si>
    <t>RT @HennessySTL: Meet the Mole. Soon. Very soon. #moleg you will never forget. https://t.co/D2Wpg4I3e6</t>
  </si>
  <si>
    <t>RT @HotPokerPrinces: THE PHOTO 📸
No Device 
No Knowledge of such Picture from KS
No photo of Nudity
No transmission of photo 
#Greitens #m…</t>
  </si>
  <si>
    <t>RT @CJheartart: Don’t fall for this! It’s as dirty for Missouri as a initiative can be! #moleg #BeInformed https://t.co/GlLJ1VHIXN</t>
  </si>
  <si>
    <t>RT @HotPokerPrinces: THE NAKED TRUTH THE MEDIA REFUSES TO TELL YOU
KS testified in her deposition n June 2015 she used FaceTime with greit…</t>
  </si>
  <si>
    <t>RT @magathemaga1: #Missouri Media
Scott Faughn DICTATING journalism in state, as none of U, with few exceptions, will report on where mone…</t>
  </si>
  <si>
    <t>RT @JW1057: @chrisregniertv @TeamGreitens @stlcao @StLCountyRepub @MissouriGOP @MissouriTimes @SheenaGreitens 
The persecution of @EricGre…</t>
  </si>
  <si>
    <t>RT @TomJEstes: I came across this today. Is this a thing? Is Scott hiding from a subpoena?? #moleg https://t.co/bJD6lj7Ofs</t>
  </si>
  <si>
    <t>RT @PrisonPlanet: Kanye may not be the most eloquent person or have the perfect message.
But simply having authenticity and amplifying a m…</t>
  </si>
  <si>
    <t>RT @Sticknstones4: And that key player was Stacey Newman.  Texts were found from her to Ks conspiring with house dem leadership &amp;amp; Kim Gardn…</t>
  </si>
  <si>
    <t>RT @Sticknstones4: Oh dear God , yet another shooting  to add 
This weekends violence 
Has it even been a full hour since  i tweeted out t…</t>
  </si>
  <si>
    <t>RT @VisioDeiFromLA: Havent seen you tweet in a while.
Funny your not showing any concern for the money to this Phillip Sneeds Lawyer via #…</t>
  </si>
  <si>
    <t>RT @VisioDeiFromLA: Tweets from PS 
These are actions of somebody who is mad his wife CHEATED ON HIM with @EricGreitens 
Not actions of a…</t>
  </si>
  <si>
    <t>RT @VisioDeiFromLA: Why would Scott Charton not tweet or do commentary on his buddy Scott Faughn’s involvement in all this?
Not saying you…</t>
  </si>
  <si>
    <t>RT @VisioDeiFromLA: Why #STL CA Kim Gardner Must Be Investigated—and Stopped
"#StLouis CA Kim Gardner has clearly, repeatedly &amp;amp; consistent…</t>
  </si>
  <si>
    <t>@DuellLauderdale Let's do this. I offer my meme services to the best man! 
@AP4Liberty @Monetti4Senate @SykesforSenate</t>
  </si>
  <si>
    <t>RT @DuellLauderdale: No matter who you support in #MOSen primary I think we should want to see robust #debate. Incldng a traditional live d…</t>
  </si>
  <si>
    <t>RT @SKOLBLUE1: Has anyone in #Missouri seen @scottfaughn ? Has anyone seen a #corrupt politician or owner of the #MissouriTimes ? Rachel Du…</t>
  </si>
  <si>
    <t>RT @magathemaga1: 🚨 POLL TIME 🚨 
Good evening #MoLeg #MoGov
In the event that @EricGreitens resigns or is impeached over this witch hunt…</t>
  </si>
  <si>
    <t>RT @magathemaga1: #MoLeg #Mogov
What's all this talk about Scott Faughn going into hiding?
It's ok cuz even if he was, I'm sure #MISSOURI…</t>
  </si>
  <si>
    <t>RT @parscale: As @realDonaldTrump and @GregAbbott_TX create policies that create record low unemployment. It is liberals like Weak-kneed @R…</t>
  </si>
  <si>
    <t>RT @Str8DonLemon: Clean Missouri = Baby Killing 
#Moleg #mogov #cleanmissouri https://t.co/3Wf6PRB4YT</t>
  </si>
  <si>
    <t>RT @TrumpChess: @StacyLStiles @realDonaldTrump @POTUS @Hoosiers1986 @RuthieRedSox @ClintonMSix141 @AMErikaNGIRLBOT @Fuctupmind @John_KissMy…</t>
  </si>
  <si>
    <t>RT @puckroger: #moleg there are hundreds of thousands of Voters just like me who were watching this carefully One misstep up from the impea…</t>
  </si>
  <si>
    <t>RT @sigi_hill: Rep Stacey Newman, Missouri House Dem Leadership &amp;amp; St Louis Circuit Attorney Kim Gardner CONSPIRED with Greitens Mistress. @…</t>
  </si>
  <si>
    <t>RT @Sticknstones4: @jaybar5 YOU &amp;amp; YOUR SHAM COMMITTEE NEED TO READ ! 
ALL OF MOLEG NEEDS TO READ ! 
#moleg #greitens 
Why St. Louis Circu…</t>
  </si>
  <si>
    <t>Competent prosecutors usually dont have their people lie about evidence
What we will see over next few days are a bunch of people, some with law degrees, totally ignore good legal strategy in light of all the crookedness coming out of #KimShady's office
#moleg #mogov #Greitens https://t.co/nI6EMDFXce</t>
  </si>
  <si>
    <t>RT @ResignNowKim: @RGreggKeller @BarklageCompany @johnrhancock Grassroots ain’t happy.  Judgment day’s a comin’.  Are your candidates prepa…</t>
  </si>
  <si>
    <t>RT @VisioDeiFromLA: 4. The lack of any charges brought in the stabbing of Trent Brewer
#moleg #mogov #kimshady #stlouis #Greitens #Greiten…</t>
  </si>
  <si>
    <t>RT @magathemaga1: 1. Newman Lynch Mob 
Stacey Newman seems 2 be Involved In #greitens witch hunt in some way. She also helped organize wit…</t>
  </si>
  <si>
    <t>RT @HotPokerPrinces: Scott Faughn in hiding Evading Supoena Service for Deposition 
Bag Man that dropped 5Ok to attorney Al Watkins 
#Mol…</t>
  </si>
  <si>
    <t>RT @magathemaga1: Another dead body in Democrat ran  #Stlouis 
And all Democrats can think about is how they can smuggle more illegal alie…</t>
  </si>
  <si>
    <t>RT @VisioDeiFromLA: 2. The destruction of evidence and the failure to disclose evidence, time and time again.
#moleg #mogov #kimshady #stl…</t>
  </si>
  <si>
    <t>RT @VisioDeiFromLA: 5. The issues in Kim Gardner’s office management
#moleg #mogov #kimshady #stlouis #Greitens #GreitensIndictment #stl #…</t>
  </si>
  <si>
    <t>RT @VisioDeiFromLA: 9. A judge forcing Kim Gardner’s office to recuse itself in the 2014 Bevo Mill hammer attack case
#moleg #mogov #kimsh…</t>
  </si>
  <si>
    <t>RT @VisioDeiFromLA: 10. Her interaction with a police officer to obtain information about guests at the Chase Park Plaza hotel
#moleg #mog…</t>
  </si>
  <si>
    <t>RT @VisioDeiFromLA: 12. "I don’t think it will take an investigating authority to find clear evidence of wrongdoing. Unlike the #Greitens i…</t>
  </si>
  <si>
    <t>RT @VisioDeiFromLA: 11. "This is not the behavior of a normal prosecutor. It isn’t even the behavior of a below-average prosecutor. It’s be…</t>
  </si>
  <si>
    <t>RT @VisioDeiFromLA: 3. The hiring of out-of-state private investigators who engaged in dubious record-keeping and questionable personal beh…</t>
  </si>
  <si>
    <t>RT @Norasmith1000: @HotPokerPrinces Well, we all knew there was a good reason Kitty fought so hard to keep the defense from getting hold of…</t>
  </si>
  <si>
    <t>RT @HotPokerPrinces: HAS ANYBODY SEEN SCOTT FAUGHN  &amp;amp; HIS STEIN OF BS
WHERE IS JEFF HIDING YOU ?
#moleg https://t.co/oz9FBbLMzS</t>
  </si>
  <si>
    <t>RT @Sticknstones4: Missouri has A Drug Trafficking Problem
 #Moleg #stl https://t.co/Rka3RvXssT</t>
  </si>
  <si>
    <t>RT @VisioDeiFromLA: Key points of this article
1. The inappropriate contact between Kim Gardner, the lead witness in this case, and member…</t>
  </si>
  <si>
    <t>RT @KurtSchlichter: Boy, that collusion and Logan Act stuff sure vanished in a puff of smoke in the last 24 hours, huh?</t>
  </si>
  <si>
    <t>RT @LouDobbs: House Intel Committee Chairman Nunes: "Send in the G-Men" to Arrest John Kerry for Violating Logan Act https://t.co/W7lu26aCp…</t>
  </si>
  <si>
    <t>RT @AJA_Cortes: Muscles can be trained 
Intelligence can be trained 
Learning can be trained 
Mindset can be trained 
Thinking can be t…</t>
  </si>
  <si>
    <t>RT @RosieR1949: @realDonaldTrump @mike_pence 
Absolutely! Rosenstein &amp;amp; Sessions MUST go! They refuse to turn over documents to Congress, R…</t>
  </si>
  <si>
    <t>@RyanOnTheRight @STL_Blonde I'm the best parody account in Missouri politics https://t.co/1hvCDDMle9</t>
  </si>
  <si>
    <t>RT @STL_Blonde: I just got followed by a parody account called "Straight Don Lemon  🍋 🚻 @Str8DonLemon", y'all and these parody accounts.</t>
  </si>
  <si>
    <t>RT @IWillRedPillU: New York Magazine's Liberal Reporter Olivia Nuzzi Burglarized Corey Lewandowski’s Home, Bragged- Posting Photos on Twitt…</t>
  </si>
  <si>
    <t>RT @RealCandaceO: Race is a business—don’t you ever forget that. People like Al Sharpton, Maxine Waters, and Jesse Jackson are the top exec…</t>
  </si>
  <si>
    <t>RT @sweetatertot2: @RealCandaceO It's disgraceful that after Trump helped for years Jessie Jackson &amp;amp; Al Sharpton in their "civil rights" ac…</t>
  </si>
  <si>
    <t>RT @BerelIndig: Should John Kerry' life be ruined just like Michael Flynn' (had to sell his house to pay legal finds, reputation dead etc.)…</t>
  </si>
  <si>
    <t>RT @Str8DonLemon: But if you do impeach for a cheap kinky affair, voters of #Missouri will never trust #MoLeg again
#mogov #Greitens https…</t>
  </si>
  <si>
    <t>RT @Norasmith1000: It' so damn clear to most that Kim Gardner shouldn't be practicing law!! She is corrupt AF, it's been obvious for awhile…</t>
  </si>
  <si>
    <t>Clean Missouri = Baby Killing 
#Moleg #mogov #cleanmissouri https://t.co/3Wf6PRB4YT</t>
  </si>
  <si>
    <t>RT @JCPenknife: @ChrisHayesTV @scottfaughn Did anyone look in (say it with me) west Butler County? #greitensindictment #moleg</t>
  </si>
  <si>
    <t>RT @TomJEstes: Well, looky here. Looks like the baby killers support the Soros funded “Clean” Missouri. #moleg https://t.co/2CnpKj9q2P</t>
  </si>
  <si>
    <t>@Engelhardt_Dan It has to be stopped.</t>
  </si>
  <si>
    <t>RT @Engelhardt_Dan: Another reason to not support @CleanMissouri. #moleg https://t.co/w1OU5czwms</t>
  </si>
  <si>
    <t>@RobVescovo Agreed. We may disagree on a lot of thinks but we have to come together and defeat this</t>
  </si>
  <si>
    <t>RT @RobVescovo: This.......
Clean Missouri is a Farce. Clean Missouri is a sham and designed to get Republicans out of the way. https://t.c…</t>
  </si>
  <si>
    <t>@NickBSchroer Agreed. We may disagree on a lot of thinks but we have to come together and defeat this</t>
  </si>
  <si>
    <t>RT @NickBSchroer: This #CleanMissouri is another attempt to further Dirty Politics in our state by putting the only current Democrat state…</t>
  </si>
  <si>
    <t>But if you do impeach for a cheap kinky affair, voters of #Missouri will never trust #MoLeg again
#mogov #Greitens https://t.co/Dr5AG5oP2E</t>
  </si>
  <si>
    <t>RT @magathemaga1: I may only be a West DC Fake Deputy AG, but I DO KNOW based on public info, Scott Faughn &amp;amp; Stacey Newman are 2 of the big…</t>
  </si>
  <si>
    <t>RT @SpeakerTimJones: Missourians will send a loud message that Nazi sympathizer leftwing lunatic @georgesoros is assuredly not welcome in T…</t>
  </si>
  <si>
    <t>RT @magathemaga1: #MoGov JUSTICE AWARD goes to ...
MARIA CHAPELLE NADAL
I have criticisms, but you recognized that everybody deserves due…</t>
  </si>
  <si>
    <t>RT @KamVTV: America; The only country where people check their food stamp balance on a $900 smart phone and complain about oppression.</t>
  </si>
  <si>
    <t>Bro. I've got an amazing meme idea but who does Hawley remind u of? https://t.co/KRhV0R64o7</t>
  </si>
  <si>
    <t>@Steffi_Cole @VisioDeiFromLA @AP4Liberty Hahah Austin people working it on cinco. Take a break. Drink up. I'll be at the Sheraton getting plastered on 1 dollar margaritas.</t>
  </si>
  <si>
    <t>RT @covfefeartist: 9 Dem Senate seats up 4 grabs!
👇🏻
Sen Manchin WV⬇️14
Sen Heitkamp ND⬇️8 
Sen Donnelly IN⬇️5
Sen Tester MT⬇️5
Sen Nelson…</t>
  </si>
  <si>
    <t>RT @gspatton007: In many Countries failed Coup Perps are HANGED
after a quick but fair trial
BUT U.S. Justice system can be abused so that…</t>
  </si>
  <si>
    <t>@TomJEstes For real tweet me some points, I'll whip up some memes. Looks like people waited to last min on clean energy scam</t>
  </si>
  <si>
    <t>RT @RealTravisCook: Cinco De Ported!!!!! #cincodemayo2018 https://t.co/Yeyl0JRWWa</t>
  </si>
  <si>
    <t>@RealTravisCook Lol</t>
  </si>
  <si>
    <t>RT @KimberlyMrsR1: @SusanIverach Good Morning Tweeps! https://t.co/8soEfV5WC7</t>
  </si>
  <si>
    <t>RT @VisioDeiFromLA: @GovGreitensMO Speaking at the Missouri Law Enforcement Memorial
A solemn event honoring those that gave all
BACK THE…</t>
  </si>
  <si>
    <t>RT @magathemaga1: #MoLeg #MoGov 
Governor #Greitens is currently speaking at the annual Law Enforcement Memorial Service to remember all o…</t>
  </si>
  <si>
    <t>RT @realJLogan: The #CrookedPin has reached $36 so far with 6 days left! Thats $61 for @AP4Liberty 's campaign! #moleg #MAGA #AP4Sen #Crook…</t>
  </si>
  <si>
    <t>RT @EdBigCon: @GovGreitensMO Speaking at the Missouri Law Enforcement Memorial.
What a solemn event honoring those that gave all. #moleg ht…</t>
  </si>
  <si>
    <t>RT @VisioDeiFromLA: So @ksdknews having this woman on 2 explain #GreitensIndictment? 
Read her book, her ideas &amp;amp; observations of #Missouri…</t>
  </si>
  <si>
    <t>RT @VisioDeiFromLA: It's not a witch hunt 
It's not a witch hunt 
It's not a witch hunt 
It's not a witch hunt 
It's not a witch hunt 
It's…</t>
  </si>
  <si>
    <t>RT @SKOLBLUE1: @stlpublicradio @ScottCharton "It's too bad we couldn't have gotten the Missouri Legislature to go after the crime in St. Lo…</t>
  </si>
  <si>
    <t>RT @HotPokerPrinces: Follow this Money Trail 💵💰💵💰👇👇
Check the Republic Services, Tilley, Bardgett, Lathrop &amp;amp; Gage money trail
Who are the…</t>
  </si>
  <si>
    <t>RT @RealJamesWoods: I can’t in my lifetime remember when a case of this import featured a judge calling the prosecutor a liar from the benc…</t>
  </si>
  <si>
    <t>RT @TheLastRefuge2: In what legal world-view does a "prosecutor approve a search warrant"?  Isn't that what judges are for? 👇
One would th…</t>
  </si>
  <si>
    <t>RT @RepAndyBiggsAZ: Judge T.S. Ellis III might be on the verge of bringing lawful accountability to Robert Mueller's witch hunt against @PO…</t>
  </si>
  <si>
    <t>RT @horowitz39: Nice fantasy. I said the reason that leftist haters and the Democratic party call Trump a "white nationalist" is because he…</t>
  </si>
  <si>
    <t>RT @TrumpsDC: Any Republican that says Robert Mueller is a stand-up guy &amp;amp; should be able to finish his investigation is hoping for the same…</t>
  </si>
  <si>
    <t>@RealTravisCook Holy crap I was 30 day banned got discussing putting troops on the border. Just discussing it! wtf!</t>
  </si>
  <si>
    <t>RT @JAntonioM4: @KamalaHarris AND IT IS COMING MAINLY FROM THE LEFT!!!!!
Ask @kanyewest 
Ask @realDonaldTrump 
Ask @PressSec 
Ask @Rich…</t>
  </si>
  <si>
    <t>RT @RodStryker: Before Obama we had...
✔No ISIS
✔No BLM
✔No ANTIFA
✔No WAR on COPS
George Soros found his puppet in Manchurian Candidate…</t>
  </si>
  <si>
    <t>RT @VisioDeiFromLA: Hey Sarah, 
What do you make of the fact of yesterday’s news that came out from the recent filings on the #Greitens ca…</t>
  </si>
  <si>
    <t>RT @HotPokerPrinces: #Greitens Mistress LOL’s !!! When her friend proposes she might be Rich when the story 1st broke 
#moleg 
https://t.…</t>
  </si>
  <si>
    <t>RT @HotPokerPrinces: Rep Stacey Newman, Missouri House Dem Leadership &amp;amp; St Louis Circuit Attorney Kim Gardner CONSPIRED with Greitens Mistr…</t>
  </si>
  <si>
    <t>@TomJEstes Don't get cocky. Act like you are losing. Get motivated</t>
  </si>
  <si>
    <t>RT @TomJEstes: Hilarious. If the 2nd amendment is the number one issue in 2018, Republicans will pick up seats. #moleg https://t.co/UrGUvsI…</t>
  </si>
  <si>
    <t>RT @Sticknstones4: That is a problem. How in hell can you know someone is guilty but not know what he is guilty of? Sounds like a sham to m…</t>
  </si>
  <si>
    <t>RT @Norasmith1000: @Sticknstones4 @jaybarnes5 If anyone at all doubted this was a witch hunt, they only need to see this to change their mi…</t>
  </si>
  <si>
    <t>@TomJEstes Have to get word out</t>
  </si>
  <si>
    <t>RT @TomJEstes: Thanks to 1500 Soros-funded liars, this far left gerrymandering will go on the ballot. It’s no problem though, once people k…</t>
  </si>
  <si>
    <t>RT @atensnut: We did not elect President Trump to be our Spiritual Advisor....BUT..IF I find out he slept with Hillary, I’m done. #MAGA @re…</t>
  </si>
  <si>
    <t>RT @Str8DonLemon: Feliz Cinco De Mayo #MoLeg #Mogov !
Margaritas at @flystl Chili's! 
#Greitens news:
1. KS text messages EXPOSED
2. 100…</t>
  </si>
  <si>
    <t>RT @Sticknstones4: GOOD MORNING CROOKED #MOLEG 
@mikelkehoe @elijahhaahr @DougLibla25 @robschaaf
@RonFRichard @jaybarnes5 @shawnrhoads154…</t>
  </si>
  <si>
    <t>Feliz Cinco De Mayo #MoLeg #Mogov !
Margaritas at @flystl Chili's! 
#Greitens news:
1. KS text messages EXPOSED
2. 100 k paid 2 WATKINS
3. Scotty HIDING?
4. Who is SKYLER?
5. WITCH HUNT
FOLLOW THE 🤑🤑🤑
Hay Mucho #Dinero en #Missouri !
#stlouis #kcmo #stl #CincoDeMayo https://t.co/MuQuPsToyJ</t>
  </si>
  <si>
    <t>RT @HotPokerPrinces: Some Hard Evidence of a #witchhunt in #Greitens   #moleg involvement in Lies
Gov. Greitens' lawyers: 'The lying and c…</t>
  </si>
  <si>
    <t>RT @EliLake: Hey @SallyQYates is this a Logan Act violation? https://t.co/u27V3ymH0M</t>
  </si>
  <si>
    <t>RT @edromojo: Justin Bieber Throws Support to Kanye West https://t.co/PWB3RrUJQU</t>
  </si>
  <si>
    <t>RT @mamendoza480: @CNN Too bad you never want to hear the stories of your fellow Americans killed by ILLEGAL ALIENS.  My son killed by a re…</t>
  </si>
  <si>
    <t>RT @ChrisHayesTV: MO Gov defense motion says politics were in play starting 1-11 when MO Rep texted alleged victim “my House Dem leadership…</t>
  </si>
  <si>
    <t>RT @Sticknstones4: #Moleg  &amp;amp; #KimShady Shame on You !   You conspired to unseat a duly elected governor 
#greitens #witchhunt 
Gov. Greite…</t>
  </si>
  <si>
    <t>RT @magathemaga1: #MoSen #MoGov #MoLeg 
🚨 POLL TIME 🚨
Which Senate candidate will back @realDonaldTrump the most and end this UNCONSTITUT…</t>
  </si>
  <si>
    <t>WTF
WTF
#MOLEG #mogov #Greitens #stlouis  #Missouri https://t.co/KfCtderRwM</t>
  </si>
  <si>
    <t>RT @Norasmith1000: @ChrisHayesTV So am I understanding this correctly.  MO rep Stacy Newman (who is very vocal about her hatred for Greiten…</t>
  </si>
  <si>
    <t>RT @RetNavy93: @stl7thward @EricGreitens You need to shut your trap and get over it. We the citizens of Missouri elected the Governor in to…</t>
  </si>
  <si>
    <t>RT @anniefreyshow: In studio with #Missouri State Rep @NickBSchroer to talk #GreitensSpecialSession and the #moleg.</t>
  </si>
  <si>
    <t>RT @magathemaga1: ⚠️ #MoneyBagsAl Update ⚠️
"Lawyers for Al Watkins are trying to block a subpoena seeking records on who is paying their…</t>
  </si>
  <si>
    <t>RT @magathemaga1: #GREITENS ALERT
ht: @ChrisHayesTV 
"MO Gov's defense says recently discovered text messages reveal possibility alleged v…</t>
  </si>
  <si>
    <t>RT @aaron_hedlund: Al Watkins clearly has mastered the art of having fun at his job. Granted, the collateral damage is facilitating corrupt…</t>
  </si>
  <si>
    <t>RT @magathemaga1: "MO Gov defense motion says politics in play starting 1-11 when MO Rep texted alleged victim “my House Dem leadership ins…</t>
  </si>
  <si>
    <t>RT @memoriadei: #Ialegis #Iowa thank you!! #Heartbeat #ProLife 
And #moleg you should be instead of witch hunting!</t>
  </si>
  <si>
    <t>RT @magathemaga1: 🚨 #MoLeg #MoGov #MoSen 🚨
POLL TIME!!!!
With new information coming 2 light about how accuser KS coordinated with lawmak…</t>
  </si>
  <si>
    <t>RT @magathemaga1: The more we learn on the  #GreitensIndictment, the more we begin to realize, when reporters FOLLOW THE MONEY, &amp;amp; facts com…</t>
  </si>
  <si>
    <t>RT @HotPokerPrinces: Major Developments in #Greitens 
Gov. Greitens' lawyers: 'The lying and concealing has not stopped' https://t.co/fuWB…</t>
  </si>
  <si>
    <t>@jordanbpeterson You need to always record yourself also when you do these interviews</t>
  </si>
  <si>
    <t>RT @CommodoreBTC: @jordanbpeterson you should make doing any interview contingent on release of an unedited version</t>
  </si>
  <si>
    <t>RT @T_S_P_O_O_K_Y: As it's obvious to us on the sidelines, apparently it's now obvious to a federal judge:  accuses Mueller's team of 'lyin…</t>
  </si>
  <si>
    <t>RT @Thomas1774Paine: WATCH: Valerie Jarrett, Who Lives in Obama’s Basement, Claims Her Landlord is Responsible for New Low Unemployment Rat…</t>
  </si>
  <si>
    <t>@tgilbert_13 @walshgina @EricGreitens @GOP No a grand jury decided that. And the bar is low with a grand jury and they were lied to!</t>
  </si>
  <si>
    <t>@tgilbert_13 @walshgina @EricGreitens @GOP And it's funny how you completely ignore the fact that they lied about evidence.
Let me ask you: have black men been unfairly convicted in America? You act like corruption In our justice system isnt a thing</t>
  </si>
  <si>
    <t>@tgilbert_13 @walshgina @EricGreitens @GOP He did and you havent been paying attention.
The entire attorneys office is corrupt.
PLEASE STUDY MY TWEETS on the matter. 
You have to take it one case at a time 
Also why did the woman keep coming back? PAY ATTENTION</t>
  </si>
  <si>
    <t>@tedcruz LION TED https://t.co/vfpYZagVT6</t>
  </si>
  <si>
    <t>RT @tedcruz: "Full endorsement for this man: Ted Cruz!"
Let's #KeepTexasRed: https://t.co/rzQF953OZx #TXSen #NRA #2A https://t.co/A76PPyOX…</t>
  </si>
  <si>
    <t>RT @DLoesch: A room full of NRA women just raised thousands of dollars for the School Shield program, a program that helps schools across t…</t>
  </si>
  <si>
    <t>RT @charliekirk11: Once you give up your rights don’t expect to get them back</t>
  </si>
  <si>
    <t>RT @melody_grover: Unproven allegations. You also have a strange conception of time if March to May (the time stamp is May 29) counts as "j…</t>
  </si>
  <si>
    <t>RT @magathemaga1: When U support witch hunts &amp;amp; not allowing fairness...
...YOU SUPORT #Putin 
"Show me the man, I'll show U the crime" --…</t>
  </si>
  <si>
    <t>RT @magathemaga1: Lying to people about what Clean Missouri is and having SOROS backed dollars paying clipboard carriers is nothing to be p…</t>
  </si>
  <si>
    <t>RT @HotPokerPrinces: WHO IS  SKYLER ROSS
@RonFRichard 
WAS HE BAG MAN #2 
#MOLEG  #GREITENS #50K
WHAT WOULD MEC SAY ABOUT YOUR ERRAND B…</t>
  </si>
  <si>
    <t>RT @magathemaga1: These are great AND ACCURATE points. Thanks for sharing!
Yes Barnes was reckless releasing this before trial!
Yes this…</t>
  </si>
  <si>
    <t>RT @VisioDeiFromLA: @EricGreitens Keep up great work. Real strength is continuing to do the people’s work day to day in spite of EVIL force…</t>
  </si>
  <si>
    <t>RT @JW1057: A response to Edward 'Chip' Robertson Jr. @TeamGreitens @EricGreitens @SheenaGreitens @StLCountyRepub @MOHOUSECOMM 
#moleg #mo…</t>
  </si>
  <si>
    <t>RT @JW1057: @KRCG13 Yes. I am not aware of corrupt legislative leaders ever previously trying to stage a coup d'état in MO. 
#moleg #mogov…</t>
  </si>
  <si>
    <t>RT @JW1057: @RonFRichard do you have anything to tell the people of MO?
@gcmitts @jeanielauer @TommiePierson @Rep_TRichardson @TeamGreiten…</t>
  </si>
  <si>
    <t>RT @CStamper_: “The actions of the Circuit Attorney and her sidekick investigator are reprehensible. They have greatly prejudiced the defen…</t>
  </si>
  <si>
    <t>RT @JW1057: Why did then"investigative committee" release a doctored "transcript?" It is NOT a transcript. Why would KS refer to herself as…</t>
  </si>
  <si>
    <t>RT @Sticknstones4: #MOLEG SENATORS 
WE APPRECIATE &amp;amp; SALUTE YOU
FOR RESPECTING YOUR CONSTITUENTS &amp;amp; THE WILL OF #MISSOURI VOTERS
SEN MARIA…</t>
  </si>
  <si>
    <t>RT @Sticknstones4: SHAME ON EVERY SINGLE ONE OF YOU
THAT CONSPIRED 
SHAME ON YOU 
#MOLEG https://t.co/9nzNTszGAn</t>
  </si>
  <si>
    <t>RT @CStamper_: “In order to conceal the video and then notes taken by Mr. Tisaby, everyone had to be on the same page. So, in her depositio…</t>
  </si>
  <si>
    <t>RT @CStamper_: Soros-backed prosecutor Kim Gardner’s “pattern of skirting the rules and law which are the foundation of the criminal justic…</t>
  </si>
  <si>
    <t>RT @CStamper_: “There is no doubt that this case smells of politics. Missouri Times and Scott Faughn’s heavy cash involvement leaves little…</t>
  </si>
  <si>
    <t>Hey @J_Hancock 
How come stacey Newman didnt?
#moleg #mogov #mosen #mosenate https://t.co/17dACl3oZc</t>
  </si>
  <si>
    <t>RT @CStamper_: A Democrat state rep texted the alleged victim encouraging her to get a lawyer and providing Soros-backed prosecutor Kim Gar…</t>
  </si>
  <si>
    <t>RT @CStamper_: “As the old saying goes, ‘you don’t know what you don’t know.’ Who else is being paid for their testimony? What other inform…</t>
  </si>
  <si>
    <t>RT @CStamper_: “He sat twelve inches from her, he took ten pages of notes, he asked for specific quotes, he asked her to spell names, and s…</t>
  </si>
  <si>
    <t>RT @CStamper_: Soros-backed prosecutor Kim Gardner has already been sanctioned by the court in this witch hunt. Her handpicked investigator…</t>
  </si>
  <si>
    <t>RT @RealJamesWoods: "We don't want anyone in this country with unfettered power. It's unlikely you're going to persuade me the special pros…</t>
  </si>
  <si>
    <t>RT @realDonaldTrump: Going to Dallas (the GREAT State of Texas) today. Leaving soon!</t>
  </si>
  <si>
    <t>RT @realDonaldTrump: JUST OUT: 3.9% Unemployment. 4% is Broken! In the meantime, WITCH HUNT!</t>
  </si>
  <si>
    <t>RT @realDonaldTrump: All of us here today are united by the same timeless values. We believe that our liberty is a gift from our creator, a…</t>
  </si>
  <si>
    <t>RT @Styx666Official: Most of those shootings were suicides or single-actor shootings that just happened to be on or near a campus.
Virtual…</t>
  </si>
  <si>
    <t>RT @larryelder: By suggesting, in effect, that @kanyewest "turned white" because he thinks differently, @SnoopDogg insults blacks. 
By sug…</t>
  </si>
  <si>
    <t>RT @thebradfordfile: Judge T.S. Elliot highlights Mueller's motive in Manafort case.
IT'S NOT JUSTICE. https://t.co/Wa8WYfhqHL</t>
  </si>
  <si>
    <t>RT @CattHarmony: Judge accuses Mueller team of prosecuting Manafort to target Trump and Judge Ellis was equally blunt in saying there must…</t>
  </si>
  <si>
    <t>RT @jdolan2020: Job numbers are up again, North Korea is getting in line, the economy is flourishing. Only UnAmerican fools would want to i…</t>
  </si>
  <si>
    <t>RT @wontbackdown222: How are you can help patriots get to the polls:
1. Drive disabled vets.
2. Carpool with friends or family.
3. Volunte…</t>
  </si>
  <si>
    <t>@tgilbert_13 @walshgina @EricGreitens @GOP Theh LIED about having evidence they don't have</t>
  </si>
  <si>
    <t>RT @ScottAdamsSays: My new favorite sport is watching Democrats avoid giving President Trump any credit whatsoever for progress with North…</t>
  </si>
  <si>
    <t>RT @ScottAdamsSays: Scott Adams details why President Trump deserves credit for progress in North Korea. With coffee. https://t.co/IRHTnymx…</t>
  </si>
  <si>
    <t>RT @ScottAdamsSays: Like it or not, this is a Trump-quality persuasion play. Swalwell just made every other voice on this topic irrelevant…</t>
  </si>
  <si>
    <t>RT @USSANews: #Congressman wants to confiscate and ban all ‘assault weapons’ in #US - https://t.co/rgmvY5gcKZ https://t.co/4WYzeKP2DL</t>
  </si>
  <si>
    <t>RT @ScottAdamsSays: Scott Adams tells you how Kanye showed the way to The Golden Age. With coffee. https://t.co/RCFwKuXjCA</t>
  </si>
  <si>
    <t>RT @ScottAdamsSays: People keep asking me what exactly @realDonaldTrump did to deserve a Nobel Prize. As a public service, I put together a…</t>
  </si>
  <si>
    <t>RT @larryelder: So if @kanyewest supports @realDonaldTrump, West, a black man, suddenly morphs into a white man?!? But none on the left dar…</t>
  </si>
  <si>
    <t>So who is paying? https://t.co/9T7WHwA2p1</t>
  </si>
  <si>
    <t>RT @JackPosobiec: Stormy Daniels admits she is not paying her lawyer Michael Avenatti 
Who is? https://t.co/4sV0lXezbN</t>
  </si>
  <si>
    <t>RT @RealTravisCook: It is time for the Country Club Republicans to be replaced with the Redneck Republicans! Long overdue in the #GOP, in t…</t>
  </si>
  <si>
    <t>RT @Barnes_Law: Two kinds of federal judges: those that defer to prosecutors &amp;amp; those that don't. Judge Ellis -- born in Bogota in the 40s,…</t>
  </si>
  <si>
    <t>RT @StLCountyRepub: A fair trial will be hard to have @EricGreitens https://t.co/JGI31UJgOI</t>
  </si>
  <si>
    <t>RT @Sticknstones4: 🚨RT
📢PROTEST ALERT📢
Saturday 6:30 pm  Richmond Heights 
Protest Claire McCaskill 
#fireclaire #mosen #stl #republicans #…</t>
  </si>
  <si>
    <t>@TrumpChess @GovGreitensMO @POTUS Keep fighting @EricGreitens</t>
  </si>
  <si>
    <t>RT @ResignNowKim: @GovGreitensMO @EricGreitens don’t pay attention to the haters, ‘mano. We’re with you.We believe in you. We see this corr…</t>
  </si>
  <si>
    <t>RT @strmsptr: @GovGreitensMO Still with you Governor.!!!!</t>
  </si>
  <si>
    <t>RT @Sticknstones4: You do not become an agent involving financial transactions in a story as big as the potential removal of office as a go…</t>
  </si>
  <si>
    <t>RT @Sticknstones4: @Str8DonLemon @Mizzourah_Mom @EricGreitens Kathie wants her constituents to listen to her 
When in fact it’s the other w…</t>
  </si>
  <si>
    <t>RT @Sticknstones4: #KimShady paid a $10,000 retainer and agreed to pay $475 an hour TO CONVINCE A JURY(without evidence) that there was a p…</t>
  </si>
  <si>
    <t>@tgilbert_13 @walshgina @EricGreitens @GOP They LIED TO THE GRAND JURY
What are you smoking?
Did you just start paying attention?
Follow the #kimshady hashtag</t>
  </si>
  <si>
    <t>RT @Str8DonLemon: @BryanLowry3 @EricGreitens They sure do. #KimShady is a travesty to justice #moleg</t>
  </si>
  <si>
    <t>RT @Str8DonLemon: @mariachappelleN gets one thing right.
We all have due process.
And this house report, released recklessly before actua…</t>
  </si>
  <si>
    <t>RT @Str8DonLemon: @Sticknstones4 @RealTravisCook @karmamichele @magathemaga1 @EricGreitens @Rep_TRichardson @HotPokerPrinces @strmsptr @Hop…</t>
  </si>
  <si>
    <t>RT @Sticknstones4: Resign Now Kim Gardner !
#MOLEG start cleaning out your
Offices https://t.co/9nzNTszGAn</t>
  </si>
  <si>
    <t>RT @Str8DonLemon: Hey @walshgina 
Why don't you ask STACEY NEWMAN what part she had in this scam!
Look at the new motion!
We know this i…</t>
  </si>
  <si>
    <t>RT @Str8DonLemon: It's great place. Where else could you have people going around accusing people of fake stories
It's a modern day salem…</t>
  </si>
  <si>
    <t>RT @Str8DonLemon: Oh hi sharon! I took the day off.
Are you still going around claiming the hairdresser story is true using the "me too" l…</t>
  </si>
  <si>
    <t>RT @Str8DonLemon: Why didnt STACEY NEWMAN NOT SIGN THIS?
Why didnt STACEY NEWMAN NOT SIGN THIS?
Why didnt STACEY NEWMAN NOT SIGN THIS?
W…</t>
  </si>
  <si>
    <t>@BryanLowry3 @EricGreitens They sure do. #KimShady is a travesty to justice #moleg</t>
  </si>
  <si>
    <t>RT @BryanLowry3: New filing from @EricGreitens starts with this: "'Justice, and only justice, you shall pursue. . .' Those words from Deute…</t>
  </si>
  <si>
    <t>@mariachappelleN gets one thing right.
We all have due process.
And this house report, released recklessly before actual criminal trial, shows #MoLeg doesnt care about the process and only cares about screwing #Missouri voters
#MoGov #stlouis #STL #KCMO https://t.co/cFTbHiB49d</t>
  </si>
  <si>
    <t>Why didnt STACEY NEWMAN NOT SIGN THIS?
Why didnt STACEY NEWMAN NOT SIGN THIS?
Why didnt STACEY NEWMAN NOT SIGN THIS?
Why didnt STACEY NEWMAN NOT SIGN THIS?
Why didnt STACEY NEWMAN NOT SIGN THIS?
Why didnt STACEY NEWMAN NOT SIGN THIS?
"New activist"
#moleg #mogov #Greitens https://t.co/VzRyEZSxtQ</t>
  </si>
  <si>
    <t>RT @memoriadei: #moleg #gop #committee @TeamHawley your conservatives are not very happy...true conservatives.  We are more embarrassed by…</t>
  </si>
  <si>
    <t>@NotGvMikeParson Lol.</t>
  </si>
  <si>
    <t>RT @StevenDialTV: The Missouri Senator who posted on social media that President Trump should be asasinated did not sign #GreitensSpecialSe…</t>
  </si>
  <si>
    <t>Oh hi sharon! I took the day off.
Are you still going around claiming the hairdresser story is true using the "me too" label.
Did you see EG latest filing...
The 
Lies
Are 
Coming
Undone
Why am I thinking of a Clash Song?
#moleg #mogov #greitens https://t.co/Ua1bP0D5RA</t>
  </si>
  <si>
    <t>RT @shesova: WOW @molegislature #moleg is trending! I wonder why? Maybe because what is happening to @realDonaldTrump is happening to @Eric…</t>
  </si>
  <si>
    <t>It's great place. Where else could you have people going around accusing people of fake stories
It's a modern day salem if you are into history!
#moleg #mogov #greitens https://t.co/kdkC0tzXAU</t>
  </si>
  <si>
    <t>RT @DeplorableGoldn: RT 🚨
Oh I do believe Mr. Richard needs to start chirping like a canary and explain why his errand boi dropped $50Gs! I…</t>
  </si>
  <si>
    <t>RT @jerryhobbsMERC: According to an April poll, a large number of Nevada voters support school-choice programs. The poll found that 70% of…</t>
  </si>
  <si>
    <t>@jerryhobbsMERC I support this! We should have a choice #moleg</t>
  </si>
  <si>
    <t>RT @Sticknstones4: “It’s really important we make the time to recognize our state employees”- Governor Eric Greitens
Where was #Moleg  whi…</t>
  </si>
  <si>
    <t>RT @JW1057: @MoGov Great job @EricGreitens. You aren't alone in the struggle vs. the corrupt members of the MO Legislature. 
#moleg #mogov…</t>
  </si>
  <si>
    <t>Hey @walshgina 
Why don't you ask STACEY NEWMAN what part she had in this scam!
Look at the new motion!
We know this is a sham! You getting those tax credit goodies too?
Do not resign @EricGreitens
#moleg #mogov #Greitens https://t.co/98z2UZA5nE</t>
  </si>
  <si>
    <t>RT @magathemaga1: I may not be a West Butler County Hillbilly, but I am a West DC Fake Deputy AG Swamp Monster, and I just wanted to remind…</t>
  </si>
  <si>
    <t>RT @magathemaga1: The media is concerned about the public being informed?
Lol
Ironic considering media has done it's best 2 keep public m…</t>
  </si>
  <si>
    <t>RT @Hope4Hopeless1: @EricGreitens Governor.@EricGreitens &amp;amp; .@POTUS .@realDonaldTrump I can't begin to express my admiration &amp;amp; gratitude for…</t>
  </si>
  <si>
    <t>RT @Norasmith1000: @magathemaga1 @EricGreitens @Rep_TRichardson @HotPokerPrinces @strmsptr @Hope4Hopeless1 @Avenge_mypeople @Blackboxhalo @…</t>
  </si>
  <si>
    <t>RT @JW1057: I am in possession of TMC secret donor list!
2015 https://t.co/aK2jCEnF0P
2014 https://t.co/iDmpYIeVa1
@MOHOUSECOMM @TeamGrei…</t>
  </si>
  <si>
    <t>RT @JW1057: @MeghanKRCG13 @EricGreitens There is no honor in resigning when confronted with lies and false accusations. The honorable thing…</t>
  </si>
  <si>
    <t>RT @Sticknstones4: REPUBLICAN HOUSE &amp;amp; SENATORS THAT VOTE TO 
IMPEACH GOVERNOR #GREITENS
WILL TURN MISSOURI BLUE 🔵
@mikeparson WILL NOT C…</t>
  </si>
  <si>
    <t>Clean Missouri is a scam tony
#moleg #mogov https://t.co/hLj6nu7ll6</t>
  </si>
  <si>
    <t>RT @JW1057: @BryanLowry3 Philip Sneed and Al Watkins there aren't two more despicable human beings who could ever deserve each other as muc…</t>
  </si>
  <si>
    <t>RT @Norasmith1000: @Shawtypepelina @staceynewman @SenatorNasheed @LacyClayMO1 @brucefranksjr @MariaChappelleN @ElliottDavisTV That's how it…</t>
  </si>
  <si>
    <t>RT @JW1057: @BryanLowry3 @ResignNowKim @VisioDeiFromLA @Sticknstones4 @CStamper_ Bryan: Watkins has represented PS since Sept./Oct. 2016. W…</t>
  </si>
  <si>
    <t>RT @strmsptr: #moleg is hell bent on nullifying the choice of #WeThePeople for Missouri Governor by calling a special session to continue t…</t>
  </si>
  <si>
    <t>@Sticknstones4 @RealTravisCook @karmamichele @magathemaga1 @EricGreitens @Rep_TRichardson @HotPokerPrinces @strmsptr @Hope4Hopeless1 @Avenge_mypeople @Blackboxhalo @SKOLBLUE1 @Norasmith1000 @Eric_Schmitt Vote all the fake Republicans and turn coats out. Hey #MoLeg rhinos
@BillEigel @BryanSpencer25 @CornejoForMO @Rep_TRichardson  @RonFRichard @Eric_Schmitt @EricGreitens @MOHouseGOP @Monetti4Senate @SykesforSenate @AP4Liberty @HillForMissouri
#mogov
#MOSenate #mosen</t>
  </si>
  <si>
    <t>RT @RealTravisCook: @karmamichele @magathemaga1 @EricGreitens @Rep_TRichardson @HotPokerPrinces @strmsptr @Hope4Hopeless1 @Avenge_mypeople…</t>
  </si>
  <si>
    <t>RT @strmsptr: #moleg Gary Romine and Kevin Engler you are put on notice. Mr Romine, you have lost my support for any reelection bid. Mr Eng…</t>
  </si>
  <si>
    <t>RT @JW1057: Now know that Stacey Newman and Dems were involved from the beginning. Newman arranged meeting between Kitty and @stlcao. Gardn…</t>
  </si>
  <si>
    <t>RT @JW1057: @VisioDeiFromLA @Rep_TRichardson @Eric_Schmitt @EricGreitens @MariaChappelleN can't say that I agree with much of your politics…</t>
  </si>
  <si>
    <t>RT @VisioDeiFromLA: Wow. I agree with Nadal.
"Chappelle-Nadal said, even though she's been critical of Greitens, she believes his trial sh…</t>
  </si>
  <si>
    <t>@DaynaGould @magathemaga1 @EricGreitens @Rep_TRichardson @Sticknstones4 @EdBigCon @HennessySTL @RealTravisCook @Shawtypepelina @HotPokerPrinces @Lautergeist @Eric_Schmitt @Avenge_mypeople @SKOLBLUE1 Preach! Call your MOLEG rep and complain!</t>
  </si>
  <si>
    <t>RT @magathemaga1: Reminder to #MoLeg 
You try impeachment before @EricGreitens gets his day in court, you are playing with electoral fire.…</t>
  </si>
  <si>
    <t>RT @RetNavy93: @kmoxnews @tkinder You people in the #moleg are out of your fricking minds. What kind of president are you setting. Just bec…</t>
  </si>
  <si>
    <t>RT @VisioDeiFromLA: @GovGreitensMO Keep up great work! Real strength is continuing 2 do people’s work day to day in spite of EVIL forces tr…</t>
  </si>
  <si>
    <t>RT @TrumpChess: @GovGreitensMO We are standing with you Gov Greitens just know that #MoVoters do not like what the deep state swamp is tryi…</t>
  </si>
  <si>
    <t>RT @GovGreitensMO: This week, we took time to recognize state workers who have gone above and beyond to get results for Missouri citizens.…</t>
  </si>
  <si>
    <t>RT @VisioDeiFromLA: My fav Parson-Tax credit bot.
The law, is as written. A consensual affair isn’t illegal nor a reason 2 impeach.
No co…</t>
  </si>
  <si>
    <t>RT @enloe_webb: @EverydayMAGA @crtoloss @LauraLeeBordas @gracefulwords @powerglobalus @LilywhiteJag @LeeLore2 @SmokeyMtnStrong @BigGator5 @…</t>
  </si>
  <si>
    <t>RT @CStamper_: This convicted felon media member manages to make the media look even more dishonest, which is quite an achievement. I don’t…</t>
  </si>
  <si>
    <t>RT @Str8DonLemon: Why is Kathie Conway, a tax payer funded #MoLeg rep on Twitter giving her opinion which is of course biased TAINTING THE…</t>
  </si>
  <si>
    <t>RT @Str8DonLemon: And it was a scam report!
#MoLeg #mogov #Greitens https://t.co/QZ4j8OSXhT</t>
  </si>
  <si>
    <t>RT @YDominus: @Str8DonLemon This Dom Lemon ask the real questions!</t>
  </si>
  <si>
    <t>@blackwidow07 @Sticknstones4 @Avenge_mypeople @HotPokerPrinces @Norasmith1000 @philip_saulter @RightSideUp313 @melody_grover @Rep_TRichardson @RealTravisCook @MoGov Hopefully. I'm losing faith that justice is alive.</t>
  </si>
  <si>
    <t>RT @Avenge_mypeople: Tax Increment Financing: the process whereby corporations and/or developers use the willing apparatus of government to…</t>
  </si>
  <si>
    <t>RT @Markknight45: @Str8DonLemon @VisioDeiFromLA @EricGreitens I don’t think #moleg thought this through. I think Grietens has a case in cou…</t>
  </si>
  <si>
    <t>RT @gocrazy4cards: Hey @walshgina 
No action should be taken until he gets a trial.
Why do you hate the presumption of innocence?
No act…</t>
  </si>
  <si>
    <t>Why is Kathie Conway, a tax payer funded #MoLeg rep on Twitter giving her opinion which is of course biased TAINTING THE JURY POOL?
I really am curious.
It's like #MoLeg doesn't want @EricGreitens to have a fair trial confirming the people of #Missouri fears.
#MoGov #greitens https://t.co/ohNrMhNrAa</t>
  </si>
  <si>
    <t>RT @seanhannity: “This is our best president in my memory.”—Mayor Rudy Giuliani #hannity</t>
  </si>
  <si>
    <t>RT @JacobAWohl: Far Left Activists Petition Adidas to Drop Kanye West 
Adidas REJECTS Demand  https://t.co/wkMHJFZyWn</t>
  </si>
  <si>
    <t>RT @ScottAdamsSays: Reuters Poll: Black Male Approval For Trump Doubles In One Week https://t.co/LT4kNzZ4VR via @dailycaller</t>
  </si>
  <si>
    <t>RT @Lautergeist: Or just text him for a statement
#Greitens #GreitensIndictment https://t.co/YBwV1AokvB</t>
  </si>
  <si>
    <t>RT @Str8DonLemon: Hey Charton are you still peddling Scott Faugh's "Narrative"?
I know you guys are friends and all.
Would love to see yo…</t>
  </si>
  <si>
    <t>Hey Charton are you still peddling Scott Faugh's "Narrative"?
I know you guys are friends and all.
Would love to see you call him out about that money "that was his" 
😘
#MoLeg #MoGov #Greitens #ScammingScott #MoneyBagsAl 
#STL #StLouis #KCMO https://t.co/qLhrIGrbLA</t>
  </si>
  <si>
    <t>RT @sigi_hill: @ws_missouri The lawyer incl. #MoLeg should be disbarred and prosecuted for malfeasance and abuse of power and you should no…</t>
  </si>
  <si>
    <t>RT @ChrisYaudas: Who do I think needs to be impeached? The @MOHouseGOP and @MissouriSenate leadership and those #moleg members who are defy…</t>
  </si>
  <si>
    <t>And it was a scam report!
#MoLeg #mogov #Greitens https://t.co/QZ4j8OSXhT</t>
  </si>
  <si>
    <t>RT @drawandstrike: @therealroseanne @ThomasWictor Ben Rhodes in that infamous NYT's profile bragged to the reporter how easy it was to set…</t>
  </si>
  <si>
    <t>RT @NovusVero: Chaffetz: Rosenstein ‘Doesn’t Understand the Constitution’ (VIDEO) https://t.co/JxlsNiCKAE</t>
  </si>
  <si>
    <t>RT @AP: BREAKING: Record exports trim US trade deficit to $49 billion, first drop in seven months.</t>
  </si>
  <si>
    <t>RT @realDonaldTrump: Great to see how hard Republicans are fighting for our Military and Safety at the Border. The Dems just want illegal i…</t>
  </si>
  <si>
    <t>RT @solentgreenis: Since everyone liked my first serious video so much(Thunder) i thought i would make another similar one.....I hope you a…</t>
  </si>
  <si>
    <t>RT @bitchute: Post Scarcity Civilizations &amp;amp; Privacy https://t.co/ufbWX0CJgX #BitChute</t>
  </si>
  <si>
    <t>RT @Doc_0: The Clinton wars opened a lot of Republican eyes to the extent of media bias. It also taught them Democrats were far more determ…</t>
  </si>
  <si>
    <t>RT @Doc_0: Left-media folks who decry the coarse nature of today's politics have never accepted that the Clinton scandals were among of the…</t>
  </si>
  <si>
    <t>David, 
This is why we didnt listen to you in 2016.
Newsflash.... he had relations with that women decades ago?
AWESOME.
I dont care.
If an issue its between him and his wife, you loser. https://t.co/HtYtrnziZr</t>
  </si>
  <si>
    <t>RT @ColBannister: @DavidAFrench The fact that President Trump continues to keep Bill Kristol idiots like you unhinged.. and is the most con…</t>
  </si>
  <si>
    <t>RT @ichoosesafe: @DavidAFrench Yip, he is and will stay the man I trust the most to #MAGA. What he did before he became a candidate for pre…</t>
  </si>
  <si>
    <t>RT @jetrotter: @DavidAFrench Your opinion is irrelevant.
We love Trump and even more, his policies!
After 8 years of Trump, the courts wi…</t>
  </si>
  <si>
    <t>RT @LarrySchweikart: @DavidAFrench We evangelicals know you're a slime.</t>
  </si>
  <si>
    <t>RT @KurtSchlichter: @inlanddefense @jaybluuee @DavidAFrench But only one contender would've won. You either win or you lose, and all the wh…</t>
  </si>
  <si>
    <t>RT @jaybluuee: @DavidAFrench Dear Never Trump David,
Evangelicals care about the courts and Trump’s filling them with conservatives.</t>
  </si>
  <si>
    <t>RT @LarrySchweikart: @DavidAFrench Poor irrelevant Frenchie. Can only get published in an equally irrelevant "mag"</t>
  </si>
  <si>
    <t>David I do not care. https://t.co/HtYtrnziZr</t>
  </si>
  <si>
    <t>RT @NBCNews: LIVE: President Trump participates in a National Day of Prayer event at the White House https://t.co/v9eRtm3b6l</t>
  </si>
  <si>
    <t>RT @KokeReport: Rudy Giuliani: I'm sorry Hillary, but you're a criminal @seanhannity
 https://t.co/0wJ3r92Fye</t>
  </si>
  <si>
    <t>RT @realDonaldTrump: “This isn’t some game. You are screwing with the work of the president of the United States.”  John Dowd, March 2018.…</t>
  </si>
  <si>
    <t>RT @VisioDeiFromLA: Anywho states "but but Republican!" is ignorant of politics.
This isnt about R or D
This is about outsider vs insider…</t>
  </si>
  <si>
    <t>RT @Str8DonLemon: Have to agree with @EricGreitens that this is a total disservice to the law.
"FULL STATEMENT: Greitens for Missouri lega…</t>
  </si>
  <si>
    <t>RT @seanhannity: “I do not know why the Justice Department is not investigating Hillary Clinton. James Comey rigged the whole case.”—Mayor…</t>
  </si>
  <si>
    <t>RT @JacobAWohl: Cultural appropriation https://t.co/MNhC9x1yAm</t>
  </si>
  <si>
    <t>RT @trustrestored: BOOM! Reuters Poll: Black Male Approval For Trump Doubles In One Week 
REMEMBER: Just 5% of blacks need to leave the De…</t>
  </si>
  <si>
    <t>RT @prayingmedic: The Kanye Effect.
Black Male Approval For Trump Doubles In One Week
https://t.co/TCLiKYVlC6</t>
  </si>
  <si>
    <t>RT @DavidWaddell5: Students at Schools Around the Country Walk Out in Support of Second Amendment | Breitbart https://t.co/E2F6Gx6bXI 👏👏👏👏…</t>
  </si>
  <si>
    <t>RT @Ken19512: If you really want to keep talking about $130,000 Stormy Daniels was paid, let's also go back to talking about the $17 millio…</t>
  </si>
  <si>
    <t>RT @pinkk9lover: 💥 Rudy Giuliani just tol @seanhannity he regrets not accepting the position of Attorney General. We are all tired of the t…</t>
  </si>
  <si>
    <t>RT @WayneDupreeShow: Watch “Wayne Dupree Show 5-2 - Mueller Threaten Trump With Subpoena?” REPLAY! by @WayneDupreeShow on #Vimeo https://t.…</t>
  </si>
  <si>
    <t>RT @magathemaga1: Clean Missouri is Dem/#Soros redistricting scam wrapped in lipstick. STOP IT
✔Tell friends
✔Post on Facebook about scam…</t>
  </si>
  <si>
    <t>RT @YearOfZero: @jaybarnes5 
Isn’t it completely IRRESPONSIBLE of U 2 release report before #Greitens criminal trial? U already screwed 1s…</t>
  </si>
  <si>
    <t>RT @VisioDeiFromLA: So get #MoneyBagsAl to give a description of the perp? 
Seems very sketchy &amp;amp; not believable. Kind of like Scott's Book…</t>
  </si>
  <si>
    <t>RT @Norasmith1000: @magathemaga1 @Sticknstones4 @gatewaypundit @EdBigCon @HotPokerPrinces @Eric_Schmitt @Lautergeist @ErgoStreetNurse @MSTL…</t>
  </si>
  <si>
    <t>RT @KCNewsGuy: Greitens legal counsel: New report does "tremendous disservice" to U.S., Missouri constitutions. #moleg #mogov 
MORE: https…</t>
  </si>
  <si>
    <t>RT @VisioDeiFromLA: Crystal ... where was your tweets yesterday when it was exposed that @scottfaughn dropped off 50 grand to #MoneyBagsAl…</t>
  </si>
  <si>
    <t>RT @ResignNowKim: @JaneDueker How oh how can you say this shit with a straight face?  Is this your POV or a client’s?“Report”is thrown toge…</t>
  </si>
  <si>
    <t>RT @Sticknstones4: @sigi_hill @EricGreitens Nothing Ethical or Tranparent about these Closed Door Sesssions.
They are Not Credible and tho…</t>
  </si>
  <si>
    <t>RT @YearOfZero: Nothing Jay Barnes says can be trusted
MALICIOUSLY released report before criminal trial tainiting jury pool 4 obvious pol…</t>
  </si>
  <si>
    <t>RT @YearOfZero: Is Chapter 1 the part where Scott faugn dropped off 50 k to Phillip sneeds lawyer so they could invent a FAKE abuse story?…</t>
  </si>
  <si>
    <t>RT @YearOfZero: It’s surreal that tax payer funded state Senator that doesn’t understands that the presumption of innoncence in this countr…</t>
  </si>
  <si>
    <t>RT @TrumpChess: I remember when the witness statement said the picture (the one nobody can find!) "may have been a dream" when you can't fi…</t>
  </si>
  <si>
    <t>RT @YearOfZero: #MoLeg listening to an idiot like Jane &amp;amp; not the people of #Missouri political suicide
@AP4Liberty looking better than eve…</t>
  </si>
  <si>
    <t>RT @TomJEstes: Great interview by @MarkReardonKMOX with @scottfaughn Scott sounds as guilty as sin. #moleg  https://t.co/FdgmUwUzuL</t>
  </si>
  <si>
    <t>RT @HotPokerPrinces: THIS GUY GETS IT 
#MOLEG YOURE BUSTED https://t.co/W7fkoJEMxe</t>
  </si>
  <si>
    <t>RT @Sticknstones4: Jamilah Nasheed Sleeps at Scott Faughns 
How many more #Moleg sleep at Scott’s?
How many elected Senators &amp;amp; Representa…</t>
  </si>
  <si>
    <t>RT @CStamper_: Nothing pisses off the media more than when one of their own gets caught red handed acting as bagman in one of the shadiest…</t>
  </si>
  <si>
    <t>RT @TrumpChess: @Sticknstones4 @jrosenbaum Please copy her tweet and post so I can do the same MCN (she) blocked me after she threatened @P…</t>
  </si>
  <si>
    <t>RT @CStamper_: This is what Soros-backed prosecutor Kim Gardner’s witch hunt has come to. #moleg #mogov https://t.co/ZqgR6bOeBF</t>
  </si>
  <si>
    <t>RT @Sticknstones4: 14 year old boy shot in city at 4:00
16 year old boy shot in county at 5:30
Drugs ? Gangs ? 
@GailBeatty can you Impe…</t>
  </si>
  <si>
    <t>RT @magathemaga1: I may just be a West DC Fake Deputy A.G. Swamp Monster, but isn't it ODD Dems in #Missouri are eager 2 impeach @EricGreit…</t>
  </si>
  <si>
    <t>@ws_missouri Bro. Please. Dont lie to me.
You arent trying.</t>
  </si>
  <si>
    <t>Keep carrying water 4 establishment. Yesterday u were complaining about being dumped on, yet today u do 20 stories on a SHAM committee &amp;amp; 0 on where Scotts money came from? Ask if anybody settled any long outstanding tax bills ...
I had hope for ya!
#MoLeg #mogov #Greitens https://t.co/fUUo5JAxkh</t>
  </si>
  <si>
    <t>Have to agree with @EricGreitens that this is a total disservice to the law.
"FULL STATEMENT: Greitens for Missouri legal counsel Catherine Hanaway says report does "tremendous disservice to the U.S. and Missouri Constitutions."
#MOGov #MoLEG https://t.co/mTFAsKmP0P</t>
  </si>
  <si>
    <t>RT @magathemaga1: 7. This entire sham report shows is that the people on the committee have no concern for justice. 
Nor does the media ha…</t>
  </si>
  <si>
    <t>RT @magathemaga1: 6. ✔Laub still worked 4 campaign 
✔If Laub &amp;amp; Hafner jointly prepared list (possibly both should have been listed as dono…</t>
  </si>
  <si>
    <t>RT @magathemaga1: 5. ✔Hafner and Laub made the campaign donor list (data in part derived from TMC donor list)
✔Campaign formed 2/25 and lis…</t>
  </si>
  <si>
    <t>RT @magathemaga1: 4. ✔Donor list over 1k on TMC website
✔EG never stated donor list contribution was made 3/1 ... EG &amp;amp; ✔MEC stipulated cont…</t>
  </si>
  <si>
    <t>RT @magathemaga1: 3. So let's address some of the mischaracterizations of this report but also point out the fact that the @MOHouseGOP rele…</t>
  </si>
  <si>
    <t>RT @magathemaga1: 2. First, I have to ask, where was this excitement 4 #MoneyBagsAl situation? Pre written in depth articles about this, wh…</t>
  </si>
  <si>
    <t>RT @magathemaga1: 1. So about SHAM REPORT from #MoLeg 
Once again, mountains out of molehills &amp;amp; corrupt journalists in state show more con…</t>
  </si>
  <si>
    <t>@Avenge_mypeople @MissouriGOP @AP4Liberty @Monetti4Senate @SykesforSenate @Project_Veritas @FN4AP @sarahfenske @Hope4Hopeless1 @MaxinePWaters @EricGreitens @SKOLBLUE1 @strmsptr @philip_saulter @RealTravisCook @EdBigCon @HotPokerPrinces Sorry for delay. Putting my makeup on</t>
  </si>
  <si>
    <t>RT @magathemaga1: V 2
#MoLeg #MoGov #greitens #Missouri #StLouis #KCMO https://t.co/86gZlxzmE1</t>
  </si>
  <si>
    <t>RT @magathemaga1: "Life imitates Art far more than Art imitates Life" -Oscar Wilde 
As #MoLeg looks 2 screw @EricGreitens in new ways, I'v…</t>
  </si>
  <si>
    <t>@whtulkingat @MissouriGOP @AP4Liberty @Monetti4Senate @SykesforSenate @Project_Veritas @FN4AP @sarahfenske @Hope4Hopeless1 @MaxinePWaters @EricGreitens @SKOLBLUE1 @strmsptr @philip_saulter @Avenge_mypeople @RealTravisCook @EdBigCon @HotPokerPrinces Shh</t>
  </si>
  <si>
    <t>RT @VisioDeiFromLA: If #MoneyBagsAl couldn't give last name of currier, how does this Skyler know that the intent of the currier was to fra…</t>
  </si>
  <si>
    <t>RT @VisioDeiFromLA: @jonesmarkh @jrosenbaum @scottfaughn @EricGreitens Well since Scott faughn allegedly has a secret pad in Jeff city, if…</t>
  </si>
  <si>
    <t>#MOLEG #MOGOV #MOSEN
ANNOUNCEMENT 
#MISSOURI FAMOUS 
@Str8DonLemon
HAS HUGE ANNOUNCEMENT 
245 CST 
U R NOT GOING 2 WANT 2 MISS THIS
30 MINUTES
STAY TUNED 
@MissouriGOP @AP4Liberty @Monetti4Senate @SykesforSenate
@Project_Veritas @FN4AP @sarahfenske
#StLouis #stl #KCMO https://t.co/mchoOX3GbE</t>
  </si>
  <si>
    <t>@aaron_hedlund Lol I had a convo with @ws_missouri yesterday.... the gov not required to answer questions.Meanwhile, are a journalists really digging into this tax credit thing?</t>
  </si>
  <si>
    <t>RT @ResignNowKim: @lindsaywise “...Never met Al Watkins in my life...” Then how did he know Skyler’s name?  How many named partners remembe…</t>
  </si>
  <si>
    <t>RT @VisioDeiFromLA: Here’s another question a real journalist would ask. 
First I heard of Skyler Roundtree.
You are just making this ann…</t>
  </si>
  <si>
    <t>RT @ResignNowKim: @lindsaywise They wanted to make a point......in the unlikely chance that anyone ever found out about the money? #bullshi…</t>
  </si>
  <si>
    <t>RT @caesar718: @MarkDice @Str8DonLemon Like my @MarkDice T-shirt I coincidently was wearing when I ran into #ReadyforMonetti picking up piz…</t>
  </si>
  <si>
    <t>@caesar718 @MarkDice Nice truck.  Nice shirt! Are you single? Str8don is totally straight I just dumped my girlfriend. Too liberal
😘😘</t>
  </si>
  <si>
    <t>RT @DallasIrey: The 2nd Amendment 
Still making more women equal than the entire feminist movement! 
#2ADefenders
#NRA
#Trumpville https://…</t>
  </si>
  <si>
    <t>RT @TomosJon: @TomosJon
https://t.co/aCT0AP2oR1</t>
  </si>
  <si>
    <t>RT @RealJamesWoods: These are not “immigrants.” They are invaders. https://t.co/lOQYwxsWiN</t>
  </si>
  <si>
    <t>RT @DevinNunes: This is a must read for new information by @LeeSmithDC .....Media gets destroyed again... https://t.co/DFjyK4piN2</t>
  </si>
  <si>
    <t>RT @MarkDice: Like my new hat? https://t.co/MqFjCEUIjw</t>
  </si>
  <si>
    <t>RT @RealTravisCook: #Mueller needs to be served with #treason charges. https://t.co/rMtlupIpiC</t>
  </si>
  <si>
    <t>RT @Belle4DJT: Wake Up America! Dont talk to me about slavery...Truth of the matter is, No One, in this lifetime has ever experienced it...…</t>
  </si>
  <si>
    <t>RT @somethingldsay: #MO, like every other state, has a tendency to waste our money, this is not one of those time. #MOLeg #Caravan #Border…</t>
  </si>
  <si>
    <t>RT @Sticknstones4: What Banks benefited the most from 
#LIHTC  ?
What banks have lined their pockets from LIHTC
And would be pissed off th…</t>
  </si>
  <si>
    <t>RT @TrumpChess: @VisioDeiFromLA @Eric_Schmitt @Rep_TRichardson @Norasmith1000 @SKOLBLUE1 @HotPokerPrinces @Sticknstones4 @philip_saulter @H…</t>
  </si>
  <si>
    <t>RT @Str8DonLemon: ✔️Old: Who is Scott Faughn?
✔️New: Who is Skyler?
✔️Woke: Who is Rex?
✔️Tired: Did AL get paid?
✔️Wired: Scott Simpson ge…</t>
  </si>
  <si>
    <t>✔️Old: Who is Scott Faughn?
✔️New: Who is Skyler?
✔️Woke: Who is Rex?
✔️Tired: Did AL get paid?
✔️Wired: Scott Simpson get a money bag?
🐉🔥Dragon Energy Woke🔥🐉
Did Kim Gardner manipulate this KS girl?
#MoLeg #Mogov #Greitens #Missouri #ScammingScott #stl #KimShady https://t.co/C8ORNaRwyv</t>
  </si>
  <si>
    <t>RT @magathemaga1: Tell her a hairdresser and her ex husband brought forth details about a consensual affair and the ex husbands lawyer magi…</t>
  </si>
  <si>
    <t>RT @sigi_hill: @Sticknstones4 We Greitens-supporters knew this is a corrupt witch-hunt on the outsider Governor. Now we need to push hard t…</t>
  </si>
  <si>
    <t>RT @jrosenbaum: The ex-husband’s decision to speak out (against the wishes of his ex-wife, according to House committee) has almost certain…</t>
  </si>
  <si>
    <t>RT @jrosenbaum: Should note that this situation matters beyond policy. The ex-husband said in Jan. he came forward because he was angry abo…</t>
  </si>
  <si>
    <t>RT @jrosenbaum: Many assume that @mikeparson would restart LIHTC after @EricGreitens departs, a decision worth hundreds of millions of doll…</t>
  </si>
  <si>
    <t>RT @jrosenbaum: If LIHTC interests did give @scottfaughn &amp;amp; “Skyler” money, then it would suggest that the reveal of the affair was retaliat…</t>
  </si>
  <si>
    <t>RT @jrosenbaum: Where Watkins got the money may be more impactful in the policy arena. That’s because @EricGreitens’ attorneys suspect the…</t>
  </si>
  <si>
    <t>RT @VisioDeiFromLA: Good coverage!
Follow the Tax Credit Money!
We’ll see how the people on the Tax Credit Retainer try to spin and distr…</t>
  </si>
  <si>
    <t>RT @magathemaga1: Hey @TomJEstes I have found the book project that Scott Faughn guy is TOTALLY working on! 😂😂🤣🤣
#satire
#MoLeg #MoGov #g…</t>
  </si>
  <si>
    <t>RT @VisioDeiFromLA: Dude this is distraction.  You know it as well as I do. This ain't illegal. You are just trying to create cover.
Who i…</t>
  </si>
  <si>
    <t>RT @Avenge_mypeople: Missouri Governor #Greitens is under attack by people in his own party. Scott Faughn, who sent $50,000 to lawyer Al Wa…</t>
  </si>
  <si>
    <t>RT @Avenge_mypeople: Tax Increment Financing is what all of this is about in Missouri. #Greitens intends to stop it. Creating special taxin…</t>
  </si>
  <si>
    <t>RT @VisioDeiFromLA: Journalists, wannabe journalists  &amp;amp; consultants claiming #MoLeg is fair &amp;amp; balanced speaking out 1 side of their mouth…</t>
  </si>
  <si>
    <t>RT @TrumpChess: @NickThompsonTV @FOX2now @EricGreitens Welcome to STL nick not sure how long you've been here bc I simply can't stomach the…</t>
  </si>
  <si>
    <t>RT @JW1057: @ws_missouri I love these one-sided reports from corrupt house members. They are so easily discredited, just like Kitty.
#mole…</t>
  </si>
  <si>
    <t>RT @JW1057: @CaseyNolen Good! Now, I don't need to go out and get toilet paper. The "Committee" provides it. @Rep_TRichardson @jaybarnes5 #…</t>
  </si>
  <si>
    <t>RT @VisioDeiFromLA: They are doing a terrible job with a few exceptions.
Main question should be who is paying Scott Simpson, ks lawyer? D…</t>
  </si>
  <si>
    <t>RT @magathemaga1: Good evening #MoLeg &amp;amp; #MoGov except @Rep_TRichardson 
#Missouri realizing even more the #GreitensIndictment is total wit…</t>
  </si>
  <si>
    <t>RT @JW1057: I fight harder for @EricGreitens. 
@SheenaGreitens @TeamGreitens @CStamper_ @Sticknstones4 @MactavishShawn @melody_grover @Mis…</t>
  </si>
  <si>
    <t>RT @Sticknstones4: Who paid KS attorney’s Bill ? 
Surely PS wasn’t the only one to get a free ride on legal bills plus a trust fund for hi…</t>
  </si>
  <si>
    <t>RT @jrosenbaum: Happy Wednesday everybody. Attorneys for @EricGreitens &amp;amp; Al Watkins didn’t say where $100K came from. https://t.co/DL7BKzSu…</t>
  </si>
  <si>
    <t>RT @VisioDeiFromLA: @jrosenbaum @EricGreitens @Hope4Hopeless1 @Sticknstones4 @SKOLBLUE1 @Eric_Schmitt @GOPMissouri @STLCountyGOP @paulcurtm…</t>
  </si>
  <si>
    <t>RT @VisioDeiFromLA: @jrosenbaum @EricGreitens Tweets from PS 
These are the actions of somebody who is mad his wife CHEATED ON HIM with @E…</t>
  </si>
  <si>
    <t>RT @VisioDeiFromLA: @jrosenbaum @EricGreitens Here is the story that goes over PS taunting tweets 
#moleg #mogov #Greitens 
https://t.co/…</t>
  </si>
  <si>
    <t>RT @VisioDeiFromLA: @jrosenbaum @EricGreitens If you look at the ex husbands tweets where he was taunting @EricGreitens ... he never once r…</t>
  </si>
  <si>
    <t>RT @JW1057: @ws_missouri I fight harder for @EricGreitens. 
@SheenaGreitens @TeamGreitens @CStamper_ @Sticknstones4 
#moleg #mogov #greit…</t>
  </si>
  <si>
    <t>RT @rkinseth: And he still wasting time and money https://t.co/3rmvlB8XcX</t>
  </si>
  <si>
    <t>RT @julie_kelly2: Trump might not be the only person losing patience with Robert Mueller: The public's support for the unwieldy investigati…</t>
  </si>
  <si>
    <t>RT @mflynnJR: WOW! https://t.co/rSkXSl3Y6o</t>
  </si>
  <si>
    <t>RT @AnthemRespect: MSNBC HOST SAYS:
”I don’t think we will find proof of Russian Collusion”.
-Well, I’ll bet anyone $1000 I’ll find proof…</t>
  </si>
  <si>
    <t>RT @peterjhasson: NBC threatened the Washington Post with legal action for reporting on Tom Brokaw's sexual assault accusations, an NBC ins…</t>
  </si>
  <si>
    <t>RT @PrisonPlanet: Kanye was obviously talking about black people being mired in the mindset of slavery being a choice, not that slaves 400…</t>
  </si>
  <si>
    <t>RT @dbongino: Democrats 2018:
- You’re a victim
- You’re defined exclusively by your race, sex, &amp;amp; immigration status
- Men suck
- Borders s…</t>
  </si>
  <si>
    <t>RT @kanyewest: energy meeting. Beings from all different backgrounds https://t.co/iJteS5MMbY</t>
  </si>
  <si>
    <t>RT @kanyewest: most fear is learned</t>
  </si>
  <si>
    <t>RT @ColumbiaBugle: God Bless Texas!
The State of Texas is suing to End President Obama's Unconstitutional DACA Amnesty.
Hopefully we can…</t>
  </si>
  <si>
    <t>RT @StefanMolyneux: My personal favorite, life comes at you fast. https://t.co/axyExEwJBP</t>
  </si>
  <si>
    <t>RT @StefanMolyneux: While President Trump is tweeting about his poll numbers, Mexico is invading the United States. https://t.co/NaPxD9IyYu</t>
  </si>
  <si>
    <t>RT @StefanMolyneux: JOY ANN REID EXPOSED
https://t.co/irQ0klFLjJ https://t.co/q21XCDD19h</t>
  </si>
  <si>
    <t>RT @StefanMolyneux: ‘Their Country Is Being Invaded’: Exodus of Venezuelans Overwhelms Northern Brazil https://t.co/feadUufaO7</t>
  </si>
  <si>
    <t>RT @StefanMolyneux: “There are more than 10 professors affiliated with the Democratic Party for every faculty member who is a registered Re…</t>
  </si>
  <si>
    <t>RT @StefanMolyneux: People “associated with” the Central American migrant caravan have entered the U.S. illegally, federal officials say. h…</t>
  </si>
  <si>
    <t>RT @StefanMolyneux: Your daily reminder that most "higher education" is an environmental toxin for your brain. https://t.co/fZfmzyA4SO</t>
  </si>
  <si>
    <t>RT @StefanMolyneux: It seems like most of the Associated Press tweets in my timeline are corrections and apologies. With such an abysmal ba…</t>
  </si>
  <si>
    <t>@parscale https://t.co/CwfKbaLpWp</t>
  </si>
  <si>
    <t>RT @StefanMolyneux: Not an argument.
https://t.co/NBklC2SSJt</t>
  </si>
  <si>
    <t>RT @StefanMolyneux: The Fall of Bill Cosby 
With Tommy Sotomayor and Stefan Molyneux
https://t.co/p8DospB17c https://t.co/F3z97cAGTl</t>
  </si>
  <si>
    <t>RT @StefanMolyneux: “Texas and a half-dozen other states filed a lawsuit Tuesday challenging the legality of the Obama-era DACA deportation…</t>
  </si>
  <si>
    <t>RT @StefanMolyneux: Female staffers at NBC News say they “felt forced” to sign a letter supporting Tom Brokaw against sexual harassment all…</t>
  </si>
  <si>
    <t>RT @KLSouth: Poll: #Missouri's Embattled Claire #McCaskill Least Popular with Constituents of All #Democrats in Senate. https://t.co/70WWY0…</t>
  </si>
  <si>
    <t>RT @StefanMolyneux: The Kanye West Controversy 
With @ScottAdamsSays and @StefanMolyneux 
https://t.co/qEQfAWYX84 https://t.co/bb6lMbVzYn</t>
  </si>
  <si>
    <t>RT @Cernovich: Whites telling Kanye what he can’t say, guess they don’t think slavery ended yesterday.</t>
  </si>
  <si>
    <t>RT @RealCandaceO: “I freed 1,000 slaves. I could have freed 1,000 more if only they knew they were slaves.” -Harriet Tubman</t>
  </si>
  <si>
    <t>RT @Cernovich: https://t.co/uaEcygn9e6</t>
  </si>
  <si>
    <t>RT @LevineJonathan: Michelle Wolf denigrated the appearance of Sarah Sanders on live television but criticism of her performance is “sexist…</t>
  </si>
  <si>
    <t>RT @RAMRANTS: The Baltimore Sun said she should be investigated.
Variety mentioned “Investigating Reid.”
The Orlando Sentinel said she “g…</t>
  </si>
  <si>
    <t>RT @Cernovich: Joy Reid’s blog posts weren’t that bad. 
NBC lied about her being hacked. That’s the only issue relevant to free thinkers.…</t>
  </si>
  <si>
    <t>RT @ali: “I hear he’s never been happier which makes me really sad—these liberals online [saying] he’s mentally incapacitated? I’m like, th…</t>
  </si>
  <si>
    <t>RT @Cernovich: Read those articles claiming Kanye was losing it. 
Then watch the videos he filmed contemptuously. 
Then tell me the news…</t>
  </si>
  <si>
    <t>RT @Cernovich: https://t.co/1N0f3THFAW</t>
  </si>
  <si>
    <t>RT @Cernovich: First there were 48. 
Curtis Jackson wrote the 50th. What will Kanye’s be?</t>
  </si>
  <si>
    <t>@kendylei @RightSideUp313 @MOHouseGOP @EricGreitens @paulcurtman @MissouriGOP Yeah it's hard to keep up</t>
  </si>
  <si>
    <t>RT @junogsp5: Republican House of Rep from Texas was inspired to 
write his own report outlining why Special Counsel Moscow Mueller Needs t…</t>
  </si>
  <si>
    <t>RT @VisioDeiFromLA: Per @jrosenbaum:
“Correction: The MO Supreme Court denied a bid to prevent Al Watkins from answering more questions ab…</t>
  </si>
  <si>
    <t>RT @JeanieSmithKSDK: Today, Governor @EricGreitens authorized the deployment of Missouri Army National Guard troops and resources to the so…</t>
  </si>
  <si>
    <t>RT @VisioDeiFromLA: It’s a non issue. Money is a part of politics. This is just a lame distraction from the #ScammingScott bombshell
I’ve…</t>
  </si>
  <si>
    <t>RT @TSDttu: Breaking:
Mark Levin says leaked Mueller questions are  being used to make a case of obstruction Dems can use for IMPEACHMENT…</t>
  </si>
  <si>
    <t>RT @ColumbiaBugle: .@kanyewest delivering a huge Red-Pill on both the over prescribing of Opioids and the Fake News media.
"We are control…</t>
  </si>
  <si>
    <t>RT @redsteeze: Pod Save the Obama Library Wing https://t.co/lP7qVGqLHY</t>
  </si>
  <si>
    <t>RT @thejcoop: Wait a minute, I take it back: the Obama bros can't even get on the same sheet of music. Vietor claims Trump/Israel fabricati…</t>
  </si>
  <si>
    <t>RT @JoeFreedomLove: Drop in Public Support for Mueller Probe - American Greatness https://t.co/t4SS0X5QWi</t>
  </si>
  <si>
    <t>RT @RightSideUp313: No charges filed, I guess real crime can wait till she’s done with #Greitens.... https://t.co/t2g3Adm4GY</t>
  </si>
  <si>
    <t>RT @VisioDeiFromLA: #MoneyBagsAl be lying
"PS said some money would go 2 a trust for his kids. 2 of his kids are KS' kids. Do U believe on…</t>
  </si>
  <si>
    <t>RT @KCNewsGuy: #BREAKING: Missouri Gov. Eric Greitens has authorized the Missouri National Guard to assist with border security. #moleg #mo…</t>
  </si>
  <si>
    <t>RT @VisioDeiFromLA: #BREAKING
#Missouri Gov. @EricGreitens has deployed troops to the southern border to help protect our nation and #Stop…</t>
  </si>
  <si>
    <t>RT @VisioDeiFromLA: Media got busted red handed. Let's run nonsense story 2 distract from fact 100 k dropped off to #MoneyBagsAl, 50 k of t…</t>
  </si>
  <si>
    <t>RT @Norasmith1000: @Shawtypepelina She has me blocked too, so I can't even see what her tweet was about lol!
What do you think about #mole…</t>
  </si>
  <si>
    <t>RT @Str8DonLemon: Who is Skyler?
#moleg #mogov #greitens #GreitensIndictment #stl #Missouri https://t.co/CphG7Jk8R6</t>
  </si>
  <si>
    <t>Hey @ws_missouri 
This is your chance to do some of that "journalism"
We need to find out who this Skyler character is...
#moleg #mogov #Greitens https://t.co/Rp3zxZE9oN</t>
  </si>
  <si>
    <t>RT @RickS0222: @FoxNews @jorgeramosnews They want to come here for free govt handouts they are NOT entitled to, and commit crimes.... Only…</t>
  </si>
  <si>
    <t>RT @Redhead4645: Florida please vote #conservative
Indiana please vote #conservative
Montana please vote #conservstive
North Dakota please…</t>
  </si>
  <si>
    <t>RT @ColoradoGirl2A: The #truth revealed ... nice try #liberals ! #LiberalismIsAMentalDisease
Secret Service Destroys Lie Pushed By Media, P…</t>
  </si>
  <si>
    <t>RT @AlisonJMiles2: @kanyewest @trumpstertrain https://t.co/Z5YyYnx20k</t>
  </si>
  <si>
    <t>RT @kanyewest: There's a silent majority of people that have been silenced for too long</t>
  </si>
  <si>
    <t>RT @DeplorableGoldn: RT🚨
Hug your president.
The media will never show this side of @realDonaldTrump 
@parscale @DanScavino @DonaldJTrump…</t>
  </si>
  <si>
    <t>RT @VisioDeiFromLA: Scott is a large part of the media apparatus in #missouri 
How is it not fair question and why dont you answer it? Als…</t>
  </si>
  <si>
    <t>RT @VisioDeiFromLA: She kept coming back, dummy. Keep pushing that lie.
It was a fling and a fling takes two.
Money was to make up the st…</t>
  </si>
  <si>
    <t>RT @Sticknstones4: It’s so obvious 🔮, 
We the people 👨🏻‍💼🙎🏽‍♀️👩🏼‍💼👨🏾‍💼 SEE 🔎the Witch Hunt 🧙🏽‍♀️
Stay Strong 💪🏻 &amp;amp; Keep Fighting the Corrup…</t>
  </si>
  <si>
    <t>RT @GenAugustoP: Killing 3,000 communists engaged in a Marxist revolution that promised to kill 1M Chileans vs TENS OF MILLIONS OF PEOPLE m…</t>
  </si>
  <si>
    <t>@RightSideUp313 True lol</t>
  </si>
  <si>
    <t>Lol https://t.co/EsDTI5lBki</t>
  </si>
  <si>
    <t>RT @CodeRedMaga444: What say u @kanyewest ?
Mad Max @MaxinePWaters says u "sometimes talk out of turn 😲&amp;amp; perhaps need assistance in helping…</t>
  </si>
  <si>
    <t>RT @aaron_hedlund: What's the going rate for a low income housing tax credit scammer's soul? Apparently $50k... #mogov #moleg</t>
  </si>
  <si>
    <t>RT @realDonaldTrump: Today I had the great honor of awarding the Commander-in-Chief’s Trophy, for the first time in 21 years, to the @ArmyW…</t>
  </si>
  <si>
    <t>RT @JW1057: Supplemental "report" (4 pages) regarding EG consisted of a single transcript the committee had for 17 days. Committee makes a…</t>
  </si>
  <si>
    <t>RT @Str8DonLemon: I fully expect all journolists 2 chase #KimShady down hall &amp;amp; ask her nonsensical questions 2 try to trap her like U did w…</t>
  </si>
  <si>
    <t>Who is Skyler?
#moleg #mogov #greitens #GreitensIndictment #stl #Missouri https://t.co/CphG7Jk8R6</t>
  </si>
  <si>
    <t>I fully expect all journolists 2 chase #KimShady down hall &amp;amp; ask her nonsensical questions 2 try to trap her like U did with #greitens, video it, &amp;amp; then go on Twitter &amp;amp; post it, proudly, like U just uncovered a secret plot, rather than asking why she is so corrupt
#MoLeg #MoGov https://t.co/8Uvb3gvyli</t>
  </si>
  <si>
    <t>RT @YearOfZero: Like many, I’ve read through both. As a long time LEO, Let me say this: IT IS CONTRADICTORY 
To me, what is most alarming…</t>
  </si>
  <si>
    <t>RT @VisioDeiFromLA: Pro-Parson BOT ignores widening #MoneyBagsAl and #ScammingScott scandal with lame attempt to change the narrative!  😂…</t>
  </si>
  <si>
    <t>RT @JCPenknife: For sale by Scott Faughn. Only used once. #mogov #Greitens #moleg https://t.co/79Z6TRXO6W</t>
  </si>
  <si>
    <t>RT @parkerwbriden: Great to see a lot of awesome Missourians and @EricGreitens celebrating the freedom of the road and having some fun this…</t>
  </si>
  <si>
    <t>RT @Str8DonLemon: #KimShady is abusing journalists now???????? 😂😂
#Moleg #mogov #greitens https://t.co/8Uvb3gvyli</t>
  </si>
  <si>
    <t>Fair, Brad. But I also want immigration laws enfotced.
Immigration is for the national interest. It's not a jobs program 
#StopTheInvasion https://t.co/IbsLMwGdyU</t>
  </si>
  <si>
    <t>#KimShady is abusing journalists now???????? 😂😂
#Moleg #mogov #greitens https://t.co/8Uvb3gvyli</t>
  </si>
  <si>
    <t>@KingsbroGodsson @FoxNews Wtf</t>
  </si>
  <si>
    <t>@MAGANinaJo @RealWolvesUSA1 Don't get cocky</t>
  </si>
  <si>
    <t>RT @Thomas1774Paine: Congressman Introduces ‘Make Sanctuary Cities Pay for the Wall Act’ https://t.co/H8yohVTwri</t>
  </si>
  <si>
    <t>Lol. 
#MoLeg https://t.co/qLktrKjS1c</t>
  </si>
  <si>
    <t>RT @RealTravisCook: Put the tanks, artillery, and military at the border.  And the first one that comes over the fence...let the military d…</t>
  </si>
  <si>
    <t>RT @RealTravisCook: On today's radio show: How the #UK  is a chilling example of what could quickly happen to America if we give up on our…</t>
  </si>
  <si>
    <t>RT @RealTravisCook: At 2:00 CST on https://t.co/LqVNagt9Kx Why the #UK is an example of what can happen if America loses it's freedoms. Als…</t>
  </si>
  <si>
    <t>RT @magathemaga1: 🚨 #ScammingScott UPDATE 🚨 
Per @MarkReardonKMOX 
“Just been told by Scott Faughn that he will *not* be able to come on…</t>
  </si>
  <si>
    <t>RT @steffan_nancy: @1Romans58 @JCharles791  https://t.co/wZUdm7VR8V</t>
  </si>
  <si>
    <t>RT @YearOfZero: Also noticed inconsistencies like this when I read both. 
@MOHouseGOP IC flat out lying 2 public #greitens 
I know news o…</t>
  </si>
  <si>
    <t>RT @Norasmith1000: And, NO ONE forced this woman to go to SHEENA's house. She knew EG is married, if she didnt want or expect sex there wou…</t>
  </si>
  <si>
    <t>Agree 100 percent https://t.co/X77atZ38yz</t>
  </si>
  <si>
    <t>RT @charliekirk11: Try being informed instead of just opinionated</t>
  </si>
  <si>
    <t>RT @Str8DonLemon: Journalists!
Lesson 3!
Attacking people who ask good questions isnt a good strategy.
Also, asking good questions about…</t>
  </si>
  <si>
    <t>RT @Str8DonLemon: Journalists!
Lesson 2!
Trust is earned. You dont automatically get it.
Gain trust? I would ask: is there common thread…</t>
  </si>
  <si>
    <t>Journalists!
Lesson 3!
Attacking people who ask good questions isnt a good strategy.
Also, asking good questions about this does not make one PRO greitens!
It makes one ANTI BS
It makes one PRO TRUTH
#MoLeg #mogov #Greitens https://t.co/cFzuquk30Q</t>
  </si>
  <si>
    <t>Journalists!
Lesson 2!
Trust is earned. You dont automatically get it.
Gain trust? I would ask: is there common thread ties all players in saga with money together? Politicans, journalists, donors, etc? 
@scottfaughn got money from somewhere
Where?
#moleg #mogov #Greitens https://t.co/cFzuquk30Q</t>
  </si>
  <si>
    <t>RT @Str8DonLemon: Journalists!
If U don't want public 2 mistrust U, dont berate citizens when we ask questions U SHOULD BE ASKING
Eg. KS/…</t>
  </si>
  <si>
    <t>@ws_missouri @RyanFamuliner @strmsptr So you wont look into it or ask about it?
That's some great journalism there</t>
  </si>
  <si>
    <t>Journalists!
If U don't want public 2 mistrust U, dont berate citizens when we ask questions U SHOULD BE ASKING
Eg. KS/PS masked? Other politican(s) she saw? Why court transcript read like 50 shades of gray? Tax Credits?
Many rumors. Little journalism!
#moleg #Greitens #stl https://t.co/Clb4JEAqWw</t>
  </si>
  <si>
    <t>@RyanFamuliner @strmsptr @ws_missouri Were any other journalists or media people? If you are confident in your job you wouldn't take my simple question as an attack on you.</t>
  </si>
  <si>
    <t>@RyanFamuliner @strmsptr @ws_missouri Hey @strmsptr notice how they wont answer my question and are changing the subject?
Is it not a good question to ask? Why not?
Who else was involved? Not all journalists are angels. See Iraq war, fusion gps.</t>
  </si>
  <si>
    <t>RT @LaurenRoseUltra: Footage TODAY of Central Americans from the Caravan reaching the San Diego border "wall". The migrants are climbing th…</t>
  </si>
  <si>
    <t>@yogagenie Dude is being setup. The story us fake</t>
  </si>
  <si>
    <t>RT @lori_tech: ♥️We need more women like Judge Jeanine! ♥️
Judge Jeanine to Anybody Not Convinced Jim Comey Was Involved in a Coup: ‘Are Yo…</t>
  </si>
  <si>
    <t>RT @Scottke59: .🇺🇸🇺🇸🇺🇸 Against All Odds! 🇺🇸🇺🇸🇺🇸 https://t.co/oOdqjBlNJy</t>
  </si>
  <si>
    <t>RT @RubinReport: Opinion: No. https://t.co/dLqZpVGpsH</t>
  </si>
  <si>
    <t>RT @JackPosobiec: Who did this https://t.co/XAmVU17Eoh</t>
  </si>
  <si>
    <t>RT @EddieDonovan: He 'Destroys People': Gohmert Demands Mueller Resign in Report on Bureaucrat's 'Problematic' Past https://t.co/TyWOaBb6uy</t>
  </si>
  <si>
    <t>RT @realDonaldTrump: During Small Business Week, we celebrate the great, hard-working entrepreneurs across our country who have started and…</t>
  </si>
  <si>
    <t>RT @jordanbpeterson: Absolutely unbelievable. After the death of a hundred million, and the cold war, this still constitutes a viable opini…</t>
  </si>
  <si>
    <t>RT @Cernovich: Pay attention to the stories about Facebook you read tomorrow 
- Every “journalist” was paid off tonight. 
This is how jou…</t>
  </si>
  <si>
    <t>RT @FoxNews: DWTS: Ex-baseball star Johnny Damon: Trump 'doing a great job' as president https://t.co/P2VOhMcIhA</t>
  </si>
  <si>
    <t>RT @Str8DonLemon: The victim is  @EricGreitens
The story about the hairdresser is made up. I respect that you are a "survivor" but what do…</t>
  </si>
  <si>
    <t>@jeffreywbruce You claim to be a lawyer. What do you make of her the house and criminal testimony being inconsistent?</t>
  </si>
  <si>
    <t>@jeffreywbruce Fake allegations 
100 k anon payment
Not to mention everybody knew this chick was dating other politicans and had a thing for them
Waited 3 years 
Ex didn't go to police, but went to media?
Caught lying in testimony 
Yeah you haven't been paying attention</t>
  </si>
  <si>
    <t>The victim is  @EricGreitens
The story about the hairdresser is made up. I respect that you are a "survivor" but what do you think the money was for?
The story wasn't believable anyway.
#moleg #mogov #Greitens
#GreitensIndictment #stl #missouri https://t.co/zvd75XszJ9</t>
  </si>
  <si>
    <t>RT @realDonaldTrump: I recently had a terrific meeting with a bipartisan group of freshman lawmakers who feel very strongly in favor of Con…</t>
  </si>
  <si>
    <t>Lol. 
From one Diva to another stormy.
Give it up! https://t.co/2uLrebJek6</t>
  </si>
  <si>
    <t>RT @therealroseanne: @GenFlynn thank you for what you have done for us! We love U, sir!</t>
  </si>
  <si>
    <t>How about voter ID?
SEEMS LIKE THAT WOULD MAKE MORE SENSE? https://t.co/YFWw1P8faE</t>
  </si>
  <si>
    <t>RT @itsonlywords: You know what would make our elections more secure? Requiring actual proof of citizenship in order to register, a return…</t>
  </si>
  <si>
    <t>RT @RealTravisCook: Well, the word "Civil" comes into doubt... 😂 https://t.co/OrJbMZ86Eb</t>
  </si>
  <si>
    <t>RT @RealJamesWoods: I was recently offered another #FamilyGuy episode and reluctantly turned it down for similar reasons. It was so mean-sp…</t>
  </si>
  <si>
    <t>RT @kelliwardaz: After watching @FoxNews @TuckerCarlson tonight, it’s time to post this again...
Immigration to USA will never solve the p…</t>
  </si>
  <si>
    <t>RT @Cernovich: People should stop writing about this story I'm writing about.
Of course the issue isn't her blog posts, whatever, she was…</t>
  </si>
  <si>
    <t>RT @KamVTV: Remember! It is not the fear of Trump causing damage to the country. It’s the fear of his success. If Trump succeeds, the left…</t>
  </si>
  <si>
    <t>RT @KapilGuptaMD: THE TRUTH ABOUT EMOTIONS
1) The Truth is always antithetical
2) The Truth is often unimaginable
3) For it runs so cont…</t>
  </si>
  <si>
    <t>RT @DonaldJTrumpJr: Woah, looks like my pals @realcandaceO and @charlieKirk11 hanging with @kanyeWest yesterday. This should be interesting…</t>
  </si>
  <si>
    <t>RT @mcgilh: NBC staffers felt pressured to sign letter defending Brokaw https://t.co/dselcZRJ5i via @pagesix</t>
  </si>
  <si>
    <t>RT @VisioDeiFromLA: #MoLeg BS:
The accusers credible!
😂
REALITY:
#Greitens accusers NOT CREDIBLE!
😤
FYI:
If U have 2 release SHAM ADDENDU…</t>
  </si>
  <si>
    <t>RT @VisioDeiFromLA: The fact that the criminal justice system has been grossly abused to create this witch hunt doesnt matter?
The @MOHous…</t>
  </si>
  <si>
    <t>RT @VisioDeiFromLA: "Greitens campaigned mostly on cleaning up the tax credit mess ... Everybody thought it was just a campaign promise. Bu…</t>
  </si>
  <si>
    <t>RT @EdBigCon: Great article! #moleg  https://t.co/koE3WxGpIV</t>
  </si>
  <si>
    <t>Kander still lost to blunt and favors illegal aliens over Americans https://t.co/IvdClZsC8y</t>
  </si>
  <si>
    <t>RT @EdBigCon: @jrosenbaum @scottfaughn Don't forget that Rex Sinquefield funds the Missouri Times! #moleg</t>
  </si>
  <si>
    <t>RT @VisioDeiFromLA: Which means #MoLeg committee headed by barnes &amp;amp; much of #MoGov is tainted &amp;amp; has bias against @EricGreitens 
The people…</t>
  </si>
  <si>
    <t>RT @magathemaga1: ⚠️ BREAKING ⚠️
Sketch released of person who convinced PS to go to KMOV with made up story about #Greitens &amp;amp; KS
Since #…</t>
  </si>
  <si>
    <t>@MaxwellAFillion @ws_missouri Funny how nobody wants to answer the question or discuss it. I posted it for discussion.... who else is involved. Seems reasonable to ask</t>
  </si>
  <si>
    <t>RT @HennessySTL: Missouri Crimes https://t.co/0MW60r2SwY https://t.co/0anQbgsfEX</t>
  </si>
  <si>
    <t>RT @HennessySTL: And this crooked MO House committee (they all hang out in Candy Man @ScottFaughn's weird party pad in JC after hours) is a…</t>
  </si>
  <si>
    <t>@strmsptr @ws_missouri Is it really baseless after today's news? I asked him to tell me why my question was stupid yet he didnt reply. Obvisouslg the repeater is a greirens hater and is mad we are asking good questions</t>
  </si>
  <si>
    <t>RT @VisioDeiFromLA: I didnt know U controlled what people say
Regardless, faughns role in #MoneyBagsAl situation insanely disturbing given…</t>
  </si>
  <si>
    <t>RT @DeplorableGoldn: RT🚨
Lol Jane trying to force a narrative. This absolutely matters to the public.. 
No the money doesn’t matter? 
Exp…</t>
  </si>
  <si>
    <t>@TomJEstes Just have the right beneficiaries https://t.co/dIhcL6cI8Y</t>
  </si>
  <si>
    <t>@RiverfrontTimes @VisioDeiFromLA Excuse me. Use this one please!
#MoLeg #MoGov #greitens #ScamminScotty https://t.co/N4rSRjwnR5</t>
  </si>
  <si>
    <t>RT @VisioDeiFromLA: Good old ESTABLISHMENT tessa spinning for #MoLeg
it was timed to take attention off the @scottfaughn revelations.
It…</t>
  </si>
  <si>
    <t>RT @HotPokerPrinces: Any Elected Official that involves themselves with Biased Scott Faughn should RESIGN
All TV
All Radio 
All RT of MT a…</t>
  </si>
  <si>
    <t>RT @Trader_Moe: Obvious from the start. https://t.co/VJzhhFOEdX</t>
  </si>
  <si>
    <t>@Avenge_mypeople @MOHouseGOP @EricGreitens @paulcurtman @MissouriGOP I think thats another rex</t>
  </si>
  <si>
    <t>RT @Str8DonLemon: Simple question. It's designed to create conversation. If its stupid, then explain why?
Given FUSION GPS paid journalist…</t>
  </si>
  <si>
    <t>@RealTravisCook Total joke. We need to ask what other journalists are in on this!</t>
  </si>
  <si>
    <t>Simple question. It's designed to create conversation. If its stupid, then explain why?
Given FUSION GPS paid journalists in 2016 (FACT) to lie about Trump, why not ask it?
Odd U are concerned by questions from citizens than payments made 
Your bias betrays you
#moleg #MoGov https://t.co/cFzuquk30Q</t>
  </si>
  <si>
    <t>RT @RealJamesWoods: 🖕Wait, did you say “hand?” But seriously, Hills, are you going to rebuild our infrastructure like you and Bill and the…</t>
  </si>
  <si>
    <t>RT @KazeSkyz: CNN so mad 🤣🤣🤣
#CNNCredibilityCrisis
https://t.co/jCvrHqVDFV</t>
  </si>
  <si>
    <t>RT @Str8DonLemon: Ok I've gotta ask. People keep dropping this name.
But who is REX?
Sorry, but I'm a political newbie.
Who is REX?
#Mo…</t>
  </si>
  <si>
    <t>@MarcGagne16 @MOHouseGOP @EricGreitens @paulcurtman @MissouriGOP Good response. Thank you. I'll research this link #MoLeg</t>
  </si>
  <si>
    <t>RT @Str8DonLemon: Question #MoLeg
If @scottfaughn was getting paid, what other journalists were getting paid???
Any at all?
Fair questio…</t>
  </si>
  <si>
    <t>RT @TomJEstes: I’m writing a book. To which lawyer do I give my 50K? I have it ready to go in a brown paper bag. #moleg</t>
  </si>
  <si>
    <t>Question #MoLeg
If @scottfaughn was getting paid, what other journalists were getting paid???
Any at all?
Fair question. Might also explain how @KMOV laughable reporting on KS Greitens affair became weaponized... meaning turning nothing into something ...
#MoGov #stlouis #stl https://t.co/75nyjZ3N8I</t>
  </si>
  <si>
    <t>Are you even paying attention to the news?
It's a total scam job.
#moleg #mogov https://t.co/NmUpQ2p51R</t>
  </si>
  <si>
    <t>RT @memoriadei: What say you #gop #hawley #committee #moleg https://t.co/wVxwnRsbpF
Glad you stood your ground @GovGreitensMO</t>
  </si>
  <si>
    <t>Ok I've gotta ask. People keep dropping this name.
But who is REX?
Sorry, but I'm a political newbie.
Who is REX?
#MoLeg #mogov #greitens @MOHouseGOP @EricGreitens @paulcurtman @MissouriGOP https://t.co/fUAVqb4Z5G</t>
  </si>
  <si>
    <t>RT @seanhannity: Border showdown in San Diego https://t.co/UdOg7pEiOq</t>
  </si>
  <si>
    <t>RT @Thomas1774Paine: Gotta rock the boat. Tired of corrupt bullshit. THIS IS NOT a country I want for my kids and grandkids.</t>
  </si>
  <si>
    <t>RT @Str8DonLemon: Honestly, can we take #MoLeg seriously when the accuser was prancing around Jeff City with "close friends" a year before…</t>
  </si>
  <si>
    <t>RT @J_Hancock: Missouri publisher helped pay Al Watkins, lawyer for ex-husband in Greitens affair
https://t.co/gpo77UNprJ #MOleg #greitens…</t>
  </si>
  <si>
    <t>RT @VisioDeiFromLA: So #MoLeg little report. Lol. It adds nothing! Still 0 cross examination!
Did @MOHouseGOP just put it out to cover up…</t>
  </si>
  <si>
    <t>RT @VisioDeiFromLA: You should ask #MoLeg about affair they all knew about in 2016... this "addendum" is a stunt
The witness testimony con…</t>
  </si>
  <si>
    <t>RT @JW1057: Why is your "conscience" bothering you? You were just going to talk.
#moleg #mogov #greitens #KimShady #IStandWithGreitens htt…</t>
  </si>
  <si>
    <t>RT @VisioDeiFromLA: The aforenentioned accuser kept seeing @EricGreitens 
Period. She didnt go to the police. This was 3 years ago.
Sorry…</t>
  </si>
  <si>
    <t>RT @Sticknstones4: @JW1057 @jaybarnes5 The people of Missouri are not buying 
crooked #moleg BS &amp;amp;  all their behind close door meeting 
Ho…</t>
  </si>
  <si>
    <t>RT @magathemaga1: They are lying Lauren. And you are praying on dumb people to actually believe this. If you actually read both, INCONSISTE…</t>
  </si>
  <si>
    <t>RT @magathemaga1: The committee has no justification. 
They just released a SHAM report to try to cover up the mistake they made in not cr…</t>
  </si>
  <si>
    <t>RT @VisioDeiFromLA: What little incident has confirmed to me is that the anti #greitens #MoLeg &amp;amp; media in this state are coordinating on st…</t>
  </si>
  <si>
    <t>RT @AngelaLily0501: Getting text messages from @HawleyMO is so annoying as I'm voting for @Monetti4Senate #Greitens #moleg https://t.co/z3e…</t>
  </si>
  <si>
    <t>RT @Monetti4Senate: #ReadyforMonetti MAGA truck is on the roll again this time to Johnson County Right to Life meeting. We must do all we c…</t>
  </si>
  <si>
    <t>RT @AngelaLily0501: #MAGA #moleg @realDonaldTrump @ScottPresler @DonaldJTrumpJr https://t.co/Mx5CG1ZwtR</t>
  </si>
  <si>
    <t>RT @EdBigCon: @KMOXKilleen Don't forget that Rex Sinquefield funds the Missouri Times and Clayton Times! #moleg</t>
  </si>
  <si>
    <t>RT @VisioDeiFromLA: Great point! 
#moleg #MoGov #Greitens https://t.co/rEbmSlY4Pl</t>
  </si>
  <si>
    <t>RT @EdBigCon: @slewzq @tonymess @scottfaughn @MissouriTimes @slewzq You forgot to add Rex Sinquefield! He funds the Missouri Times and Clay…</t>
  </si>
  <si>
    <t>RT @SKOLBLUE1: I want @scottfaughn to address the comments during his live feed! He had a ton of good questions by local media! What a cowa…</t>
  </si>
  <si>
    <t>RT @StevenDialTV: The man at the center of the alleged mystery money @scottfaughn talks. He read a @tonymess tweet about the mystery money…</t>
  </si>
  <si>
    <t>RT @TomJEstes: Hi, Jane. I have never commented on the House members. I’m just curious about what you knew about the 50K payment made to th…</t>
  </si>
  <si>
    <t>Honestly, can we take #MoLeg seriously when the accuser was prancing around Jeff City with "close friends" a year before accusations. 
Because they are made up.
Follow the money!
#MoGov #Greitens #mosen https://t.co/3p8LDUOI0Q</t>
  </si>
  <si>
    <t>RT @JW1057: @jaybarnes5 "As a result, the Committee will no longer provide such deference to [EG] cherry-picked evidence."
Barnes then adm…</t>
  </si>
  <si>
    <t>RT @TomJEstes: So, the convicted felon who owns the failing and insignificant Missouri Times, Scott Faughn, paid a lawyer $50K to try and b…</t>
  </si>
  <si>
    <t>RT @JW1057: @KRCG13 There's nothing in this "report" that causes me to conclude that this is NOT sham committee run by the unethical and co…</t>
  </si>
  <si>
    <t>RT @VisioDeiFromLA: They are lying.
They are lying 
They are lying
What makes her credible?
As a lawyer, you should know she wasnt even c…</t>
  </si>
  <si>
    <t>RT @RealTravisCook: But...but...but...he's just writing a book!  And he just so happens to have hired the same attorney that Phil Sneed has…</t>
  </si>
  <si>
    <t>@christoferguson Lol this is getting crazy</t>
  </si>
  <si>
    <t>RT @christoferguson: Scott Faughn publisher of Missouri Times is source of mysterious $50k payment in Greitens case. 2nd payment origin sti…</t>
  </si>
  <si>
    <t>RT @VisioDeiFromLA: Isn’t it convenient the media and the corrupt @MOHouseGOP they timed the release of the addendum to coincide with the b…</t>
  </si>
  <si>
    <t>RT @CStamper_: Soros-backed Kim Gardner’s witch hunt was launched when a media member who has been criticizing the governor for years hand…</t>
  </si>
  <si>
    <t>RT @CStamper_: Did he ever disclose that conflict of interest to his viewers? To the stations that air his show? #moleg #mogov https://t.co…</t>
  </si>
  <si>
    <t>RT @CStamper_: In November 2017 Scott Faughn was sued for not paying his bills. In February 2018 he secretively hand-delivered $50,000 in c…</t>
  </si>
  <si>
    <t>RT @Str8DonLemon: So @scottfaughn paid #MoneyBagsAl 50k to concoct this scheme... or was he just the message boy?
To all schemers out ther…</t>
  </si>
  <si>
    <t>RT @KatiePavlich: White House says reports about Dr. Ronny Jackson leaving his position as Trump’s physician are false and that there are n…</t>
  </si>
  <si>
    <t>So @scottfaughn paid #MoneyBagsAl 50k to concoct this scheme... or was he just the message boy?
To all schemers out there, just want to say @MissouriTimes did great story on me &amp;amp; all I had to do was make crappy memes! 
You got played 😂😂 #MoGov #MoLeg #Greitens #stlouis #stl https://t.co/1sn6DwN8cp</t>
  </si>
  <si>
    <t>RT @Avenge_mypeople: Just to put this whole #Greitens  affair in perspective: Scott Faughn, owner of Missouri Times gave at least $50,000 t…</t>
  </si>
  <si>
    <t>@Avenge_mypeople Lol</t>
  </si>
  <si>
    <t>RT @Kredo0: WOW: Israeli spies smuggled out Iran's top secret nuke weapons files. Definitive proof Iran still secretly developing nuke weap…</t>
  </si>
  <si>
    <t>RT @VisioDeiFromLA: MO Supreme Court has denied bid to prevent the #MoneyBagsAl deposition
HT: @jrosenbaum 
#moneybagsal #moleg #mogov #m…</t>
  </si>
  <si>
    <t>RT @VisioDeiFromLA: #Moleg investigative committee also didnt cross examine the witnesses 
They screwed up in own way! And if you actually…</t>
  </si>
  <si>
    <t>RT @Sticknstones4: Could @AGJOSHHAWLEY conduct an investigation of all of #molegs social media 
How many elected officials have blocked con…</t>
  </si>
  <si>
    <t>RT @VisioDeiFromLA: #stl
#KCMO
#MoLeg
#MoGov
#Missouri
#Stlouis
#Greitens 
#MoneyBagsAl
#Breaking 
MUST LISTEN TO!
👇👇👇👇👇 https://t.co/7Ee…</t>
  </si>
  <si>
    <t>RT @magathemaga1: Looking forward to this deposition, #MoneyBagsAl!
#moleg #Mogov #kimshady #stlouis  #stl #kcmo #greitens #Missouri #BREA…</t>
  </si>
  <si>
    <t>RT @VisioDeiFromLA: Credit is due: Solid reporting by @jrosenbaum on #MoneyBagsAl &amp;amp; mysterious 100 k payment
Read/Retweet &amp;amp; ask yourself:…</t>
  </si>
  <si>
    <t>RT @magathemaga1: #MoneyBagsAl must tell us:
✔Where the $$$ came from?
✔What was it for?
✔How much did KS or PS get?
✔Who was name of "Cou…</t>
  </si>
  <si>
    <t>RT @AnnCoulter: What on earth ...? https://t.co/E0L1x9Do1N</t>
  </si>
  <si>
    <t>RT @JxhnBinder: Background on what H-2B visa has done to blue-collar Americans' wages: https://t.co/ENWKO7iPDq
https://t.co/iuMJpHRzd8</t>
  </si>
  <si>
    <t>RT @JxhnBinder: Trump statement on foreign guest workers especially odd *in context* considering he was making off the cuff plea to farmers…</t>
  </si>
  <si>
    <t>RT @Steve_Sailer: Upper West Side Parents Not Pleased with Public School Diversity Push
https://t.co/rsbEcKWcnj https://t.co/cEOwuHXZ68</t>
  </si>
  <si>
    <t>RT @bbute: Sure, the caravan migrants want to be American. https://t.co/F2WRqJczKw</t>
  </si>
  <si>
    <t>RT @PKsbpdl: Tax cuts are meaningless (both short-term and long-term) if we have no wall to protect our border. https://t.co/a5XGId44VN</t>
  </si>
  <si>
    <t>RT @AnnCoulter: OOPS. In response, Mexico "began handing out temporary visas that gave [illegals] legal status to travel to the border." 
h…</t>
  </si>
  <si>
    <t>RT @AnnCoulter: "Amnesty International hoisted a billboard promoting the right to asylum in the U.S. on a truck in Tijuana that drove aroun…</t>
  </si>
  <si>
    <t>RT @AnnCoulter: "Four locations in Tijuana were being set up for lawyers to tell the migrants [how to] turn themselves in to U.S. custody f…</t>
  </si>
  <si>
    <t>RT @AnnCoulter: They're all getting in. https://t.co/UrzecD9BBz</t>
  </si>
  <si>
    <t>RT @AnnCoulter: "They sang the Honduran national anthem, and supporters on the San Diego side of the fence waved a Honduran flag." https://…</t>
  </si>
  <si>
    <t>RT @AnnCoulter: Far from being 'broken up' as Trump claimed on Thursday morning, the caravan was being helped on its way to Mexico City wit…</t>
  </si>
  <si>
    <t>RT @AnnCoulter: Illegal alien DEPORTED BY OBAMA to @realDonaldTrump:
"Trump is crazy. He's racist. The National Guard doesn't worry me, it'…</t>
  </si>
  <si>
    <t>RT @AnnCoulter: THEY'RE TERRIFIED, KIRSTJEN!  
Homeland Security's Nielsen to caravan: "You will be referred for prosecution!" 
Caravan:…</t>
  </si>
  <si>
    <t>RT @AnnCoulter: Now back to solving China's problem (North Korea), Europe's problem (Syria) and Israel's problem (Iran) ...  https://t.co/R…</t>
  </si>
  <si>
    <t>RT @AnnCoulter: 'We'll see you soon Mr President!' https://t.co/RNF9GL6i9T</t>
  </si>
  <si>
    <t>RT @ColumbiaBugle: Trump has to stop this insanity. https://t.co/tONTZbX9FW</t>
  </si>
  <si>
    <t>RT @JoeFreedomLove: Netanyahu Says Iran Had Secret Plan to Build Nuclear Weapons https://t.co/NUsbwqD7JL</t>
  </si>
  <si>
    <t>RT @JackPosobiec: Barack Obama: How can this be! https://t.co/jh5apKPh8d</t>
  </si>
  <si>
    <t>RT @OfficeOfMike: JUST IN: South Korean President Moon Jae-in says President Donald Trump deserves a Nobel Peace Prize for his efforts to e…</t>
  </si>
  <si>
    <t>RT @ScottAdamsSays: To be fair, she did achieve your goal of unifying the country. https://t.co/7Bj2hxEQMH</t>
  </si>
  <si>
    <t>RT @michie1266: The Iranian nuclear program is active. Don't ever forget the millions in cash delivered to them by Obama.
LIVE: Netanyahu G…</t>
  </si>
  <si>
    <t>RT @JackPosobiec: Told ya https://t.co/wwgTtPoUpc</t>
  </si>
  <si>
    <t>Good morning #MoLeg and #Mogov
So the witch hunt on @EricGreitens is still going on?
#greitens</t>
  </si>
  <si>
    <t>RT @Sticknstones4: #moleg should be forced to do the same 
They don’t respect who the voters elect
Bunch of Bullies  
BEEP BEEP🔊 https://…</t>
  </si>
  <si>
    <t>RT @VisioDeiFromLA: This ain't a gun issue. Its downtown st.louis
#moleg #mogov #stlouis https://t.co/WlmzkqCoyo</t>
  </si>
  <si>
    <t>RT @VisioDeiFromLA: Hey tessa, 
So what.
This just further proves that you people dont care about innocence or guilt. Oh he answered ques…</t>
  </si>
  <si>
    <t>RT @JCunninghamMO: FINALLY A REPORTER GOES DIRECTLY TO THE PEOPLE AND GETS WHAT I’VE BEEN HEARING. OVERZEALOUS ELECTED OFFICIALS ARE SHOOTI…</t>
  </si>
  <si>
    <t>RT @shesova: The #moleg standard. Charge .@EricGreitens with anything to get a Rep out of office. @MissouriGOP @molegislature @StLouisCityC…</t>
  </si>
  <si>
    <t>RT @magathemaga1: Reminder: she kept coming back.
Reminder: she didn’t go to the police.
Reminder: people do have kinky sex.
Reminder: n…</t>
  </si>
  <si>
    <t>RT @VisioDeiFromLA: (1) KCSTAR IS GARBAGE THREAD
The Kansas City Star does an editorial and just Spews lies and nonsense. 
Here I'll brea…</t>
  </si>
  <si>
    <t>RT @magathemaga1: @RoyBlunt correct
#greitens should not resign &amp;amp; should not be impeached unless he actually did something wrong related t…</t>
  </si>
  <si>
    <t>RT @VisioDeiFromLA: So as a reporter, do you know ProPublica is liberal garbage, bordering on the point of straight up propaganda?
You rep…</t>
  </si>
  <si>
    <t>RT @Mizzourah_Mom: Thank you Senator @RoyBlunt !
Voters in Missouri appreciate due process. Gov. #Greitens deserves the right to a fair tr…</t>
  </si>
  <si>
    <t>RT @Norasmith1000: @Shawtypepelina Maria is too busy touting her "reparations" agenda to do much for her constituents.  Oh, and then there'…</t>
  </si>
  <si>
    <t>RT @toadtws: @KttsnewsMike Memo
To: Leftie Women Trying To Bring Down A Conservative GOP Governor
Re: Common Sense
When trying to claim t…</t>
  </si>
  <si>
    <t>RT @VisioDeiFromLA: (2) Paragraph 2
1. Hawley waited right until SOL just about ran out.
2. He has CLEAR COI as hes running for office and…</t>
  </si>
  <si>
    <t>RT @Sticknstones4: Missouri U.S. Sen. Roy Blunt says it is premature to call for the resignation of Gov. Eric Grietens.
#moleg #dueprocess…</t>
  </si>
  <si>
    <t>RT @repdottieb4mo: Trivia night for Tony Lavosco @AP4Liberty @jeffreyscarson @paulcurtman @BillEigel #LibertyTable #MOSEN #MOleg https://t.…</t>
  </si>
  <si>
    <t>RT @971FMTalk: @AP4Liberty w/ @MarcCox971 talking #moleg #CaravanOfIllegals &amp;amp; more: https://t.co/SpWwmF93yr https://t.co/r2g4sFInom</t>
  </si>
  <si>
    <t>RT @RealTravisCook: If #BallparkVillage hadn't been a #gunfreezone, &amp;amp; if the patrons there had been allowed to carry their own guns, then t…</t>
  </si>
  <si>
    <t>RT @realDonaldTrump: Numerous countries are being considered for the MEETING, but would Peace House/Freedom House, on the Border of North &amp;amp;…</t>
  </si>
  <si>
    <t>RT @BarakRavid: BREAKING: PM NETANYAHU WILL GIVE A SPEECH 8PM AND EXPOSE NEW INTELLIGENCE ON THE IRANIAN NUCLEAR PROGRAM, ISRAELI OFFICIAL…</t>
  </si>
  <si>
    <t>RT @alimhaider: I’d like to hear @JakeTapper address this. Was Clapper offered a lucrative job at @CNN in exchange for the secrets he leake…</t>
  </si>
  <si>
    <t>RT @JackPosobiec: Jake Tapper’s novel Hellfire Club is about a well-intentioned young man who moves to DC with his wife but quickly gets bl…</t>
  </si>
  <si>
    <t>Jake is a little upset. Nobody believes him and he realized my girlfriend is hotter than his wife. https://t.co/bJucQh3xEz</t>
  </si>
  <si>
    <t>Sad!
#Censorship 
#guns https://t.co/s2D0THFTWa</t>
  </si>
  <si>
    <t>RT @FLOTUS: Heartened to see children affected by tragedy using their voices to try and create change. Wonderful to meet and speak with Sto…</t>
  </si>
  <si>
    <t>Sorry @JohnKasich 
Nobody will support a man who puts illegals before American citizens https://t.co/WrX5XQ2ywo</t>
  </si>
  <si>
    <t>RT @PatriotMarie: @MrsMalindo @writemombritt @POTUS He’s so LOST‼️We once again will shock them all with a #RedWaveRising in November we ❤️…</t>
  </si>
  <si>
    <t>RT @BecketAdams: In the past 24 hours, big league journalists and pundits have rallied to the defense of Joy Reid, who is clearly lying, an…</t>
  </si>
  <si>
    <t>RT @Harlan: They said President @realDonaldTrump couldn’t win. 
• But, he did.
They said he couldn’t defeat ISIS. 
• But, he did.
They sa…</t>
  </si>
  <si>
    <t>RT @BG_exdem: @Jennifrrrrr @Jeanie4Parkway @jallman971 @971FMTalk @SpeakerTimJones A gerrymandering scheme is buried in the language of the…</t>
  </si>
  <si>
    <t>RT @scrowder: Not all babies get tears from Jimmy Kimmel. Got it. #AlfieEvans https://t.co/ebt48exgod</t>
  </si>
  <si>
    <t>RT @BG_exdem: @Jennifrrrrr @Jeanie4Parkway @jallman971 @971FMTalk @SpeakerTimJones So the initiative is about gerrymandering. Thanks for th…</t>
  </si>
  <si>
    <t>RT @magathemaga1: @RealTravisCook @sleepingrodent @realJLogan @AP4Liberty @Avenge_mypeople @Shawtypepelina @SKOLBLUE1 @MissouriGOP @Speaker…</t>
  </si>
  <si>
    <t>RT @magathemaga1: #missouri #CleanMissouri https://t.co/ZeuZtN27Ty</t>
  </si>
  <si>
    <t>RT @magathemaga1: @repdottieb4mo @robschaaf #Missouri #CleanMissouri #Scam #DeclineToSign https://t.co/EpHYiL1zOE</t>
  </si>
  <si>
    <t>RT @DeplorableGoldn: RT #moleg #mosen #CleanMissouri https://t.co/IxSruRjXOq</t>
  </si>
  <si>
    <t>RT @Lautergeist: This #CleanMissouri is nothing at all what they imply!  Read this!! https://t.co/trJeXSuQ40</t>
  </si>
  <si>
    <t>RT @Midwestfitz: Clean Missouri is another liberal scam to wool over the sheep's heads... say no to #cleanmissouri https://t.co/SVMcL2ugp7</t>
  </si>
  <si>
    <t>RT @Lautergeist: Spread this FAR &amp;amp; WIDE.  Tell your grandma.  Tell your college kids.  Tell your military family.  TELL EVERYONE!  #CleanMi…</t>
  </si>
  <si>
    <t>RT @realDonaldTrump: Allegations made by Senator Jon Tester against Admiral/Doctor Ron Jackson are proving false. The Secret Service is una…</t>
  </si>
  <si>
    <t>RT @magathemaga1: @SpeakerTimJones It's a scam
#CleanMissouri #Soros #Missouri #stlouis #stl #SCAM #moleg #mogov @HannahKellyMO https://t.…</t>
  </si>
  <si>
    <t>RT @magathemaga1: #Missouri Supreme Court says Greitens' accuser must turn over phone 4 examination
"...woman told a House committee last…</t>
  </si>
  <si>
    <t>RT @GlenWoodfin: .@JoyAnnReid Oddly Claims: 'I Genuinely Do Not Believe I Wrote Those Hateful Things'. Joy Reid Just Admitted Her Posts Wer…</t>
  </si>
  <si>
    <t>RT @Tia6sc: #RedWaveRising2018
Blue State Blues: How Jeff Sessions Might Save the Republican Congress https://t.co/puu2EG8rub</t>
  </si>
  <si>
    <t>RT @Fuctupmind: @cher Cher, when bus loads of illegals figure out her home address.
#EndDACA #AdiosDACA https://t.co/AZvqn5VNo7</t>
  </si>
  <si>
    <t>They are illegal aliens, cher. Must be easy to say stupid shit like this when your rich.
What about homeless?
What about homeless veterans? https://t.co/qByrduJ1Wo</t>
  </si>
  <si>
    <t>RT @MarkRocon: I'll believe when I see it, remember you were moving to Canada?
Saying and doing seem to mean two totally different things i…</t>
  </si>
  <si>
    <t>RT @Real_Gaz: Really Tom, you're the victim of a media "drive by"?
You and all the MSM have been sniping @realDonaldTrump for 2 damn years…</t>
  </si>
  <si>
    <t>RT @bocavista2016: CAN'T MAKE IT UP
#JoyReid was busted for #Homophobia
She apologized
She's then busted for #Islamophobia
She blames hac…</t>
  </si>
  <si>
    <t>RT @VisioDeiFromLA: This is absurd.
I dont care if you think @EricGreitens is guilty or innocent, but Hawley needs to be off case as he ha…</t>
  </si>
  <si>
    <t>RT @inthejungle234: Looks like @Rep_TRichardson  one of @mikeparson boys and wants to screw over missourians and undo an election.
#moleg…</t>
  </si>
  <si>
    <t>RT @magathemaga1: @HennessySTL @VisioDeiFromLA @robschaaf #CleanMissouri #missouri #SCAM #moleg #mogov #mosen
It's a scam! https://t.co/1a…</t>
  </si>
  <si>
    <t>RT @VisioDeiFromLA: (9)
13. So... You mean 2 tell me that u just slandered @EricGreitens &amp;amp; accused him of horrible things only for that to…</t>
  </si>
  <si>
    <t>RT @VisioDeiFromLA: (6)
10. Why not just present entire case to the public? Why just leak bits &amp;amp; pieces?
Cuz people like @Rep_TRichardson…</t>
  </si>
  <si>
    <t>RT @VisioDeiFromLA: (2) 
3. The media and those who attacked @EricGreitens on this never for one minute had any credibility since they ALL…</t>
  </si>
  <si>
    <t>RT @JW1057: @lindsaywise @EricGreitens What is Kitty have on the phone? Nude pictures of herself? Financial transactions from a mysterious…</t>
  </si>
  <si>
    <t>RT @memoriadei: #moleg #greitens @AGJoshHawley If you #gop stand with McCaskill against @GovGreitensMO you wont get my vote. You call butch…</t>
  </si>
  <si>
    <t>RT @magathemaga1: @HennessySTL @EdBigCon @robschaaf Clean Missouri is a scam
#moleg #mogov #missouri #cleanmissouri https://t.co/0kCV3Ts0bT</t>
  </si>
  <si>
    <t>RT @VisioDeiFromLA: (5) 
9. Greitens haters clearly want impeachment, regardless of facts slow dripping legalese for maximum damage cuz th…</t>
  </si>
  <si>
    <t>RT @VisioDeiFromLA: (1) Thread.
Brian this is actually objective reporting unlike 99 percent I see on #MoLeg
1. They are moving away beca…</t>
  </si>
  <si>
    <t>RT @SKOLBLUE1: #donnybrookstl Thank you for talking about #Greitens tonight! It is refreshing to hear a few of you acknowledge these indict…</t>
  </si>
  <si>
    <t>RT @Sticknstones4: @Mizzourah_Mom @marinevet1982 @mefbama @VisioDeiFromLA Cause we have a bunch of crooks in #moleg
That meet behind closed…</t>
  </si>
  <si>
    <t>RT @VisioDeiFromLA: (7) 
11. If they had a case, you wouldn’t have law makers sitting on twitter worrying about arguing with constituents…</t>
  </si>
  <si>
    <t>RT @magathemaga1: My friends &amp;amp; my enemies
We may disagree on #Greitens but agree #Missouri a red state &amp;amp; must remain so
Clean Missouri is…</t>
  </si>
  <si>
    <t>RT @VisioDeiFromLA: (10)
14. That @Ptsbrian is the definition of a witch hunt. I want you to ask yourself. Y was whole investigation start…</t>
  </si>
  <si>
    <t>RT @christoferguson: Who is behind the curtain? #StL judge in Greitens case orders inquiry into source of $100,000 cash payment https://t.c…</t>
  </si>
  <si>
    <t>RT @inthejungle234: So @robschaaf sold out to Soros and the left?
Am I understanding that correctly?
Gotta pay the bills somehow...
#mol…</t>
  </si>
  <si>
    <t>RT @Avenge_mypeople: What's happening with the #Greitens case is astounding. The hired investigator, Tisaby, refused to answer any question…</t>
  </si>
  <si>
    <t>RT @Norasmith1000: I dont care if you love or hate @EricGreitens, think hes innocent or guilty, but nobody on either side can deny the abso…</t>
  </si>
  <si>
    <t>RT @Mizzourah_Mom: @marinevet1982 @mefbama @VisioDeiFromLA It's been a #witchhunt from day one. Started with the $100,000 money from an "an…</t>
  </si>
  <si>
    <t>RT @Norasmith1000: @RGreggKeller At this point, I wouldnt trust anything Gardner does or says about anything relating to ANY case against G…</t>
  </si>
  <si>
    <t>RT @magathemaga1: Governor #Greitens with Troopers at the Ft. Leonard Wood Hiring Our Hero’s event today. 
HT: @MSHPRecruiting @EricGreite…</t>
  </si>
  <si>
    <t>RT @VisioDeiFromLA: @Mizzourah_Mom @marinevet1982 @mefbama Problem of course is they are going after technicalities that may have been inad…</t>
  </si>
  <si>
    <t>RT @EdBigCon: @T_N_B7 I guess you get all your insider information from Clair McCaskill’s Campaign Finance Manager (Your Wifey @BreesNieds…</t>
  </si>
  <si>
    <t>RT @JoeFreedomLove: Jackass Party says: Black traitor Larry Elder speaks some truth. If our captivity of Blacks reduces to 80%, then Democr…</t>
  </si>
  <si>
    <t>RT @magathemaga1: @BobOnderMO @esqonfire @MissouriGOP #DeclineToSign #Missouri #Soros #Moleg #mogov https://t.co/TY91fLu6O7</t>
  </si>
  <si>
    <t>RT @SpeakerTimJones: THIS. https://t.co/9HOtN1Fy4F</t>
  </si>
  <si>
    <t>RT @EdBigCon: Is this a real photo of @robschaaf getting Instructions from Soros? #moleg https://t.co/gL8ld0zjjD</t>
  </si>
  <si>
    <t>RT @BobOnderMO: Great article by @esqonfire re why Missourians should not be fooled by “Clean Missouri” efforts by the far left to rig our…</t>
  </si>
  <si>
    <t>RT @memoriadei: https://t.co/QU7F9Vqoz3
#moleg #greitens #witchhunt</t>
  </si>
  <si>
    <t>RT @repdottieb4mo: “We are a nation of laws, not of men.” 
John Adams believed that men – all men – are fallible. Men will instinctively he…</t>
  </si>
  <si>
    <t>RT @USAloveGOD: #HistoryIn4Words 
TRUMP MADE IT HAPPEN https://t.co/xJc2wMMgI6</t>
  </si>
  <si>
    <t>RT @realJLogan: Some folks going around asking for signatures for "Clean Missouri" - DO NOT BE FOOLED. It sounds innocent but it is designe…</t>
  </si>
  <si>
    <t>RT @JackSuntrup: "The identity of the donor of the two $50,000 cash payments," the judge said, is "relevant in determining the prejudice or…</t>
  </si>
  <si>
    <t>RT @realDonaldTrump: After a furious year of missile launches and Nuclear testing, a historic meeting between North and South Korea is now…</t>
  </si>
  <si>
    <t>Hey @TwitterSupport I am still Shadow banned. I didn't do anything wrong besides be a conservative. Please unshadow ban me
@parscale @FCC @AjitPaiFCC @tedcruz</t>
  </si>
  <si>
    <t>RT @Monetti4Senate: How we’ve changed as a nation for the better. I recall Colonel “Doc” Boyd sharing how he and his wife went to a beach t…</t>
  </si>
  <si>
    <t>RT @Monetti4Senate: Keep speaking the truth, brother. It is time we rebuild our INNER CITIES - not sanctuary cities
Support AMERICAN DREAM…</t>
  </si>
  <si>
    <t>RT @ScottAdamsSays: I’m taking my dragon energy to talk to Alex Jones on InfoWars in a few minutes. My critics say I shouldn’t appear on In…</t>
  </si>
  <si>
    <t>RT @CountDankulaTV: You literally set up a multi-million pound "hate crime" unit that arrests people for mean tweets.
Sit down. https://t.…</t>
  </si>
  <si>
    <t>RT @JackPosobiec: Trump just won World War III without a shot fired</t>
  </si>
  <si>
    <t>RT @1776Stonewall: Gotta chalk the end to the Korean War as a win for Trump as well. The South Korean President has credited Trump for this…</t>
  </si>
  <si>
    <t>RT @RealJamesWoods: And take a job from a tax-paying American citizen... https://t.co/FWPc4WW5qj</t>
  </si>
  <si>
    <t>RT @charliekirk11: College campuses have become islands of totalitarianism &amp;amp; intolerance
Check out my segment w/ @DonaldJTrumpJr @EricTrum…</t>
  </si>
  <si>
    <t>RT @ToddRokitaIN: It is a witch hunt! The President is right, there has been no evidence of collusion. Clinton and her associates are the o…</t>
  </si>
  <si>
    <t>RT @realDonaldTrump: Just Out: House Intelligence Committee Report released. “No evidence” that the Trump Campaign “colluded, coordinated o…</t>
  </si>
  <si>
    <t>RT @realDonaldTrump: Kanye West has performed a great service to the Black Community - Big things are happening and eyes are being opened f…</t>
  </si>
  <si>
    <t>RT @CStamper_: When Claire loses her next election will she still be blaming “Russians,” or will she acknowledge that it’s because her far…</t>
  </si>
  <si>
    <t>RT @JackPosobiec: How long before a federal judge in Hawaii orders the Korean War must continue</t>
  </si>
  <si>
    <t>RT @RealTravisCook: They keep saying President #Trump is a moron...yet he's gotten more progress made in our issues with #NorthKorea than e…</t>
  </si>
  <si>
    <t>RT @IngrahamAngle: When will we see the headline: “Trump Ends the Korean War”? Unlike Obama, he actually deserves the Nobel Peace Prize. @r…</t>
  </si>
  <si>
    <t>RT @realDonaldTrump: Look forward to meeting with Chancellor Angela Merkel of Germany today. So much to discuss, so little time! It will be…</t>
  </si>
  <si>
    <t>@EricFarrisShow @JCunninghamMO It's alleged bud. Story isn't believable anyway</t>
  </si>
  <si>
    <t>RT @magathemaga1: #CleanMissouri is a total scam designed to take away voice of Missourians, wrapped in lipstick of "Clean Missouri"
#Soro…</t>
  </si>
  <si>
    <t>RT @Sticknstones4: @tkinder @EricGreitens Sworn court transcript refuting sham house report
100k delivery of cash 
Lead investigator lies &amp;amp;…</t>
  </si>
  <si>
    <t>RT @Norasmith1000: @stlbriancollins @KathieConway @Shawtypepelina @YearOfZero @RealTravisCook @inthejungle234 @Neilin1Neil @sdieckhaus @Eri…</t>
  </si>
  <si>
    <t>RT @magathemaga1: #BREAKING: #MoneyBagsAl, atty for ex-husband at center of #Greitens case, will have to answer questions Mon &amp;amp; identify wh…</t>
  </si>
  <si>
    <t>RT @RealTravisCook: Exactly--If he'll turn his back on #Greitens this quick, why would we think he won't do the same to President #Trump in…</t>
  </si>
  <si>
    <t>RT @AbbyLlorico: #BREAKING: Judge rules Al Watkins, atty for ex-husband at center of #GreitensTrial, will have to answer a round of questio…</t>
  </si>
  <si>
    <t>RT @MasonBilly87: ELIZABETH WARREN MAY LOSE HER SEAT TO A GOP NAVY SEAL https://t.co/FpDMxaHKG1</t>
  </si>
  <si>
    <t>RT @LadyRedStorm: #GodBlessOurMilitary #GodBlessTrump #GodBlessOurTroops #GodBlessAmerica VIDEO: President Trump Welcomes America’s Wounded…</t>
  </si>
  <si>
    <t>RT @JCunninghamMO: Wake up #moleg. You are funding this kind of indoctrination of Missouri students. Parkway School District and others are…</t>
  </si>
  <si>
    <t>RT @AdamCarollaShow: The doctor is in the house! Jordan Peterson joins the show tomorrow to give the world the recipe for raising children…</t>
  </si>
  <si>
    <t>Hey @TwitterSupport can you please remove this Shadow ban?
I feel like I'm being censored for being conservative and that is morale wrong. Hopefully it is something else.
Thanks and please take the Shadow ban off.
@parscale @AjitPaiFCC @FCC</t>
  </si>
  <si>
    <t>RT @melody_grover: Luck has nothing to do with it. Voters don't take kindly to rogue prosecutors corrupt PIs &amp;amp; overly ambitious politicians…</t>
  </si>
  <si>
    <t>RT @AP4Liberty: .@greg_price11 Hold him to it, Twitter land https://t.co/glmvNABBAa</t>
  </si>
  <si>
    <t>RT @Fuctupmind: Let's go bitch https://t.co/LMZmylwcMV</t>
  </si>
  <si>
    <t>RT @RationalGent: Invade a private game farm. 
Kill a buffalo with a spade. 
Police do nothing. 
Very South Africa. https://t.co/TeozwPr…</t>
  </si>
  <si>
    <t>RT @gal_deplorable: #WWG1WGA
#MAGA🇺🇸
#QAnon https://t.co/TJxLdgCY8x</t>
  </si>
  <si>
    <t>RT @kanyewest: Obama was in office for eight years and nothing in Chicago changed.</t>
  </si>
  <si>
    <t>RT @3PeopleLikeThis: @realdonaldtrump @TheEllenShow @UN @Oprah 
God save #AlfieEvans
What kind of "civilized" world do we live in?!
One chi…</t>
  </si>
  <si>
    <t>RT @VisioDeiFromLA: @AntonioFrench Antonio. The allegations are false. The women's testimony is inconsistent. The lawyer got paid 100k anon…</t>
  </si>
  <si>
    <t>RT @RealTravisCook: If #Liberals and #Democrats are this spooked by #KanyeWest finally questioning the Liberal Orthodoxy on Black America (…</t>
  </si>
  <si>
    <t>RT @AP4Liberty: 79.9% of @HawleyMO's money comes from large contributors. He gets more from PACs (7.69%) than he gets from regular people (…</t>
  </si>
  <si>
    <t>RT @Tell_Michelle_: Today, a federal judge ruled DACA must continue. Former President Obama said DACA was temporary. 
If Obama was able to…</t>
  </si>
  <si>
    <t>RT @AllenWest: #AlfieEvans’ story must be shouted from the rooftops. We must be his voice and the voice for others like him. #AlfieEvansArm…</t>
  </si>
  <si>
    <t>RT @magathemaga1: @inthejungle234 Why doesnt @MariaChappelleN resign if bob burns has to resign?
#moleg #mogov https://t.co/DJgegDetX5</t>
  </si>
  <si>
    <t>RT @TheNewRight: you coulda done this @Eminem
dumbass https://t.co/xEyHN26H3X</t>
  </si>
  <si>
    <t>RT @VisioDeiFromLA: @Dogan4Rep 
U are correct. The #GreitensIndictment isn't a partisan witch hunt
It is a BIPARTISAN witch hunt
This is…</t>
  </si>
  <si>
    <t>RT @Monetti4Senate: .@POTUS WINS...AGAIN. Thanks to his leadership, North and South Korean leaders are holding an historic summit.  He cont…</t>
  </si>
  <si>
    <t>RT @Norasmith1000: @LydaKrewson Mayor, whats going to happen to this budget when #kimgardner brings the judicial system to a halt cuz she s…</t>
  </si>
  <si>
    <t>RT @GrafVonGrau: Don’t care if she has no actual power. Fuck the queen for not stepping up and condemning this heinous act by “her” satanic…</t>
  </si>
  <si>
    <t>RT @perfectsliders: WHO WILL YOU VOTE FOR IN 2020? - According to the MSM media polls Biden will beat Trump 57% to 43% in 2020 election. #s…</t>
  </si>
  <si>
    <t>RT @kanyewest: Free thinkers don't fear retaliation for your thoughts.  The traditional thinkers are only using thoughts and words but they…</t>
  </si>
  <si>
    <t>RT @kanyewest: we got love https://t.co/Edk0WGscp6</t>
  </si>
  <si>
    <t>RT @kanyewest: my MAGA hat is signed 🔥🔥🔥🔥🔥🔥🔥🔥🔥🔥🔥🔥🔥🔥🔥🔥🔥🔥🔥🔥🔥🔥🔥🔥🔥🔥🔥🔥🔥🔥 https://t.co/DrDHJybS8V</t>
  </si>
  <si>
    <t>RT @chancetherapper: Black people don’t have to be democrats.</t>
  </si>
  <si>
    <t>RT @realDonaldTrump: MAGA! https://t.co/jFf5ONASlv</t>
  </si>
  <si>
    <t>RT @RichardNixon103: The Press is the Enemy.
The Press is the Enemy.
The Press is the Enemy.
The Press is the Enemy.
The Press is the Enemy…</t>
  </si>
  <si>
    <t>RT @RichardNixon103: Tom Brokaw. https://t.co/usfH761ndS https://t.co/59LaIY3lFs</t>
  </si>
  <si>
    <t>RT @CamEdwards: Students walk out of school to push gun control: no problem! 
Students go to range with dads during non-school hours to le…</t>
  </si>
  <si>
    <t>RT @smart_hillbilly: Office of the Chief Disciplinary Counsel: Revoke the law license of St. Louis Circuit Attorney Kim Gardner! - Sign the…</t>
  </si>
  <si>
    <t>@magathemaga1 @Shawtypepelina @Avenge_mypeople @HotPokerPrinces @RightSideUp313 @SKOLBLUE1 @Eric_Schmitt @MSTLGA @Lautergeist @MissouriGOP @blackwidow07  https://t.co/FR2vAK4ai0</t>
  </si>
  <si>
    <t>So what about the cake thing? https://t.co/E8XOfc2Z4n</t>
  </si>
  <si>
    <t>RT @magathemaga1: @Shawtypepelina @shellgame57 @MOLegDems @MoDemParty Good question
#MoLeg #MoGov #StLouis 
Why not call for her resignat…</t>
  </si>
  <si>
    <t>RT @RealTravisCook: Exactly--Phil Sneed's career was lagging, just as #Greitens career was on the ascendency. Kitty Sneed wouldn't be the f…</t>
  </si>
  <si>
    <t>RT @YearOfZero: @RealTravisCook Somebody needs to look at their financials #moleg #mogov #greitens
I said this yesterday and I’ll say it a…</t>
  </si>
  <si>
    <t>RT @magathemaga1: ⚠️ Hairdresser Alert ⚠️
Gonna cover this @JackSuntrup ?
We know media is lying so why arent you all looking into this $…</t>
  </si>
  <si>
    <t>RT @VisioDeiFromLA: @Shawtypepelina @for_congress @JW1057 @StoryoftheYear when did she get money is the question? looked it up &amp;amp; worked for…</t>
  </si>
  <si>
    <t>RT @VisioDeiFromLA: @Shawtypepelina @for_congress @JW1057 @StoryoftheYear That said... could be an explanation, but it looks very suspiciou…</t>
  </si>
  <si>
    <t>RT @VisioDeiFromLA: @Shawtypepelina @for_congress @JW1057 @StoryoftheYear @EricGreitens @Eric_Schmitt Have IRS look at both KS &amp;amp; PS financi…</t>
  </si>
  <si>
    <t>RT @ballotpedia: Gov. Greitens' attorneys accuse former lead investigator of perjury, demand dismissal of case or disqualification of prose…</t>
  </si>
  <si>
    <t>RT @JCunninghamMO: In America all are INNOCENT until PROVEN guilty. I will vote against any legislator who votes to impeach or calls for re…</t>
  </si>
  <si>
    <t>RT @Sticknstones4: @Rep_TRichardson  You Lied 🤥 in this interview
The house committee did not WORK on the report
Behind Closed Doors
The…</t>
  </si>
  <si>
    <t>RT @magathemaga1: An anonymous witness has come forward to ID the "Courier" who dropped off the money to #MoneyBagsAl 
Here is the witness…</t>
  </si>
  <si>
    <t>RT @Mizzourah_Mom: Well, well - Tisaby (lead investigator in the #Greitens #witchhunt showed up for the deposition today, but pleaded the 5…</t>
  </si>
  <si>
    <t>RT @Mizzourah_Mom: The defense should be allowed to have EVERYTHING this "investigator" touched stricken from the record.
#Greitens 
#Grei…</t>
  </si>
  <si>
    <t>RT @Mizzourah_Mom: #Kimshady banked on Tisaby to bring the charge against #Greitens. Looks like she made a big mistake. Anyone remember #Ni…</t>
  </si>
  <si>
    <t>RT @magathemaga1: #TriflingTisaby pleaded the 5th today.
Hmm.....
@EricGreitens @Eric_Schmitt
@Rep_TRichardson @RonFRichard
#moleg #mogov…</t>
  </si>
  <si>
    <t>RT @Sticknstones4: Shot dead before Lunch in broad daylight 
But Homocides are not important to our elected officials
Taking down Greiten…</t>
  </si>
  <si>
    <t>RT @SharylAttkisson: There's a battle being fought those who seek to create an artificial reality online &amp;amp; in the media. They want ppl to t…</t>
  </si>
  <si>
    <t>RT @KimKardashian: To the media trying to demonize my husband let me just say this... your commentary on Kanye being erratic &amp;amp; his tweets b…</t>
  </si>
  <si>
    <t>RT @DonaldJTrumpJr: #ImWithHer https://t.co/CoQVCJmbzH</t>
  </si>
  <si>
    <t>RT @charliekirk11: If you live in America you are not oppressed, a victim, or owed anything 
You are part of a group of the luckiest human…</t>
  </si>
  <si>
    <t>RT @magathemaga1: KS chose to see him
KS chose to continue the fling
KS didnt go to the police.
Sorry it was a consensual affair and it ta…</t>
  </si>
  <si>
    <t>RT @magathemaga1: You gonna demand Nadal and Frank's step too?
Y do they get a pass for bad behavior?
Gonna answer that?
They all go or…</t>
  </si>
  <si>
    <t>@Shawtypepelina Nice name!</t>
  </si>
  <si>
    <t>RT @magathemaga1: St. Louis also doesn’t need somebody who is anti cop like Bruce Franks JR or makes threats against the president like Nad…</t>
  </si>
  <si>
    <t>RT @magathemaga1: Is ‘Guilty Until Proven Innocent’ the New Standard?
Democrats &amp;amp; establishment Republicans don't support presumption of i…</t>
  </si>
  <si>
    <t>RT @HotPokerPrinces: Bob Burns Will Not Be Resigning
He’s not a surrender monkey 🐒 
Deal with it !
We’ve had to deal with 
Hate speech &amp;amp;…</t>
  </si>
  <si>
    <t>RT @magathemaga1: #Greitens pays tribute 2 fallen police officers at event 4/25 in St. Charles
His speech paid tribute 2 police killed in…</t>
  </si>
  <si>
    <t>RT @CStamper_: It’s the standard for Republicans. #moleg #mogov  https://t.co/mPBpHmSgEq</t>
  </si>
  <si>
    <t>RT @RealTravisCook: A consensual affair between two people now makes someone a "victim"???  The goalposts keep moving all the time... #MoLe…</t>
  </si>
  <si>
    <t>@TomJEstes @PPact Why does PP even get to be political?</t>
  </si>
  <si>
    <t>RT @TomJEstes: The leader of @PPact claims there is no specific moment when life begins. So much for medically accurate information. #moleg…</t>
  </si>
  <si>
    <t>RT @VisioDeiFromLA: I've spent years working with people like U
I've seen:
-The lies.
-The bias
-The coordinated stories 
-The lack of con…</t>
  </si>
  <si>
    <t>RT @Sticknstones4: All that money wasted in hiring Tisaby an outside investigator , that lies &amp;amp; takes the 5th.  This is a disgrace to our j…</t>
  </si>
  <si>
    <t>RT @Norasmith1000: @YearOfZero Im still waiting for the Dem outrage at Gardner for misconduct, perjury censure by judge, maybe hiding Tisab…</t>
  </si>
  <si>
    <t>@YearOfZero Agreed. I don't know who she is, but you can't censor the public</t>
  </si>
  <si>
    <t>RT @YearOfZero: 1. ALLEGED. It isn’t victim. IT IS ALLEGED victim
2. Block away
3. I WON’T say it, but no gag order on public. Public can t…</t>
  </si>
  <si>
    <t>@Shawtypepelina @MariaChappelleN @EricGreitens Woman is nuts</t>
  </si>
  <si>
    <t>RT @Keytesville1861: Lyda Krewson, mayor of St. Louis presided over censorship &amp;amp; removal of artwork in Forrest Park dedicated to people of…</t>
  </si>
  <si>
    <t>RT @magathemaga1: #GreitensIndictment explained:
-No evidence
-Consensual affair 
-Shady #KimShady
-No probable cause
-Ex husband out 4 re…</t>
  </si>
  <si>
    <t>RT @magathemaga1: The #KimShady show! 
Also starting #NoNotesTisaby 
A #Soros Production! 
#StLouis #donnybrookSTL https://t.co/BPcxfOHC…</t>
  </si>
  <si>
    <t>RT @magathemaga1: Listen 2 #MoneyBagsAl Explanation of getting 100 K payment from mystery man!
Same guy represents ex husband accusing #gr…</t>
  </si>
  <si>
    <t>RT @magathemaga1: @StevenDialTV @EricGreitens @41actionnews #MoneyBagsAl and #KimShady
At it again!
#moleg #mogov #mosen
#Missouri #StLou…</t>
  </si>
  <si>
    <t>RT @magathemaga1: #MoneyBagsAl took the money to create the #GreitensIndictment scam
#StLouis #Greitens https://t.co/YPiPHXax2w</t>
  </si>
  <si>
    <t>RT @VisioDeiFromLA: Hey @Dogan4Rep 
In this video you claim that the idea that the #greitensindictment is a partisan witch hunt is crazy.…</t>
  </si>
  <si>
    <t>@magathemaga1 @EricGreitens Lol</t>
  </si>
  <si>
    <t>RT @CStamper_: Soros-backed Kim Gardner is making an absolute mockery of the legal system. #moleg #mogov  https://t.co/LlUz2Zmptl</t>
  </si>
  <si>
    <t>RT @Norasmith1000: @ScottCharton @EricGreitens Apparently you are the one that has no shame, saying this is just a PR stunt is ridiculous.…</t>
  </si>
  <si>
    <t>RT @magathemaga1: Ok so any journalist going to ask any tough questions about #MoneyBagsAL?
@Eric_Schmitt
@RonFRichard 
@Rep_TRichardson…</t>
  </si>
  <si>
    <t>RT @CStamper_: When even the liberal @stltoday editorial board is referring to Soros-backed Kim Gardner’s political witch hunt as a “circus…</t>
  </si>
  <si>
    <t>RT @magathemaga1: As details came out, #greitens case only got stranger: private investigator had been found 2 have violated Alabama law by…</t>
  </si>
  <si>
    <t>RT @VisioDeiFromLA: It’s not a witch hunt
It’s not a witch hunt
It’s not a witch hunt
It’s not a witch hunt
It’s not a witch hunt
It’s not…</t>
  </si>
  <si>
    <t>RT @DeplorableGoldn: #Greitens pays tribute 2 fallen police officers at event today in St. Charles
His speech paid tribute 2 police killed…</t>
  </si>
  <si>
    <t>RT @magathemaga1: "attorneys learned that ... prosecution’s chief investigator, a man ... prosecution has compared to Inspector Clousseau,…</t>
  </si>
  <si>
    <t>RT @magathemaga1: Eric #Greitens in his own words.
"...Greitens is also wise enough to know people aren’t perfect. Even well-educated huma…</t>
  </si>
  <si>
    <t>RT @magathemaga1: Bruce Frank's Jr should resign for his anti cop language. Nadal must resigns for her threats against POTUS.
All 3 resign…</t>
  </si>
  <si>
    <t>RT @VisioDeiFromLA: @rememberruss @smart_hillbilly @EricGreitens An affair isnt illegal and it happened when he wasn't govenor.
Everybody…</t>
  </si>
  <si>
    <t>RT @Hope4Hopeless1: @SKOLBLUE1 @EricGreitens .@POTUS .@GovGreitensMo
.@EricGreitens
#WeStandWithGovGreitens 
#Missourians SEE that there…</t>
  </si>
  <si>
    <t>RT @magathemaga1: @GovGreitensMO Signs Executive Order Expanding Homeland Security Advisory Council 
“We’re working every day to keep Miss…</t>
  </si>
  <si>
    <t>RT @Sticknstones4: @YearOfZero @StevenDialTV @EricGreitens @41actionnews Al Watkins law office bldg has 24hr security, hope the inept house…</t>
  </si>
  <si>
    <t>RT @Hope4Hopeless1: @Ontheotherhand @DeplorableGoldn @magathemaga1 @EricGreitens @Eric_Schmitt @Sticknstones4 @SKOLBLUE1 @MOHouseGOP @Speak…</t>
  </si>
  <si>
    <t>RT @sigi_hill: Our hard working @GovGreitensMO gets his job done for MO while #MoLeg and @AGJoshHawley are blocking &amp;amp; colluding with crooke…</t>
  </si>
  <si>
    <t>RT @magathemaga1: "I can tell you, the people of Missouri stand with you," Gov. Eric Greitens said 2 annual memorial prayer breakfast of ST…</t>
  </si>
  <si>
    <t>RT @smart_hillbilly: @EricGreitens Queue liberal hypocrites in 3...2...1...</t>
  </si>
  <si>
    <t>RT @enoughalready16: @EricGreitens Excellent!</t>
  </si>
  <si>
    <t>RT @sigi_hill: #IStandWGovGreitens
#MoLeg #MoGov #MOSen #MoGOP #Greitens https://t.co/qBWpheFqZ9</t>
  </si>
  <si>
    <t>RT @magathemaga1: @FN4AP @AP4Liberty @HawleyMO #moleg #mogov #MOSen #Greitens
Sure is. https://t.co/jVlqufvY7n</t>
  </si>
  <si>
    <t>RT @magathemaga1: #Greitens Signs E.O. Expanding Homeland Security Advisory Council 
This EO will help insure every families from disaster…</t>
  </si>
  <si>
    <t>RT @KRCG13: Missouri Gov. Eric Greitens praised law enforcement Wednesday at a prayer breakfast in St. Louis. #MoGov https://t.co/cF4777rRL…</t>
  </si>
  <si>
    <t>RT @EricGreitens: Today, we signed an executive order to ensure Missouri’s Homeland Security Advisory Council has every resource to keep Mi…</t>
  </si>
  <si>
    <t>RT @senorrinhatch: Excellent news. @RichardGrenell will make an excellent ambassador. https://t.co/SnCnV2gcBs</t>
  </si>
  <si>
    <t>RT @PrisonPlanet: Trump to visit Britain in July. Expect levels of butt-hurt from cry-baby lefties like never before. https://t.co/Hy9BIIgn…</t>
  </si>
  <si>
    <t>RT @AP4Liberty: Yes! Because no one man should have all that power! https://t.co/8ViCO3AY8i</t>
  </si>
  <si>
    <t>RT @ArchKennedy: Former Senate Majority Leader Harry Reid warns democrats not to talk about impeaching Trump. 
Too late: Republicans are "…</t>
  </si>
  <si>
    <t>RT @JackPosobiec: @kanyewest  https://t.co/fytn82TxIg</t>
  </si>
  <si>
    <t>RT @RealJamesWoods: We pray for their survival. Can’t imagine anything so dangerous or challenging. Three very brave women! https://t.co/CX…</t>
  </si>
  <si>
    <t>RT @mynameislauraca: President Donald J. Trump to visit the UK in July! 🇬🇧 We are looking forward to his visit! @Nigel_Farage @JackPosobiec…</t>
  </si>
  <si>
    <t>RT @JackPosobiec: @kanyewest  https://t.co/WIFlbpuXN3</t>
  </si>
  <si>
    <t>RT @BigLeague2020: 🇺🇸COURTLAND SYKES FOR SENATE🇺🇸
♦️Pro-Trump
🔹Pro-MAGA
♦️Pro-Gun
🔹Pro-Life
♦️Border Security
“Some have said Courtland i…</t>
  </si>
  <si>
    <t>RT @RyanJParadis: Essentially, the current state of the GOP #MOSEN race @AP4Liberty @HawleyMO https://t.co/kNqrZIombu</t>
  </si>
  <si>
    <t>RT @realDonaldTrump: Looking forward to my meeting with Tim Cook of Apple. We will be talking about many things, including how the U.S. has…</t>
  </si>
  <si>
    <t>RT @RealTravisCook: So the name of the shooter at the #Dallas #HomeDepot was named Armando Jaurez.  With that name, the question has to be…</t>
  </si>
  <si>
    <t>RT @magathemaga1: Good Morning #MoLeg except @RonFRichard
#GreitensIndictment: 
#KimShady crooked
#NoNotesTisaby crooked
#MoneyBagsAl is…</t>
  </si>
  <si>
    <t>RT @magathemaga1: Clean #Missouri is a scam 
#moleg #mogov
DECLINE TO SIGN ANY PETITION https://t.co/Sz17bvNP66</t>
  </si>
  <si>
    <t>RT @DeplorableGoldn: RT 🚨
#Missouri #Mogov Scam
Voters under attack
Sen Schaff’s “Clean Missouri” Plan Delivers #MoLeg 2 Democrats
Const…</t>
  </si>
  <si>
    <t>RT @DeplorableGoldn: #Greitens forms committee 2 audit tax credits
"Greitens’ press secretary Parker Briden expanded that committee would…</t>
  </si>
  <si>
    <t>RT @DeplorableGoldn: RT 🚨
Lawmakers issue subpoena to attorney in Greitens case to ask about anonymous $100,000. #moleg #stl #Greitens
http…</t>
  </si>
  <si>
    <t>RT @Sticknstones4: @DeplorableGoldn Shaft Schaff the way he’s shafting US 
Say No to Clean Missouri #moleg</t>
  </si>
  <si>
    <t>RT @RealTravisCook: One thing you've got to give #Greitens credit for:  Even with the specter of this 
Witchhunt/trial/impeachment hanging…</t>
  </si>
  <si>
    <t>RT @magathemaga1: ⚠️ URGENT OMG ⚠️
#MoneyBagsAl Video Found!
On Dec. 13th, 2017, hidden cam footage discovered wherein #MoneyBagsAl caugh…</t>
  </si>
  <si>
    <t>RT @YearOfZero: If I was investigating this #MoneyBagsAl thing, I would ask:
Has anybody related to lawyer, the woman or ex husband or tan…</t>
  </si>
  <si>
    <t>RT @RealTravisCook: @dakooney What "victims" are there in this case other than #Greitens and his family? Kitty Sneed, cheated on her husban…</t>
  </si>
  <si>
    <t>RT @DerekGrier: Read this, people. Clean Missouri is not what you think...don’t be fooled, and do your research before signing ANY petition…</t>
  </si>
  <si>
    <t>RT @Sticknstones4: @KPLR11 When is there a special investigation on these 7 inept legislators?  Meet behind closed doors to author reports…</t>
  </si>
  <si>
    <t>RT @magathemaga1: 🚨 #MoneyBagsAl UPDATE 🚨 
#MoLeg issued subpoena 2 Watkins in #Greitens case about anonymous 100k 
Watkins, who publiciz…</t>
  </si>
  <si>
    <t>RT @Sticknstones4: @philip_saulter @CaileighKRCG13 @KRCG13 He’s a biter man abusing his position 
Hurting Missouri to spite the Governor…</t>
  </si>
  <si>
    <t>RT @mizzoudownunder: #MAGA 
#moleg https://t.co/PxbA8FczxG</t>
  </si>
  <si>
    <t>RT @RealTravisCook: Uh oh! He got caught with Phil Sneed's payoff money!!! (Oh, wait...are we still supposed to pretend that we don't know…</t>
  </si>
  <si>
    <t>RT @christoferguson: Lawmakers issue subpoena to attorney in Greitens case to ask about anonymous $100,000. #moleg #stl 
https://t.co/coE9h…</t>
  </si>
  <si>
    <t>RT @magathemaga1: ⚠️ FLASHBACK ⚠️
#Greitens forms committee 2 audit tax credits
"Greitens’ press secretary Parker Briden expanded that co…</t>
  </si>
  <si>
    <t>RT @magathemaga1: #Greitens forms committee 2 audit tax credits
"Greitens’ press secretary Parker Briden expanded that committee would do…</t>
  </si>
  <si>
    <t>RT @CStamper_: The so-called “Clean Missouri” initiative is designed to “flip our state legislature from Republican Red to a deep and dirty…</t>
  </si>
  <si>
    <t>RT @magathemaga1: #Missouri #Mogov Scam
Voters under attack
Sen Schaff’s “Clean Missouri” Plan Delivers #MoLeg 2 Democrats
Constitutiona…</t>
  </si>
  <si>
    <t>RT @magathemaga1: Exactly Clean Missouri is a scam to take away the voice of Missourians
We see what your up to #MoLeg traitors.
#MoGov #…</t>
  </si>
  <si>
    <t>RT @Sticknstones4: Clownish St. Louis Prosecutors 🤡Turn Greitens Case Into Farce 
#moleg #greitens #kimshady #moneybagsAl 
https://t.co/C…</t>
  </si>
  <si>
    <t>RT @magathemaga1: #Greitens pays tribute 2 fallen police officers at event today in St. Charles
His speech paid tribute 2 police killed in…</t>
  </si>
  <si>
    <t>RT @magathemaga1: "There is a strong, silent majority of people throughout the state" who support police even in times notable for controve…</t>
  </si>
  <si>
    <t>@ManageAffordabl Hahhhshahah</t>
  </si>
  <si>
    <t>RT @RuthieRedSox: “We are on the frontier of massive change. Starting from breaking out of our mental prisons.”  ~ Kanye 
Who else wants to…</t>
  </si>
  <si>
    <t>RT @RitaPanahi: Good Samaritan foils armed robbery. 
via @abc #take2  https://t.co/fvs0DMfdoz</t>
  </si>
  <si>
    <t>RT @PrisonPlanet: Trump low key trolls Macron every chance he gets. 😄 https://t.co/nKIqDRnmpD</t>
  </si>
  <si>
    <t>RT @theblaze: San Francisco Mayor tired of ‘enabling’ homeless population: ‘I don’t stand for that’ https://t.co/EBRjWAs1DI</t>
  </si>
  <si>
    <t>RT @dbongino: Fire Mueller now or this will never stop. Witch hunts always find a witch. They’ve moved seamlessly from bogus collusion to p…</t>
  </si>
  <si>
    <t>RT @ScottAdamsSays: Democrats are on the verge of losing African-American votes, and that would be game-over for the party. You can see the…</t>
  </si>
  <si>
    <t>RT @aaron_hedlund: That's right, @JaneDueker, keep telling everybody that prosecutorial misconduct is irrelevant. In time, all the facts wi…</t>
  </si>
  <si>
    <t>RT @michaelbeatty3: 🇺🇸WHITE HOUSE TREE 🇫🇷
GIFT &amp;amp; PLANTING EXPLAINED
#Marines #DevilDogs #Macron
🇺🇸#MAGA 🇫🇷#France #QAnon 
https://t.co/v2BX…</t>
  </si>
  <si>
    <t>RT @RealTravisCook: Will be on https://t.co/LqVNagt9Kx in 10 minutes discussing the entire #GreitensIndictment in all it's sordid goodness…</t>
  </si>
  <si>
    <t>RT @RealTravisCook: On today's radio show, the identities &amp;amp; motivations of those levelling accusations at #Missouri Governor #Greitens, as…</t>
  </si>
  <si>
    <t>RT @RoyBlunt: This is a critical time for our country as we face numerous global challenges. Mike Pompeo is well qualified to serve as Secr…</t>
  </si>
  <si>
    <t>RT @JenNongel: This is funny! I wonder if she’ll get that DNA test now?? 🤷🏼‍♀️
'Real Indian' running against Sen. Elizabeth Warren sues af…</t>
  </si>
  <si>
    <t>RT @thebradfordfile: CA has a problem.
His name is Jerry Brown. https://t.co/WStqKztFGF</t>
  </si>
  <si>
    <t>RT @JackPosobiec: Caption this https://t.co/9nqIQ4oHcR</t>
  </si>
  <si>
    <t>RT @smart_hillbilly: @EricGreitens Great job sir! #StayStrong</t>
  </si>
  <si>
    <t>@Nanci2GH @EricGreitens They are lying!</t>
  </si>
  <si>
    <t>RT @Sticknstones4: @KurtEricksonPD @stltoday I wonder how many anonymous bag💰of cash💵 were delivered to each senators office ? 
Shame on t…</t>
  </si>
  <si>
    <t>No thanks. Well keep county and city separate ... It's all about Democrat votes and county not putting up with cities liberal agenda #stl
#stlouis #mogov #moleg https://t.co/9oJCAv0WA2</t>
  </si>
  <si>
    <t>RT @magathemaga1: @KCNewsGuy We call him #MoneyBagsAl #MoLeg #KsLeg #mogov https://t.co/2T6MMF6VRj</t>
  </si>
  <si>
    <t>RT @BryanLowry3: .@JoeBReporter is at the courthouse in St. Louis for #Greitens hearing. Says that defense seeking information on $100K pay…</t>
  </si>
  <si>
    <t>RT @magathemaga1: @KMOXKilleen @EricGreitens #MoneyBagsAl needs to spill the beans and #KimShady needs to be disbarred 
Everybody in #Stlo…</t>
  </si>
  <si>
    <t>RT @memoriadei: Not happy with you #moleg #committee some serious explaining to do #elections #Missouri https://t.co/zNsWKNlvZm</t>
  </si>
  <si>
    <t>RT @SKOLBLUE1: @BenjaminDPeters @RonFRichard Repulsive @RonFRichard is at it again! He doesn't want to further the state or education for o…</t>
  </si>
  <si>
    <t>RT @Sticknstones4: @BenjaminDPeters @RonFRichard How many bag💰of cash 💵 has @RonFRichard received ?
He’s playing political games to spite…</t>
  </si>
  <si>
    <t>RT @magathemaga1: @SKOLBLUE1 @VisioDeiFromLA @BenjaminDPeters @RonFRichard #MOLeg #mogov #mosen #Missouri
Cc
@Eric_Schmitt @EricGreitens @…</t>
  </si>
  <si>
    <t>RT @VisioDeiFromLA: @EricGreitens Stand strong @EricGreitens 
We know this is a witch hunt .
#moleg #MoGov #mosen
@Eric_Schmitt @Rep_TRi…</t>
  </si>
  <si>
    <t>RT @VisioDeiFromLA: That's why we call her #KimShady
#MoLeg #MoGov #MoSen #Greitens 
#StLouis #WitchHunt https://t.co/VQPjkJVY6Y</t>
  </si>
  <si>
    <t>RT @StevenDialTV: Mystery money has gained the attention of Special House Committee investigating  @EricGreitens. 
Al Watkins received a su…</t>
  </si>
  <si>
    <t>RT @VisioDeiFromLA: Great commentary on the #GreitensIndictment 
Make sure to follow @RealTravisCook 
Then retweet 
Then listen to his p…</t>
  </si>
  <si>
    <t>@EdBigCon @THatfieldMO @EricGreitens @Avenge_mypeople @philip_saulter @strmsptr @Hope4Hopeless1 @Sticknstones4 @SKOLBLUE1 @RealTravisCook @MaxinePWaters Seriously why do they all look like that and make that face???</t>
  </si>
  <si>
    <t>@VisioDeiFromLA @stacy76blue @EricGreitens Allegations are fake</t>
  </si>
  <si>
    <t>RT @VisioDeiFromLA: @rememberruss @smart_hillbilly @EricGreitens https://t.co/nwTJtCGKbN</t>
  </si>
  <si>
    <t>RT @smart_hillbilly: @EricGreitens Ignore the haters. #StayStrong</t>
  </si>
  <si>
    <t>RT @SKOLBLUE1: @EricGreitens Great job Governor Greitens! #greitens #moleg #mosen #riseup #westandwithgreitens #stl #respect</t>
  </si>
  <si>
    <t>@smart_hillbilly @Dasrht @Joe_Cool_1 @EricGreitens The woman is lying</t>
  </si>
  <si>
    <t>RT @Str8DonLemon: @THatfieldMO @EricGreitens Can you tell me why #SoyBoys always make this face and look like this? https://t.co/NBYcwPKG1U</t>
  </si>
  <si>
    <t>@THatfieldMO @EricGreitens Can you tell me why #SoyBoys always make this face and look like this? https://t.co/NBYcwPKG1U</t>
  </si>
  <si>
    <t>RT @EricGreitens: Great meeting with young people from across Missouri to talk about public service—a really positive and productive mornin…</t>
  </si>
  <si>
    <t>RT @magathemaga1: ⚠️ URGENT ⚠️
#MoneyBagsAl Video Found!
On April 24th, 2018, hidden camera footage discovered wherein #MoneyBagsAl is ca…</t>
  </si>
  <si>
    <t>RT @KCNewsGuy: An attorney for the ex-husband of a woman who had an extramarital affair with Missouri Gov. Eric Greitens has been issued a…</t>
  </si>
  <si>
    <t>RT @andybankertv: More #Greitens — prosecution ally to be questioned by #MoLeg Cmte over $100k cash mystery payments  https://t.co/2UUXzU37…</t>
  </si>
  <si>
    <t>RT @magathemaga1: An investigation in search of a crime...
#Greitens #GreitensIndictment #moleg #kimshady #Ladderboy #Missouri #StLouis #S…</t>
  </si>
  <si>
    <t>RT @Sticknstones4: “we have actively solicited as much money as possible from as many sources as possible “
Who drops off 2 bags of anonym…</t>
  </si>
  <si>
    <t>RT @J_Hancock: Lawmakers issue subpoena to attorney in @EricGreitens case to ask about anonymous $100,000
https://t.co/Nm5kXMkVlT #moleg #…</t>
  </si>
  <si>
    <t>RT @aaron_hedlund: You don't have to be a pothead to agree that the drug war as executed has failed to achieve its objectives. Maybe time t…</t>
  </si>
  <si>
    <t>RT @JoeBReporter: I wonder if Watkins, when speaking to lawmakers, will use the same colorful language he used when speaking to reporters o…</t>
  </si>
  <si>
    <t>RT @CStamper_: Missouri is under attack. “Under the guise of ethics &amp;amp; lobbying reform, George Soros &amp;amp; other progressive groups are using th…</t>
  </si>
  <si>
    <t>RT @CStamper_: The scheming political operatives, self-interested politicians and untrustworthy media behind this whole scheme won’t like t…</t>
  </si>
  <si>
    <t>RT @bart_appleton: Missouri is under attack. “Under the guise of ethics &amp;amp; lobbying reform, George Soros &amp;amp; other progressive groups are usin…</t>
  </si>
  <si>
    <t>RT @TrumpChess: @HashtagGriswold Nice phrase "running a smear without the facts" considering 2 #WitchHunt cases by dems whose goal=remove a…</t>
  </si>
  <si>
    <t>@magathemaga1 @BryanLowry3 @J_Hancock Lol</t>
  </si>
  <si>
    <t>RT @magathemaga1: @J_Hancock @EricGreitens #MoneyBagsAl is the name.
Getting paid to make up fake allegations is the GAME
Explaining the…</t>
  </si>
  <si>
    <t>RT @RealTravisCook: Today at 2:00 CST on https://t.co/LqVNagt9Kx we examine the #GreitensIndictment here in #Missouri. Or "What happens whe…</t>
  </si>
  <si>
    <t>RT @J_Hancock: Al Watkins, the attorney representing the ex-husband of @EricGreitens’ alleged victim, says he received $100,000 from an ano…</t>
  </si>
  <si>
    <t>RT @KurtEricksonPD: House committee seeks to question lawyer about $100,000 cash https://t.co/ChCziesYeE via @stltoday #moleg</t>
  </si>
  <si>
    <t>RT @christoferguson: #Moleg House committee seeks to question mistress’ ex’s lawyer in Greitens case in regards to anonymously dropped off…</t>
  </si>
  <si>
    <t>RT @HannahBeers: Spot on, @HannahKellyMO. “Clean Missouri” is a desperate attempt to trick voters and diminish our voice! 
https://t.co/bU…</t>
  </si>
  <si>
    <t>RT @magathemaga1: @KurtEricksonPD @stltoday #MoneyBagsAl
#Greitens
#GreitensIndictment 
#moleg
#mogov
#mosen 
#StLouis 
#stl 
#Missouri 
#k…</t>
  </si>
  <si>
    <t>RT @magathemaga1: @JoeBReporter #Stlouis #Greitens #greitensindictment https://t.co/gbDu6SDfTI</t>
  </si>
  <si>
    <t>RT @strmsptr: #GreitensIndictment Still standing with our Governor. Never surrender @EricGreitens</t>
  </si>
  <si>
    <t>RT @JPRadioMofo: @RealTravisCook @dakooney It’s looking like Phil possibly got paid around $100,000 for his role to undermine @EricGreitens…</t>
  </si>
  <si>
    <t>RT @RealTravisCook: $100,000 to try and bring down a Governor...I'd be shocked if this isn't Soros money. #greitens #moleg https://t.co/h1J…</t>
  </si>
  <si>
    <t>@VisioDeiFromLA He got me blocked :( 😂</t>
  </si>
  <si>
    <t>RT @VisioDeiFromLA: Liberals are only allowed to drag #Greitens through the mud?
Conservatives aren’t supposed to be able to defend themse…</t>
  </si>
  <si>
    <t>RT @Sticknstones4: @ScottCharton The only bondage going on is  the holding of the passed bills
@RonFRichard is a sadist legislator 
He sh…</t>
  </si>
  <si>
    <t>RT @BigJShoota: Say it ain't so #MoneyBagsAl ..................
#GreitensIndictment  #MoLeg https://t.co/GXEtZs5UkY</t>
  </si>
  <si>
    <t>RT @RealTravisCook: Same here--i'm a Missouri citizen (and voter), and I, too, am distressed about this #WitchHunt against the Governor wit…</t>
  </si>
  <si>
    <t>RT @VisioDeiFromLA: At 2pm hearing, Greitens' lawyer Jim Martin said Al Watkins, who is representing the ex of the woman with whom Greitens…</t>
  </si>
  <si>
    <t>RT @DeplorableGoldn: RT
Hey Marshal its innocent until proven guilty 
Why dont you do some real journalism &amp;amp; ask about #MoneyBagsAl and #K…</t>
  </si>
  <si>
    <t>RT @YearOfZero: From a strictly legal POV, #Ladderboy has COI. Hence the requested RO. He’s running for political office and has a vested i…</t>
  </si>
  <si>
    <t>RT @VisioDeiFromLA: Al Watkins paid 100k cash?
Is that how consensual affair got weaponized into absurd allegations against #Greitens ?…</t>
  </si>
  <si>
    <t>RT @YearOfZero: MONEY MAN Dropped Off $100,000 to STL ATTORNEY to Launch Greitens Witchhunt
Ex-husband confirmed the payment,  Greitens is…</t>
  </si>
  <si>
    <t>RT @HotPokerPrinces: @RonFRichard 
Stop playing political games with the lives of Missouri voters
We did not elect you to play, we electe…</t>
  </si>
  <si>
    <t>RT @DeplorableGoldn: RT 🚨
MONEY MAN Dropped Off $100,000 to STL ATTORNEY to Launch Greitens Witchhunt
Ex-husband confirmed the payment,  G…</t>
  </si>
  <si>
    <t>RT @TrumpChess: #YouAreWinningWhen the opposition "breaks the law" trying to remove or impeach a duly elected US President and MO Governor…</t>
  </si>
  <si>
    <t>RT @YearOfZero: Those who are awake vs asleep
There are those who see matrix for what it is and realize allegations from women + her ex ar…</t>
  </si>
  <si>
    <t>RT @CStamper_: In case anyone needed any more evidence that this was a politically-motivated witch hunt... Follow the money. Who issued the…</t>
  </si>
  <si>
    <t>RT @VisioDeiFromLA: @rxpatrick So it's an affair? Thanks for confirming what I have been saying for the last 3 months. A consensual affair.…</t>
  </si>
  <si>
    <t>RT @DeplorableGoldn: Right!  #MoLeg https://t.co/qLHe9svXmh</t>
  </si>
  <si>
    <t>RT @Sticknstones4: This is Just Amazing 
2 Bags💰💰 of anonymous cash 💵💵 100K delivered by courier to Attorney Al Watkins office…</t>
  </si>
  <si>
    <t>RT @YearOfZero: Ok.
So news about money bags Watkins guy is wild. So yeah, accusers were paid to make up this story against #Greitens 
An…</t>
  </si>
  <si>
    <t>RT @CStamper_: As the Soros-backed prosecutor’s witch hunt falls apart and the secret money trail that launched this whole scheme is made p…</t>
  </si>
  <si>
    <t>RT @CStamper_: A mysterious bag man shows up with $100,000 cash and suddenly, just like magic, this story breaks. I guess $100,000 is all i…</t>
  </si>
  <si>
    <t>RT @J_Hancock: Attorney of the ex-husband who first made the allegations against @EricGreitens public received two payments of $50,000 from…</t>
  </si>
  <si>
    <t>RT @Sticknstones4: Good Morning #MoLeg aka witch hunters 
Have Any Bags💰 of Anonymous cash 💵 been dropped off at your offices ?
Amazing t…</t>
  </si>
  <si>
    <t>RT @RealTravisCook: Oh snap! As the kids would say, "Shit's about to get real, dawg!" (Do kids still say that???) #greitens https://t.co/qK…</t>
  </si>
  <si>
    <t>RT @MoScarlet: Did @HawleyMO not know Watkins is a high level crooked left lobbyist? Did he not have judgement enough to not involve himsel…</t>
  </si>
  <si>
    <t>RT @DeplorableGoldn: RT 🚨
The only bondage going on is  the holding of the passed bills
@RonFRichard is a sadist legislator 
He should st…</t>
  </si>
  <si>
    <t>RT @melody_grover: For those of you declaring KS credible, what is the standard? She has never been cross-examined, her testimony never com…</t>
  </si>
  <si>
    <t>RT @SKOLBLUE1: Follow the money trail! Where did this cash come from?? From who? #MOLeg #MOSen #STL #Missouri #kimshady @stlcao @EricGreite…</t>
  </si>
  <si>
    <t>RT @CStamper_: A political operative drops off $100k in cash to pay a lawyer to represent the guy seeking revenge against our Republican Go…</t>
  </si>
  <si>
    <t>RT @VisioDeiFromLA: After hearing, Al Watkins said 2 anonymous $50k cash payments arrived at his Clayton firm by courier in January w/ no i…</t>
  </si>
  <si>
    <t>RT @JoeBReporter: Today's Greiten's dispatch: Attorney of ex-husband in Greitens case received $100,000 from unknown source #GreitensIndict…</t>
  </si>
  <si>
    <t>RT @magathemaga1: At 2pm hearing, #Greitens lawyer Martin said Al Watkins, who is representing ex of the woman with whom Greitens had affai…</t>
  </si>
  <si>
    <t>RT @CStamper_: This is a coordinated effort to push out a sitting Governor due to the conservative reforms he has enacted. Who made these p…</t>
  </si>
  <si>
    <t>RT @magathemaga1: @Norasmith1000 @J_Hancock @EricGreitens #moleg #mogov #greitens #mosen 
We call him #MoneyBagsAl https://t.co/ZErTLcu1DC</t>
  </si>
  <si>
    <t>RT @Norasmith1000: @magathemaga1 @J_Hancock @EricGreitens Of course this is about money, and seems like theres some #moleg political BS goi…</t>
  </si>
  <si>
    <t>RT @J_Hancock: Attorney of ex-husband in Greitens case received $100,000 from unknown source
https://t.co/20Z5vuxEIN #MoLeg #GreitensIndic…</t>
  </si>
  <si>
    <t>RT @magathemaga1: @meggers789 @K___Garner I dont know burns &amp;amp; am not a Dem, but seems like complete overreaction. Plus Bruce Frank's Jr &amp;amp; c…</t>
  </si>
  <si>
    <t>RT @Avenge_mypeople: "A #moleg investigation found credible." Ha ha ha. No cross examination, one sided and began trying to find ways to fi…</t>
  </si>
  <si>
    <t>RT @JW1057: Who is paying Katrina "Kitty" Sneed's attorney, Scott Simpson?
#moleg #mogov #greitens #KimShady #IStandWithGreitens</t>
  </si>
  <si>
    <t>RT @VisioDeiFromLA: Courier Gave $100k to #MoneyBagsAl 2 Launch #GreitensIndictment / WitchHunt
Attorney representing man who accused #Gre…</t>
  </si>
  <si>
    <t>RT @CStamper_: I wonder if they’ll find any texts about the mystery person(s) who formed over $100,000 for the legal costs. I wonder if the…</t>
  </si>
  <si>
    <t>RT @JW1057: Mr. Albert Watkins, I understand you received two cash payments each in the amount of $50k. Did you remember to file Form 8300?…</t>
  </si>
  <si>
    <t>RT @VisioDeiFromLA: de·flec·tion
dəˈflekSH(ə)n
noun
“the action or process of deflecting or being deflected”
Did Scott Simpson get paid,…</t>
  </si>
  <si>
    <t>RT @VisioDeiFromLA: Paging:
@Rep_TRichardson 
@RonFRichard 
@elijahhaahr 
@EricGreitens 
@Eric_Schmitt 
@MOHouseGOP 
#moleg #mogov #MOSEN…</t>
  </si>
  <si>
    <t>RT @magathemaga1: @BigJShoota You'll like this Big J 
Give it some love.
#MoneyBagsAl #KimShady #moleg #mogov #StLouis #greitens https://…</t>
  </si>
  <si>
    <t>RT @magathemaga1: @J_Hancock Jason we have know this was a scam since day 1 given that everybody in #stlouis knows this woman has “dated” n…</t>
  </si>
  <si>
    <t>RT @VisioDeiFromLA: #moleg
What's Next?
I see how the Pro Parson Pro Liberal media is trying to plot chess pieces in witch hunt now KS/PS…</t>
  </si>
  <si>
    <t>RT @magathemaga1: We should also ask why you are allowed to cover this case given your complete conflict of interest as you used 2 work at…</t>
  </si>
  <si>
    <t>RT @VisioDeiFromLA: 🚨 MONEY BAG UPDATE 🚨 
💰 💰 💰 💰 
“Watkins says the cash arrived by courier with no note of explanation. Later-he says h…</t>
  </si>
  <si>
    <t>RT @magathemaga1: #moleg
Meet Al Watkins 
Better Known as #MoneyBagsAl
#mogov #mosen #stlouis #kimahady #stl #kcmo #greitensindictment #…</t>
  </si>
  <si>
    <t>RT @magathemaga1: Good evening #MoLeg except @RonFRichard &amp;amp; @robschaaf 
It appears #KimShady and #MoneyBagsAl have some explaining to do!…</t>
  </si>
  <si>
    <t>RT @Monetti4Senate: When I become your next US Senator, I will vote for excellent candidates such as Mike Pompeo for Secretary of State. Wi…</t>
  </si>
  <si>
    <t>RT @Avenge_mypeople: #MoneyBagsAl received two mysterious $50,000 payments from a "political operative" to help oust Governor #Greitens  an…</t>
  </si>
  <si>
    <t>RT @EdBigCon: BREAKING: MONEY MAN Dropped Off $100,000 to STL ATTORNEY to Launch Governor Greitens SEX SCANDAL  #Moleg https://t.co/ScU2zIs…</t>
  </si>
  <si>
    <t>RT @SykesforSenate: I wonder if the money was laundered through #MoLeg Republican party leadership... https://t.co/uwutOy1VMa</t>
  </si>
  <si>
    <t>RT @kevinh07: If he was white and donated to a white supremacy group, he would have been removed from office and ran out of DC..tell me aga…</t>
  </si>
  <si>
    <t>RT @HNIJohnMiller: https://t.co/1WOWAJ8qKF
1) Strategery: Establishing the conditions for your victory as being the destruction of your op…</t>
  </si>
  <si>
    <t>RT @HavokHawk: @ArcticSpaceman @Steve88Truth @IsaacReign10 @kanyewest "Kanye isn't a free thinker because he's not saying exactly what me a…</t>
  </si>
  <si>
    <t>RT @ItsAnnMariePepe: @J_Markert @GnarlyCanary @kanyewest Wtf is wrong w people like you!!!!   As soon as a white person says let a an live…</t>
  </si>
  <si>
    <t>RT @kanyewest: https://t.co/mxlrb7rBFe</t>
  </si>
  <si>
    <t>RT @catdeeann: @Monetti4Senate I’m proud to endorse Lt Col Monetti — he’s ready to serve again and fight for my values in DC! 
#ReadyforMon…</t>
  </si>
  <si>
    <t>RT @NickForVA: Let’s keep the momentum for less intrusive government and greater liberty going!
Together, we can defeat Tim Kaine this fal…</t>
  </si>
  <si>
    <t>RT @VisioDeiFromLA: This entire #GreitensIndictment is a joke.
How any of you on #moleg take it seriously shows your complete hatred for @…</t>
  </si>
  <si>
    <t>RT @AP4Liberty: Thank you for having me, Iron County GOP! 
#mosen https://t.co/5NVDLQVlFT</t>
  </si>
  <si>
    <t>RT @RevSolomon: @DanielStrauss4 I was disappointed to see @AP4Liberty  omitted from your story on #MoSen race. He is a real contender. He d…</t>
  </si>
  <si>
    <t>RT @SykesforSenate: Support is pouring in. God is blessing us. #MOSen #MAGA #codeofvets https://t.co/7UdmzEznAS</t>
  </si>
  <si>
    <t>RT @SykesforSenate: A clever man once wrote, "Afoot and light-hearted I take to the open road, Healthy, free, the world before me, 
The lon…</t>
  </si>
  <si>
    <t>RT @Sticknstones4: @RJFerryJr @RonFRichard Fumigate the swamp on election 🗳 day and vote their sorry asses out.  We need people to work for…</t>
  </si>
  <si>
    <t>RT @DeplorableGoldn: RT-ing 🚨
KS testified in deposition she was nude on FaceTime with EG. KS testified to House she never allowed nudes of…</t>
  </si>
  <si>
    <t>RT @Norasmith1000: @YearOfZero @RoyBluntMO @EricGreitens Exactly right! Roy Blunt respects MO voters, #moleg should do the same. Glad he be…</t>
  </si>
  <si>
    <t>RT @JW1057: Good news! St. Louis Taxpayers, it appears you are paying Al Watkins to continue this farce. 
#moleg #mogov #greitens #KimShad…</t>
  </si>
  <si>
    <t>RT @SpeakerTimJones: It’s Sunday, so get ready for “The Tim Jones Show!” 7-9p CDT @971FMTalk TONIGHT we speak with: Lt. Col. @T_S_P_O_O_K_Y…</t>
  </si>
  <si>
    <t>RT @JW1057: KS testified in deposition she was nude on FaceTime with EG. KS testified to House she never allowed nudes of her. KS went so f…</t>
  </si>
  <si>
    <t>RT @CStamper_: Soros-backed prosecutor Kim Gardner’s handpicked private investigator repeatedly lied under oath and withheld evidence. Now…</t>
  </si>
  <si>
    <t>RT @magathemaga1: 🚨 Attack on Missouri! 🚨 
@RonFRichard decided he would rather be petty &amp;amp; attack Missouri voters than work with @EricGrei…</t>
  </si>
  <si>
    <t>@Mominsweats @ActorAaronBooth @McCaskill4MO @HawleyMO Well the first set of allegations regarding the woman are false...</t>
  </si>
  <si>
    <t>RT @SykesforSenate: If you haven't heard from me in a while it's because I'm campaigning out here in God's country.  
.@realDonaldTrump le…</t>
  </si>
  <si>
    <t>RT @Str8DonLemon: Hey @TwitterSupport 
Yet again I'm shadow banned. I don't know what I did but I'm tired of getting shadow banned simply…</t>
  </si>
  <si>
    <t>RT @voxman77: @thehill Vee vill not tolerate ANY dissent from zee progressive religious line or you VILL BE PUNISHED!!!</t>
  </si>
  <si>
    <t>RT @DLoesch: 2018: When the rage mob demands apologies for diverse thought. https://t.co/M2gBhmhl7C</t>
  </si>
  <si>
    <t>RT @seanhannity: Time for some truth:
https://t.co/2kfcIyOIR4</t>
  </si>
  <si>
    <t>RT @MAGABUCKS2: Republicans Target Citibank’s $700 Billion Contract Over ‘Anti-Second Amendment Policies’ https://t.co/uxlsn50v3o #Citibank…</t>
  </si>
  <si>
    <t>RT @CStamper_: Soros-backed prosecutor’s private investigator perjured himself repeatedly &amp;amp; withheld evidence, and created false evidence.…</t>
  </si>
  <si>
    <t>RT @realDonaldTrump: A complete Witch Hunt!</t>
  </si>
  <si>
    <t>RT @realDonaldTrump: Thank you to the incredible Law Enforcement Officers from the Palm Beach County Sheriff’s Office. They keep us safe an…</t>
  </si>
  <si>
    <t>RT @realDonaldTrump: Despite the Democrat inspired laws on Sanctuary Cities and the Border being so bad and one sided, I have instructed th…</t>
  </si>
  <si>
    <t>RT @realDonaldTrump: Mexico, whose laws on immigration are very tough, must stop people from going through Mexico and into the U.S. We may…</t>
  </si>
  <si>
    <t>RT @Str8DonLemon: Hey @realDonaldTrump 
Where R the troops at the border??
They are still coming!
#StopTheInvasion
#StopTheCaravan 
@pa…</t>
  </si>
  <si>
    <t>Hey @realDonaldTrump 
Where R the troops at the border??
They are still coming!
#StopTheInvasion
#StopTheCaravan 
@parscale @DHSgov https://t.co/K3gEoJCDha https://t.co/sTgfS4L0pB</t>
  </si>
  <si>
    <t>RT @Str8DonLemon: Hey @realDonaldTrump 
Where are the troops at the border??
They are still coming!
#StopTheInvasion
#StopTheCaravan 
@…</t>
  </si>
  <si>
    <t>Hey @realDonaldTrump 
Where are the troops at the border??
They are still coming!
#StopTheInvasion
#StopTheCaravan 
@parscale @DHSgov https://t.co/K3gEoJCDha</t>
  </si>
  <si>
    <t>Hey @TwitterSupport 
Yet again I'm shadow banned. I don't know what I did but I'm tired of getting shadow banned simply for being conservative. Can you please undshadow ban me. Thanks
@parscale @AjitPaiFCC @FCC</t>
  </si>
  <si>
    <t>Sounds like something an establishment supremacist WOULD SAY
😉
#moleg #mogov https://t.co/ZZ0iVyek1G</t>
  </si>
  <si>
    <t>RT @melody_grover: @JaneDueker overworking herself peddling conspiracies. What she calls dark money I call donor privacy &amp;amp; 1st amendment. N…</t>
  </si>
  <si>
    <t>@vv197071 @RobinGr1655 @dcexaminer The charges are bogus</t>
  </si>
  <si>
    <t>RT @Sticknstones4: Good evening #Moleg 
We have a Problem in our state 
Is this what you want Missouri to be known for ?
Highest Rate of…</t>
  </si>
  <si>
    <t>@teachem86 @Dogan4Rep I think if burns goes so should Nadal and Bruce Frank's jr</t>
  </si>
  <si>
    <t>RT @GrizzleMeister: Devin dumbing down the looney mentality of the leftist ding dongs taking pages out of the Alinsky Rules For Radicals pl…</t>
  </si>
  <si>
    <t>RT @RobertPernyak: https://t.co/txtYuExqB1</t>
  </si>
  <si>
    <t>RT @KurtSchlichter: I'm listening... https://t.co/ZlUFBVFztA</t>
  </si>
  <si>
    <t>RT @Barnes_Law: No trial lawyer would believe that self-serving diary notes would be admitted at a trial in the direct examination of a wit…</t>
  </si>
  <si>
    <t>RT @RealSaavedra: #BREAKING: The FBI made contact with the suspected Waffle House shooter and interviewed him following his arrest by the S…</t>
  </si>
  <si>
    <t>RT @KurtSchlichter: So, how many of these freaks were on the FBI or other agencies' radar?
I guess the answer is to disarm normals. https:/…</t>
  </si>
  <si>
    <t>RT @neontaster: If you had "Kanye West gets redpilled" in your 2018 predictions bingo card, congratulations. https://t.co/EmYEPhLkTT</t>
  </si>
  <si>
    <t>RT @LisaMei62: Sure looks like @kanyewest's chains have been broken &amp;amp; he is trying to wake others up. Praying for his safety. https://t.co/…</t>
  </si>
  <si>
    <t>@DrPolitics1 @tariqnasheed He is a MASTER TROLL</t>
  </si>
  <si>
    <t>RT @KurtSchlichter: Give up your guns to the people pushing bizarre, racist conspiracy theories.
They'll be totally cool to you when you ar…</t>
  </si>
  <si>
    <t>RT @RealCandaceO: Out of curiousity... are you still pretending to be black? https://t.co/sZa04UHRUa</t>
  </si>
  <si>
    <t>@AmfellinAlicia @jallman971 He should do a podcast</t>
  </si>
  <si>
    <t>RT @kanyewest: self victimization is a disease</t>
  </si>
  <si>
    <t>RT @buzzman888: 🇺🇸🇺🇸 @JesseBWatters Jesse Waters: “President Eric Holder @EricHolder Ladies, Does That Scare You?” 🇺🇸🇺🇸                 @PO…</t>
  </si>
  <si>
    <t>RT @JacobAWohl: CONFIRMED: John Brennan Colluded With Foreign Spies to Try to Defeat Trump
https://t.co/YSS78OhbcI</t>
  </si>
  <si>
    <t>RT @chuckwoolery: #SundayShows filled with #RinoRepublicans and #RabidProgressiveDemocrats. Yes, we've seen it all before and it will never…</t>
  </si>
  <si>
    <t>RT @adjunctprofessr: "We are not supposed to spy on each other’s citizens. We know it’s working well b/c there was no intelligence that pas…</t>
  </si>
  <si>
    <t>RT @kanyewest: We live in a time where people don’t respect people for being themselves</t>
  </si>
  <si>
    <t>@beckystlouis @jacobpolitte @Dogan4Rep @KenNewhouse1 @EricGreitens 10. Obviously I can only speak on what's publicly available  but yes, it does appear to be a witch hunt and the second allegation seems to be a plan b, since our first scam indictment didnt work. You do know this case should have been dismissed,  right?
#moleg #mogov</t>
  </si>
  <si>
    <t>@beckystlouis @jacobpolitte @Dogan4Rep @KenNewhouse1 @EricGreitens 9. Truth is eric isnt playing ball with the tax credit people and they are now on a witch hunt. In still looking over what's publicly been released and to me this is, oh our bs allegation about Ks falling apart so we need something last minute!</t>
  </si>
  <si>
    <t>@beckystlouis @jacobpolitte @Dogan4Rep @KenNewhouse1 @EricGreitens 8. Statuette never used for criminal prosecution. Only used civilly where data deleted or where data was used to compete directly with company</t>
  </si>
  <si>
    <t>@beckystlouis @jacobpolitte @Dogan4Rep @KenNewhouse1 @EricGreitens 6. Ladder boy  only decided to investigate eg and tmc when it was no longer politically convenient for ladder boy to have eg around (his masters are pressuring him)
7. Waiting 5 days before SOL runs out after KS allegafion is falling apart?</t>
  </si>
  <si>
    <t>@beckystlouis @jacobpolitte @Dogan4Rep @KenNewhouse1 @EricGreitens 4. Gov already admitted eg received tmc list as a "gift" contradicts claims of theft 
5. Kg and ladderboy say he didnt gave permission and tmc knew nothing about it
 Yet multiple employees fwd list... sounds like TMC is covering their buts and eg not in wrong</t>
  </si>
  <si>
    <t>@beckystlouis @jacobpolitte @Dogan4Rep @KenNewhouse1 @EricGreitens 1. Eg built list
2. He personally knew mang donors and high end donors and had their contact info 
3. Donor list published on website. Disproves it was secret...</t>
  </si>
  <si>
    <t>@beckystlouis @jacobpolitte @Dogan4Rep @KenNewhouse1 @EricGreitens I'm looking at those right as we speak to gather an opinion and yes you are wrong about the girl. That story is made up. Take it to the bank. Other charges I have to review but consider this:</t>
  </si>
  <si>
    <t>RT @magathemaga1: Asking that @brucefranksjr resign his position for grotesque comments about dismembering bodies &amp;amp; anti police behavior.…</t>
  </si>
  <si>
    <t>RT @YearOfZero: @Bobdistrict93 called into a radio show of a guy who is a pos? But did he say anything bad? Need confirmation. 
If he goes…</t>
  </si>
  <si>
    <t>RT @Sticknstones4: @JenEnnenbach Senator Blunt is no Fool, he just backed Due Process 
Now #moleg should find their lost  cajones ⚽️⚾️🎾🏀🏐
A…</t>
  </si>
  <si>
    <t>RT @JW1057: https://t.co/4AAM3Fqhom
Friendly reminder on the importance of cross-examination. 
@jaybarnes5 @jeanielauer @gcmitts @TommieP…</t>
  </si>
  <si>
    <t>RT @VisioDeiFromLA: And how would you know? 
Trying to scare @SheenaGreitens to get @EricGreitens to drop out so Kinder would win qualifie…</t>
  </si>
  <si>
    <t>RT @memoriadei: You are so right @wsfireballoon that #gop #moleg dont like an outsider. Their walk of shame.  Stand your ground Gov #Greite…</t>
  </si>
  <si>
    <t>RT @VisioDeiFromLA: For a "politico" you sure dont understand the law.
Greitens doesn't have to prove anything. Hes innocent. 
Until prov…</t>
  </si>
  <si>
    <t>RT @JW1057: Who is more sanctimonious (i.e. a bigger jackass)? 
@EdBigCon @Sticknstones4 @CStamper_ @Joe_Cool_1 @HawleyMO @JamesComeyFBI @…</t>
  </si>
  <si>
    <t>RT @magathemaga1: @Jay_Nelson2020 Of course he would.
He hates #Missouri 
@Rep_TRichardson 
@Eric_Schmitt 
@elijahhaahr 
@MissouriGOP 
@M…</t>
  </si>
  <si>
    <t>RT @VisioDeiFromLA: Jane thinks #Missouri and #MoLeg is dumb
BS charges about woman who clearly had consensual fling with @EricGreitens &amp;amp;…</t>
  </si>
  <si>
    <t>RT @VisioDeiFromLA: @JenEnnenbach @Sticknstones4 @EricGreitens Putin thanks you @JenEnnenbach 
Never knew #parsonbots would get in league…</t>
  </si>
  <si>
    <t>RT @JW1057: @missioncontinue "secret donor" lists 2014 and 2015.
https://t.co/iDmpYIww1z
https://t.co/aK2jCEFfSn
@CStamper_ @Joe_Cool_1…</t>
  </si>
  <si>
    <t>RT @VisioDeiFromLA: See your up early this Sunday for your Greitens bashing
Curious. How can U steal a public list? And how would TMC not…</t>
  </si>
  <si>
    <t>RT @VisioDeiFromLA: Good morning. I agree hate speech is bad. So, are we also going to ask Bruce Franks JR to resign for his hateful langua…</t>
  </si>
  <si>
    <t>RT @Avenge_mypeople: Can confirm.
#moleg 
#mosen https://t.co/b8v31EfQ71</t>
  </si>
  <si>
    <t>RT @Norasmith1000: @J_Hancock @EricGreitens So how is that called working for the people of MO? So basically, #moleg distracting each other…</t>
  </si>
  <si>
    <t>RT @Sticknstones4: Why he do that?   Who does it really hurt ?
The people of Missouri 
Missouri Your elected #moleg spites it’s voters in…</t>
  </si>
  <si>
    <t>@jacobpolitte @beckystlouis @Dogan4Rep @KenNewhouse1 @EricGreitens Well we disagree then but the allegations are bs as far as that  women goes. Everybody in stlouis knows who she is and how she is into men in politics. It's a made up story</t>
  </si>
  <si>
    <t>RT @melody_grover: The facts: #mogov built PERSONAL relationships with ppl he convinced to donate to an award-winning charity HE FOUNDED &amp;amp;…</t>
  </si>
  <si>
    <t>RT @VisioDeiFromLA: Good catch Ashley.
@EricGreitens is keeping busy being governor despite all those #ParsonBots saying he isn’t keeping…</t>
  </si>
  <si>
    <t>@blackwidow07 @Jay_Nelson2020 @pamelarwalker @SenatorNasheed @MSHPTrooperGHQ @EricGreitens @FBI Bingo!!</t>
  </si>
  <si>
    <t>RT @Sticknstones4: Bingo !  @senatornasheed takes a ton of campaign contributions from Mo tax credit developers.  She’s been outspoken agai…</t>
  </si>
  <si>
    <t>RT @Str8DonLemon: Good morning #MoLeg
We've had differences over last few months, &amp;amp; we debated issues heavily, but figured today, it being…</t>
  </si>
  <si>
    <t>RT @Sticknstones4: Take Note📝 @HawleyMO 
Your name on the ballot isn’t a slam dunk 🏀
You lost your base when you threw @EricGreitens unde…</t>
  </si>
  <si>
    <t>@RepAdumSchitt @rolypolyistaken @NancyPeelosi @MaxinePWaters @SKOLBLUE1 @AP4Liberty @Avenge_mypeople @Sticknstones4 @FN4AP @philip_saulter @Hope4Hopeless1 @EdBigCon Tell @MaxinePWaters to call me!</t>
  </si>
  <si>
    <t>Good morning #MoLeg
We've had differences over last few months, &amp;amp; we debated issues heavily, but figured today, it being day of our lord, I would call a truce
I also wanted 2 introduce U to the love of my life @NancyPeelosi 
God bless.
#mogov #mosen #StLouis #Missouri #STL https://t.co/2s7kLcU9BG</t>
  </si>
  <si>
    <t>But Shaun king is white... look, he can help the black community out all he wants and that's great, but be who you are. Dude is white and is in denial. Be yourself. It's ok to be black or white. https://t.co/vqdJL2txHq</t>
  </si>
  <si>
    <t>RT @MarkDice: That worn out liberal tactic of screaming "You're a racist" at conservatives who point out basic facts doesn't work anymore.…</t>
  </si>
  <si>
    <t>@tishaura @SkeltonFor50 @Dogan4Rep We also need to get Nadal out for her threats against POTUS 
Check out @Str8DonLemon’s Tweet: https://t.co/eEaSKu56ii</t>
  </si>
  <si>
    <t>RT @LifeZette: Silencing the voices of those who disagree with them has become the weapon of choice for many liberals in America, especiall…</t>
  </si>
  <si>
    <t>RT @Str8DonLemon: @PHMcConnell @LydaKrewson @MOHouseDems @BobRomanik Bruce franks-anti cop 
Nadal threats against potus 
Bob guy - called i…</t>
  </si>
  <si>
    <t>@PHMcConnell @LydaKrewson @MOHouseDems @BobRomanik Bruce franks-anti cop 
Nadal threats against potus 
Bob guy - called into radio show
Do you support this @MoDemParty ???
@MOLegDems @GailBeatty
All 3 need to resign!
Where u at?.?? 
#MoLeg #mogov https://t.co/eForkBlRSB</t>
  </si>
  <si>
    <t>@TheTSArt @CStamper_ That or Tax Credits</t>
  </si>
  <si>
    <t>@john3stix Make him resign but let's also make sure Nadal resigns for her threats against POTUS and Bruce Frank's reaigns for his anti cop rhetoric 
All 3 must go #StLouis
Check out @Str8DonLemon’s Tweet: https://t.co/eEaSKu56ii</t>
  </si>
  <si>
    <t>@LanceWhitney6 @wrap02 Please also ask for Bruce Frank's and nadal to step down
Check out @Str8DonLemon’s Tweet: https://t.co/eEaSKu56ii</t>
  </si>
  <si>
    <t>RT @JW1057: @ksdknews Do your damn jobs @Rep_TRichardson @RonFRichard and let @EricGreitens do his job. If you are unable or unwilling to d…</t>
  </si>
  <si>
    <t>RT @magathemaga1: @tvisgreat @Sticknstones4 @EricGreitens Things can change pretty quickly there bud. And response bias is very real. 
Peo…</t>
  </si>
  <si>
    <t>RT @magathemaga1: Just remember #Missouri 
Liberals want you dead.  They really think you are just some flyover state Neanderthals.
Remem…</t>
  </si>
  <si>
    <t>@CJheartart Check out @Str8DonLemon’s Tweet: https://t.co/eEaSKu56ii</t>
  </si>
  <si>
    <t>RT @IngrahamAngle: Other then their obsession with driving @realDonaldTrump out of office, what would @MSNBC and @CNN fill their air with i…</t>
  </si>
  <si>
    <t>RT @VisioDeiFromLA: When people begin to look at the #GreitensIndictment closer, they begin to realize even more that it is a complete...…</t>
  </si>
  <si>
    <t>RT @JaySekulow: The U.S. House of Representatives voted to ban abortions after 20 weeks – when unborn babies can actually feel pain. The bi…</t>
  </si>
  <si>
    <t>RT @memoriadei: "He previously paid a small fine to the state Ethics Commission for failing to report the list as a campaign contribution."…</t>
  </si>
  <si>
    <t>RT @ThomasSowell: "One of the great non sequiturs of the left is that, if the free market doesn't work perfectly, then it doesn't work at a…</t>
  </si>
  <si>
    <t>RT @memoriadei: To anger a conservative, tell them a lie.  To anger a lib, tell them to truth.</t>
  </si>
  <si>
    <t>@beckystlouis @Dogan4Rep @KenNewhouse1 I'm sorry but until @EricGreitens gets his day in court and it has proven he did something wrong, he stays. Anything less would he an attack on #missouri voters</t>
  </si>
  <si>
    <t>@Dogan4Rep https://t.co/vF5liIWxoE</t>
  </si>
  <si>
    <t>RT @realDonaldTrump: Sylvester Stallone called me with the story of heavyweight boxing champion Jack Johnson. His trials and tribulations w…</t>
  </si>
  <si>
    <t>Do it! https://t.co/lD2dsIvWfc</t>
  </si>
  <si>
    <t>RT @Str8DonLemon: I agree.
But I would also like to know why @brucefranksjr still job at #MoLeg given past comments about police. And also…</t>
  </si>
  <si>
    <t>I agree.
But I would also like to know why @brucefranksjr still job at #MoLeg given past comments about police. And also Nadal for her threats against POTUS. Can you also call for their resignation @Dogan4Rep ???
@GailBeatty if burns has to go so does Nadal and Bruce. #moleg https://t.co/J6sDnt0FPP</t>
  </si>
  <si>
    <t>RT @Str8DonLemon: @SuchHate @HotPokerPrinces @GailBeatty Yup.
#MoLeg dems need to ask him to step down
Where are you @clairecmc ?
Where…</t>
  </si>
  <si>
    <t>@gegengler @stltoday People like him and see through this witch hunt</t>
  </si>
  <si>
    <t>@SuchHate @HotPokerPrinces @GailBeatty Yup.
#MoLeg dems need to ask him to step down
Where are you @clairecmc ?
Where are you @MOLegDems 
Bruce Frank's steps down
Nadal steps down 
Bob burns needs to step down!
#MoLeg #mogov https://t.co/3m2WD84k0X</t>
  </si>
  <si>
    <t>RT @Str8DonLemon: Silly 2 allow due process &amp;amp; allow him 2 have day in court? 
If certain guilty, court date is coming up &amp;amp; he'll be out in…</t>
  </si>
  <si>
    <t>RT @YearOfZero: @robschaaf should ask U why U referred 2 this as affair, then called it rape, then went back 2 calling it affair
U been bl…</t>
  </si>
  <si>
    <t>RT @CStamper_: He’s popular everywhere except blue territory and RINO country. Real conservatives aren’t buying what a Soros-backed prosecu…</t>
  </si>
  <si>
    <t>@nicolergalloway Nadal?
What about her threats????
Make her resign https://t.co/rWA93vMWt0</t>
  </si>
  <si>
    <t>RT @tweetmommybop: Who is Wendy? 
Do you mean Debbie Wasserman Schultz??🙄
Nothing to worry about folks, he just has his hand on the nuke…</t>
  </si>
  <si>
    <t>RT @TribalVibeLeath: "Wendy Wasserman Schultz"
Hey Debbie - Where is Seth Rich????
Why did you hire the Awan Family???  Pakistan? https://t…</t>
  </si>
  <si>
    <t>RT @drawandstrike: 19.  Hillary Clinton initially denied that she or her campaign funded the opposition research by Fusion GPS that led to…</t>
  </si>
  <si>
    <t>RT @instapundit: Why are all lefty cultural institutions such cesspits of abuse? https://t.co/TImeDO7dSd</t>
  </si>
  <si>
    <t>RT @AngeloRayGomez: Why is Twitter censoring @charliekirk11? Here is proof Conservatives are being censored on social media. https://t.co/U…</t>
  </si>
  <si>
    <t>RT @IvanTrumpovic1: @realDonaldTrump  https://t.co/byjQfwstXb</t>
  </si>
  <si>
    <t>RT @RealJamesWoods: Turns out she was a fortune-teller... https://t.co/yMQlsmCvMR</t>
  </si>
  <si>
    <t>RT @charliekirk11: There’s no problem that the government can’t make worse</t>
  </si>
  <si>
    <t>RT @RyanNonnemaker: “The Process often is ugly.  The Process often is painful. The Process often seems to take longer than it should.
But…</t>
  </si>
  <si>
    <t>@JohnLamping She always is</t>
  </si>
  <si>
    <t>Silly 2 allow due process &amp;amp; allow him 2 have day in court? 
If certain guilty, court date is coming up &amp;amp; he'll be out in good time.
Right now it looks like it's being handled unfairly. 
Don't want people to think it's a witch hunt? Well why are you acting like it is? 
#moleg https://t.co/uwZsB1cFY6</t>
  </si>
  <si>
    <t>RT @sigg20: “Old Days”Babe Ruth sits between the Dean Brothers,Dizzy and Paul/Daffy before a mid 30's game.#mlb #STLCards  #STLouis #Yankee…</t>
  </si>
  <si>
    <t>@JoeBReporter #moleg #StLouis https://t.co/5KXJuwVDQx</t>
  </si>
  <si>
    <t>RT @Sticknstones4: Missourians know it’s a witch hunt
They love the governor @EricGreitens 
#moleg #noresign #teamgreitens #greitens http…</t>
  </si>
  <si>
    <t>RT @KurtEricksonPD: In Texas County embattled @EricGreitens gets a warm reception at Gop event tonight #moleg https://t.co/cuchLxFbKX</t>
  </si>
  <si>
    <t>RT @Str8DonLemon: Trump knows dangers of jumping to conclusions and removing somebody's due process as well as jumping to conclusions!
As…</t>
  </si>
  <si>
    <t>Trump knows dangers of jumping to conclusions and removing somebody's due process as well as jumping to conclusions!
As I said before, if you are against @EricGreitens having his day in court before you all ruin his life, you are against black america's struggle!
#MoLeg #mogov https://t.co/lD2dsIvWfc</t>
  </si>
  <si>
    <t>RT @Monetti4Senate: My honor to speak at Iron County Lincoln Days on my second stop of four today. So thankful for my grassroots team helpi…</t>
  </si>
  <si>
    <t>RT @SpeakerTimJones: So...it’s NOT crumbs @clairecmc ? Or just some of it is crumbs? You better check with your pal Pelosi. @NancyPelosi #M…</t>
  </si>
  <si>
    <t>RT @melody_grover: $116,436.96: the amount of money taxpayers pay @HawleyMO to not do his job. #mosen https://t.co/t66l1wQ7uq https://t.co/…</t>
  </si>
  <si>
    <t>RT @melody_grover: It's a nice life getting paid six figures to campaign for office, isn't it? I'm sure struggling Missourians will identif…</t>
  </si>
  <si>
    <t>RT @AP4Liberty: .@HawleyMO missed you at Lincoln Days tonight in Salem. The people here thought you were coming.  Don't worry, I took their…</t>
  </si>
  <si>
    <t>RT @Monetti4Senate: Roger that. Our Governor has earned the right to Due Process. Shame on those that seek to deny him his constitutional r…</t>
  </si>
  <si>
    <t>RT @JacobAWohl: @realDonaldTrump DO IT! Right after you pardon American Hero @GenFlynn</t>
  </si>
  <si>
    <t>RT @bobbyrazak: If you pardon Jack Johnson Mr President I would go a long way towards healing old wounds and I would have great respect for…</t>
  </si>
  <si>
    <t>RT @MikeCoppinger: About time Jack Johnson, the first African-American heavyweight champion, receives his posthumous pardon https://t.co/Uy…</t>
  </si>
  <si>
    <t>RT @charliespiering: John McCain and Harry Reid have supported a pardon - Many thought Obama would pardon, but it didn’t happen 
https://t…</t>
  </si>
  <si>
    <t>RT @kathrynw5: Jack Johnson, the world's first black boxing champion, was convicted by an all-white jury of violating the Mann Act, meant t…</t>
  </si>
  <si>
    <t>Yo @realDonaldTrump 
This needs to stop
#StopTheCaravan #stoptheinvasion
@parscale https://t.co/hueDG7MwRw</t>
  </si>
  <si>
    <t>RT @SorosInSTL: I agree racism is bad.
We should also call on Nadal to resign for her threats against POTUS and Bruce Frank's Jr for his d…</t>
  </si>
  <si>
    <t>RT @RealTravisCook: Is there anybody running for County Exec not named "Stenger" or "Montavonni"?  Watching campaign commercials from both…</t>
  </si>
  <si>
    <t>RT @CollinRugg: I don’t care that Trump “messes up” sometimes. I don’t care about what happened in his past
I care that he gave up his lux…</t>
  </si>
  <si>
    <t>RT @Str8DonLemon: I'm calling on Bruce Frank's Jr 2 resign his position immediately from #MoLeg 
"...Franks rapped about shooting &amp;amp; stabbi…</t>
  </si>
  <si>
    <t>I'm calling on Bruce Frank's Jr 2 resign his position immediately from #MoLeg 
"...Franks rapped about shooting &amp;amp; stabbing people to death and hiding the evidence"
No racism 
No anti cop 
Democrats seem to have both!
#mogov #StLouis #stl 
Read here: https://t.co/wp9oNFLEzc https://t.co/JMS9lUNpKd</t>
  </si>
  <si>
    <t>RT @HotPokerPrinces: @Jay_Nelson2020 @PresReed This is called Jamilah Nasheed wants Lewis reeds job 
It’s canibal day at @MOLegDems 
Have B…</t>
  </si>
  <si>
    <t>RT @Str8DonLemon: @WegeSusanne @VisioDeiFromLA @GailBeatty @clairecmc @ws_missouri @EdBigCon @philip_saulter @Sticknstones4 @MOHouseGOP @Re…</t>
  </si>
  <si>
    <t>@WegeSusanne @VisioDeiFromLA @GailBeatty @clairecmc @ws_missouri @EdBigCon @philip_saulter @Sticknstones4 @MOHouseGOP @Rep_TRichardson @JackSuntrup @strmsptr Amen. Are #MoLeg Democrats in favor of anti cop behavior?
Need to go on record/demand Brucd Frank's Jr step down since they are also asking the guy who allegedly said bad things to step down.
@GailBeatty against racism but also against police?
#MoLeg #mogov #stlouis #AntiCop</t>
  </si>
  <si>
    <t>RT @WegeSusanne: @Str8DonLemon @VisioDeiFromLA @GailBeatty @clairecmc @ws_missouri @EdBigCon @philip_saulter @Sticknstones4 @MOHouseGOP @Re…</t>
  </si>
  <si>
    <t>RT @magathemaga1: I am also asking that @brucefranksjr resign his position for grotesque comments about dismembering bodies &amp;amp; anti police b…</t>
  </si>
  <si>
    <t>RT @magathemaga1: This @GailBeatty @clairecmc 
Is why Bruce Franks JR MUST RESIGN ASAP
DO YOU SUPPORT THE POLICE OR DONT YOU?
As long as…</t>
  </si>
  <si>
    <t>RT @magathemaga1: EXACTLY! 
Calling on Bruce Frank's Jr 2 resign position immediately from #MoLeg @GailBeatty
"...Franks rapped about sho…</t>
  </si>
  <si>
    <t>RT @YearOfZero: As a LEO myself, would like to know why @brucefranksjr still job at #MoLeg given past comments about police.
I see U R dem…</t>
  </si>
  <si>
    <t>RT @magathemaga1: @Jay_Nelson2020 @sarahfelts Hi jay, please support me in also asking for Bruce Franks resignation for his cop hating comm…</t>
  </si>
  <si>
    <t>RT @Str8DonLemon: I'm calling on Bruce Frank's Jr 2 resign position immediately from #MoLeg @GailBeatty
"...Franks rapped about shooting &amp;amp;…</t>
  </si>
  <si>
    <t>I'm calling on Bruce Frank's Jr 2 resign position immediately from #MoLeg @GailBeatty
"...Franks rapped about shooting &amp;amp; stabbing people to death and hiding the evidence"
We can't encourage type of behavior in our state!
#mogov #StLouis #stl 
Read here: https://t.co/wp9oNFLEzc https://t.co/LerY4LuYOK</t>
  </si>
  <si>
    <t>RT @Str8DonLemon: Hi @GailBeatty 
I'm asking you &amp;amp; @clairecmc ask that Rep Bruce Frank's Jr step down for his past comments about the poli…</t>
  </si>
  <si>
    <t>Hi @GailBeatty 
I'm asking you &amp;amp; @clairecmc ask that Rep Bruce Frank's Jr step down for his past comments about the police! He is quoted: "In another tweet, Franks stated that he has “no respect” for any police officer in Ferguson, Missouri.
#MoLeg dems #AntiCop ??
#MoGov https://t.co/0mlSj9V6vq</t>
  </si>
  <si>
    <t>I'm calling on Bruce Frank's Jr 2 resign his position immediately from #MoLeg 
"...Franks rapped about shooting &amp;amp; stabbing people to death and hiding the evidence"
We can't encourage this type of behavior in our state!
#mogov #StLouis #stl 
Read here: https://t.co/wp9oNFLEzc https://t.co/86AigedlnT</t>
  </si>
  <si>
    <t>RT @Str8DonLemon: I'm calling on Bruce Frank's Jr 2 resign his position immediately from #MoLeg 
"In series of videos, some as recent as 2…</t>
  </si>
  <si>
    <t>I'm calling on Bruce Frank's Jr 2 resign his position immediately from #MoLeg 
"In series of videos, some as recent as 2015, Franks rapped about shooting &amp;amp; stabbing people to death and hiding the evidence"
We can't encourage this type of thing!
#mogov
https://t.co/wp9oNFLEzc</t>
  </si>
  <si>
    <t>RT @TyNordic: @ABC I've decided to compromise on gun control. I will NOT give up my AR's. But, if you come to take them, I WILL give you my…</t>
  </si>
  <si>
    <t>RT @Blindman_54: @ABC  https://t.co/WHO2Bt6RRz</t>
  </si>
  <si>
    <t>RT @soccerrefwilcox: @ABC This just in, 62% of Americans don’t know that “assault weapon” is a made up term.</t>
  </si>
  <si>
    <t>RT @GoCoffeeEnergy: @ABC 😂 Same poll takers that had Hilary winning? Can they define assault weapon...because none of what we can buy has b…</t>
  </si>
  <si>
    <t>RT @GreatDaneUJ: @ABC who are these people that they are polling? subscribers? their kids? WaPo is  and has been a joke for a long time</t>
  </si>
  <si>
    <t>RT @TheBigR314: @ABC So we are really going to make 8-10 million Americans criminals? That’s how many at-15s that are already out there. No…</t>
  </si>
  <si>
    <t>RT @NotoriousDYT: @ABC Interesting 🤔 "assault weapons" are automatic which is already illegal. Oh and I never saw this survey. Seems to me…</t>
  </si>
  <si>
    <t>Most Americans dont know what "assault weapons" means 
Any weapon can assault.
Another fake po https://t.co/mxrSqc0c0I</t>
  </si>
  <si>
    <t>@ABC Most Americans dont know what "assault weapons" means 
Any weapon can assault.
Another fake poll</t>
  </si>
  <si>
    <t>@Mistconner25 @JannaWilkinso69 Nice!</t>
  </si>
  <si>
    <t>RT @Mistconner25: @JannaWilkinso69  https://t.co/3cvMsl4XkR</t>
  </si>
  <si>
    <t>RT @JannaWilkinso69: ❤️🇺🇸❤️🇺🇸 Can I get a ROUSING CHORUS of #GodBlessAmerica PLEASE ? ❤️
Woohoo !!! 🤩😍👍
❤️🇺🇸
❤️#2A https://t.co/6trK6qroxm</t>
  </si>
  <si>
    <t>RT @usacsmret: https://t.co/928s1QXr16</t>
  </si>
  <si>
    <t>RT @FAIRImmigration: While the state legislature values illegal aliens over the lives of law-abiding Americans, Californians are fighting b…</t>
  </si>
  <si>
    <t>RT @AndrewCMcCarthy: Two months ago: deduced here that Trump was briefed only on salacious stuff, not full dossier, and assurance he was no…</t>
  </si>
  <si>
    <t>RT @TheLastRefuge2: This article, written by @AndrewCMcCarthy February 15th (2018), is as prescient as it is directly on target.  
[FYI, t…</t>
  </si>
  <si>
    <t>RT @shawgerald4: @FLOTUS America Loves you Melania!! https://t.co/kKSV9pwayJ</t>
  </si>
  <si>
    <t>RT @RealTravisCook: Doesn't it seem strange that Phil Sneed seems more angry with the guy who slept with his ex-wife than with the ex-wife…</t>
  </si>
  <si>
    <t>RT @Sticknstones4: The Witch Hunt Continues 
The St Louis temperatures Rise and so does
The Homocide Rate 
#kimshady doesn’t care about m…</t>
  </si>
  <si>
    <t>RT @magathemaga1: 1st charge with this KS woman falling apart... FAKE
Soros buying races as he did with #kimshady
Timing of new one suspe…</t>
  </si>
  <si>
    <t>RT @Jamierodr10: GOOD MORNING PATRIOTS 🇺🇸🇺🇸.          This👇 is one of the many reasons why I love my President so much! Thank you for takin…</t>
  </si>
  <si>
    <t>RT @JPRadioMofo: Criminal attempt to undermine the duly elected President of the United States by the outgoing President Obama, Crooked Hil…</t>
  </si>
  <si>
    <t>RT @CaliConsrvative: .@TedCruz nailed it when he said President Donald Trump is like a flashbang tossed into Washington DC by We The People…</t>
  </si>
  <si>
    <t>RT @SykesforSenate: Great night in Dent County! What a great experience to travel the state in this effort to protect the Constitution and…</t>
  </si>
  <si>
    <t>RT @JoeMerriman11: @fe5082 @TeamHawley @HawleyMO Rebuild our beautiful factories president Obama tore down in Fenton impacting 43,000 St. L…</t>
  </si>
  <si>
    <t>RT @realDonaldTrump: James Comey just threw Andrew McCabe “under the bus.” Inspector General’s Report on McCabe is a disaster for both of t…</t>
  </si>
  <si>
    <t>RT @realDonaldTrump: James Comey Memos just out and show clearly that there was NO COLLUSION and NO OBSTRUCTION. Also, he leaked classified…</t>
  </si>
  <si>
    <t>RT @realDonaldTrump: So General Michael Flynn’s life can be totally destroyed while Shadey James Comey can Leak and Lie and make lots of mo…</t>
  </si>
  <si>
    <t>RT @realDonaldTrump: So exciting! I have agreed to be the Commencement Speaker at our GREAT Naval Academy on May 25th in Annapolis, Marylan…</t>
  </si>
  <si>
    <t>RT @JTM_YVA: Seems like Kanye is going to be the one to lead the African-American community away from the racist Democrat Party. 
"I freed…</t>
  </si>
  <si>
    <t>RT @TheRISEofROD: This is the most incredible book ever written, confirming what conservatives have been telling liberals forever.
#RedWav…</t>
  </si>
  <si>
    <t>RT @dbongino: The Comey memos were a big factor in the appointment of the Special Counsel. But, after reading the memos, I’m at a loss as t…</t>
  </si>
  <si>
    <t>RT @larryelder: The two black men admit that #Starbucks store policy requires a buy before customers can use the restroom. They admit they…</t>
  </si>
  <si>
    <t>RT @RealJamesWoods: Oh. This is going to be more fun than Disneyland when you were a kid!   https://t.co/oBbTdYanW0</t>
  </si>
  <si>
    <t>RT @YearOfZero: @JW1057 @theknobboy @ws_missouri @EricGreitens People on here absolute morons. First, there is no gag order on the public.…</t>
  </si>
  <si>
    <t>RT @Sticknstones4: @JenEnnenbach We’ll just agree to disagree, i think greitens is doing a great job draining the swamp.  He intimidates th…</t>
  </si>
  <si>
    <t>RT @YearOfZero: It was allleged man. This is completely irresponsible, and we all know it was an affair. 
Are you also going to write an a…</t>
  </si>
  <si>
    <t>RT @Sticknstones4: @chrisregniertv #Moleg should grow some cajones ⚽️🏀🎾⚾️🏈
And Follow in Senator Roy Blunts example 
Instead of bullying th…</t>
  </si>
  <si>
    <t>RT @YearOfZero: @JW1057 @theknobboy @ws_missouri @EricGreitens Plus radio guy outed them! And even before that everybody knew the names jus…</t>
  </si>
  <si>
    <t>RT @toadtws: @kq2 Casting the first stone can be a bitch, right Rob?
#greitens  #moleg https://t.co/TJpuM9RMd2</t>
  </si>
  <si>
    <t>RT @YearOfZero: Reading some of @tonymess columns and they read like bitter kid who never got girl in high school and then takes out that g…</t>
  </si>
  <si>
    <t>RT @JCunninghamMO: “Not so fast buckaroos.” My favorite quote from former Chief Justice of the Missouri Supreme Court Michael Wolfe on the…</t>
  </si>
  <si>
    <t>RT @TomJEstes: @tonymess says man attempted to lure child from home because he was “following Greitens’ example” Unbelievable hackery, even…</t>
  </si>
  <si>
    <t>@dandeliondrunk @magathemaga1 Lol ... Idiot</t>
  </si>
  <si>
    <t>RT @YearOfZero: Now u must know how conservatives feel when we r called racist unfairly 4 wanting illegal immigration stopped
Clearly it b…</t>
  </si>
  <si>
    <t>RT @SKOLBLUE1: We had Another crisis with a Veteran that asked for the number. If you are a Veteran in need please reach out! We are here t…</t>
  </si>
  <si>
    <t>RT @DeplorableGoldn: Damn!  She is right! #moleg #hawley https://t.co/xfCCkljaqe</t>
  </si>
  <si>
    <t>RT @CStamper_: Good to see a Republican who actually believes in the importance of the legal process. Too many are quick to join Claire McC…</t>
  </si>
  <si>
    <t>RT @memoriadei: Josh Hawley MO AG lost his election to Senate all by himself. If he doesnt know why, he is too self-serving and out of touc…</t>
  </si>
  <si>
    <t>RT @Norasmith1000: @MissouriTimes @EricGreitens His statement is accurate, by now yes, everyone knows what this is. Kim Gardner is desperat…</t>
  </si>
  <si>
    <t>@Norasmith1000 @EricGreitens Nobody should</t>
  </si>
  <si>
    <t>RT @DeplorableGoldn: RT-ing 🚨
Cuz first charge from that washed up DJ ex husband fell apart - &amp;amp; was fake.
They are just throwing stuff aga…</t>
  </si>
  <si>
    <t>RT @Str8DonLemon: Cuz first charge from that washed up DJ ex husband fell apart - and was fake.
They are just throwing stuff against the w…</t>
  </si>
  <si>
    <t>@BigJShoota U know #kimshady up to no good bro but we will see #moleg</t>
  </si>
  <si>
    <t>@magathemaga1 @RonFRichard @EricGreitens @Rep_TRichardson @Eric_Schmitt @MOHouseGOP @JohnLamping @MissouriGOP @SpeakerTimJones @Lautergeist @Avenge_mypeople @SykesforSenate @elijahhaahr @MSTLGA @gagemitchusson They need to end this witch hunt</t>
  </si>
  <si>
    <t>RT @Hope4Hopeless1: @SenatorNasheed OUR Governor .@EricGreitens IS STANDING STRONG &amp;amp; staying the course of #DrainingTheSwamp &amp;amp; serving the…</t>
  </si>
  <si>
    <t>@ws_missouri @EricGreitens The right thing to do would  be to fight the charges if he feels hes innocent and continue governing 
#moleg #mogov</t>
  </si>
  <si>
    <t>Cuz first charge from that washed up DJ ex husband fell apart - and was fake.
They are just throwing stuff against the wall to see what sticks.
Timing politically motivated and #KimShady has been outed as CORRUPT for a while now
WITCHHUNT
Keep fighting @EricGreitens 
#moleg https://t.co/RxNli6y5ca</t>
  </si>
  <si>
    <t>RT @brookefoxnews: NEW per @WSJ : two #ComeyMemos that were shared with his friend, Daniel Richman, contained information that is now consi…</t>
  </si>
  <si>
    <t>Lol...
It's over kamala.
Comey lied.
Trump didnt obstruct https://t.co/hXbjEeWyZX</t>
  </si>
  <si>
    <t>RT @ArthurSchwartz: - Kennedy: Nope
- LBJ: Nope
- Nixon: Nope
- Ford: Nope
- Carter: Ha
- Reagan: Nope
- Bush x 2: Nope
- Clinton: Nope
- O…</t>
  </si>
  <si>
    <t>RT @Monetti4Senate: I will defeat her. WE are sick and tired of politicians. Support combat veterans that have nearly died to defend freedo…</t>
  </si>
  <si>
    <t>RT @JackPosobiec: Trump clearly just got Kim Jong Un to shut down his nuclear program to distract from Stormy Daniels and Karen McDougal yo…</t>
  </si>
  <si>
    <t>RT @StephenMilIer: James Comey and Andrew McCabe tried to overthrow the US government, they should be tried in a Military Tribunal.</t>
  </si>
  <si>
    <t>RT @Sticknstones4: Come n Ride the Train 🚂Choo Choo 
#operationHotPoker #hotpokerexpress  #IStandWithJamieAllman  #FreeSpeech https://t.co…</t>
  </si>
  <si>
    <t>RT @Str8DonLemon: Yes. Because it was AMAZING.
😘😘😘
#moleg #MoGov #MoSen https://t.co/pI4QzPpFdl</t>
  </si>
  <si>
    <t>RT @Str8DonLemon: A "bot" is software
I'm a person
Just happen 2 disageee
Not a fake account. Just cuz I dont agree with witch hunts, am…</t>
  </si>
  <si>
    <t>A "bot" is software
I'm a person
Just happen 2 disageee
Not a fake account. Just cuz I dont agree with witch hunts, am 4 due process, and I FULLY SUPPORT BLACK AMERICA that does not make me a BOT
U not supporting due process would make you a racist, however. 
#moleg #mogov https://t.co/1nJiOCoY4F</t>
  </si>
  <si>
    <t>Yes. Because it was AMAZING.
😘😘😘
#moleg #MoGov #MoSen https://t.co/pI4QzPpFdl</t>
  </si>
  <si>
    <t>RT @EricGreitens: We've been working hard to protect our veterans and ensure they get quality care. Today, I met with the new administrator…</t>
  </si>
  <si>
    <t>RT @EdBigCon: @KurtEricksonPD @EricGreitens We all deserve due process or we become Russia. #moleg #KimShady</t>
  </si>
  <si>
    <t>Yes!!! https://t.co/C9DQ4YAZPv</t>
  </si>
  <si>
    <t>RT @TheRISEofROD: 📣German patriots of ZukunftHeimat during their impressive protest in #Cottbus 4/14/18👌
"Resistance Resistance"
"Merkel…</t>
  </si>
  <si>
    <t>Dont get cocky @parscale https://t.co/5VJX4Nh0Ka</t>
  </si>
  <si>
    <t>RT @Education4Libs: Bill Clinton thinks the NY Times colluded with Trump to defeat Hillary.
Seriously? The NY Times has done nothing but s…</t>
  </si>
  <si>
    <t>@EdBigCon @KurtEricksonPD @EricGreitens Amen!</t>
  </si>
  <si>
    <t>RT @KurtEricksonPD: From @ericgreitens attorney: "This allegation is absurd, and Eric will be found innocent of this accusation in court."…</t>
  </si>
  <si>
    <t>RT @Str8DonLemon: Thanks for spreading my message. I love it when people retweet me. Tag me next time
Fake allegations against black men h…</t>
  </si>
  <si>
    <t>Thanks for spreading my message. I love it when people retweet me. Tag me next time
Fake allegations against black men huge thing in Jim crow America &amp;amp;, arguably, even to this day. 
If U support ruining a man's life over allegations, U R gainst Black America's struggle
#moleg https://t.co/sfmfxNEplS</t>
  </si>
  <si>
    <t>RT @JW1057: @Str8DonLemon @EricGreitens @Rep_TRichardson #KimShady can charge him with a hundred felonies. She would still have zero convic…</t>
  </si>
  <si>
    <t>RT @BryanLowry3: Greitens’ attorney has also issued a statement. More info at https://t.co/dOlpIcJGPk #moleg #Greitens https://t.co/rXRDpVQ…</t>
  </si>
  <si>
    <t>Right.
The first one was a fake allegation &amp;amp; is totally falling apart
Now they are throwing stuff at the wall to see what sticks.
Plus #LadderBoy waiting until yesterday?
W I T C H H U N T
@MOHouseGOP @MissouriGOP @top @parscale @Eric_Schmitt @StLCountyRepub @EricGreitens https://t.co/pnRZwNtIzg</t>
  </si>
  <si>
    <t>RT @Str8DonLemon: Hey scott,
Are you that much of a dbag in real life too?
I will stand by @EricGreitens until proven guilty. He is innoc…</t>
  </si>
  <si>
    <t>RT @Str8DonLemon: I wonder what all those black men locked up in Jim Crow America on false charges felt.
#moleg https://t.co/TfcU4ZvDPn</t>
  </si>
  <si>
    <t>RT @Str8DonLemon: Uh no. Innocent UNTIL PROVEN guilty.
#moleg https://t.co/rERmIdBYDO</t>
  </si>
  <si>
    <t>RT @Str8DonLemon: @GailBeatty 
U ok when black men get locked up on false charges? U must be since UR quick 2 ruin a man's life before he'…</t>
  </si>
  <si>
    <t>RT @Str8DonLemon: Nope. Innocent until proven guilty. He was already dragged through the mud on a kinky affair and you all lied about it so…</t>
  </si>
  <si>
    <t>RT @Str8DonLemon: Yes he does. And I'm standing by him until he has his day in court. @EricGreitens
Quit being such a constitution hater.…</t>
  </si>
  <si>
    <t>@GailBeatty 
U ok when black men get locked up on false charges? U must be since UR quick 2 ruin a man's life before he's had his day in court.l
Do U hate black people? Cuz if U don't support @EricGreitens having day in court, then U R turning UR back on black community #moleg https://t.co/zi7zNXp26W</t>
  </si>
  <si>
    <t>Yes he does. And I'm standing by him until he has his day in court. @EricGreitens
Quit being such a constitution hater.
#moleg https://t.co/bSZVQ7Rrvh</t>
  </si>
  <si>
    <t>Uh no. Innocent UNTIL PROVEN guilty.
#moleg https://t.co/rERmIdBYDO</t>
  </si>
  <si>
    <t>RT @magathemaga1: Dear #MoLeg Swamp dwellers @Rep_TRichardson @elijahhaahr
@EricGreitens gets his day in court. Until then, back off &amp;amp; let…</t>
  </si>
  <si>
    <t>I wonder what all those black men locked up in Jim Crow America on false charges felt.
#moleg https://t.co/TfcU4ZvDPn</t>
  </si>
  <si>
    <t>Hey scott,
Are you that much of a dbag in real life too?
I will stand by @EricGreitens until proven guilty. He is innocent until then and may be after the trial!
Your shaming a woman for supporting the Constitution? @SaraForMissouri
Scott hates women so it seems.
#moleg #stl https://t.co/hRRzcXCzLh</t>
  </si>
  <si>
    <t>@jcavaiani @EricGreitens Stand strong Eric !! #moleg</t>
  </si>
  <si>
    <t>RT @Norasmith1000: @pfeuerborn @tonymess Im not a Bot, im a concerned St. Louis resident that voted for @EricGreitens and I dont want our g…</t>
  </si>
  <si>
    <t>RT @magathemaga1: #MoLeg and #MoGov and #MoSen
Reminder:
🔸️Illegal immigration shouldn't be partisan thing. Illegal immigration should be…</t>
  </si>
  <si>
    <t>RT @SKOLBLUE1: @ChristopherAve @joelcurrier @rxpatrick Can we expect you to be on Fox2 on Sunday again where you can voice your opinions an…</t>
  </si>
  <si>
    <t>RT @magathemaga1: 🚨 Steve Stenger Poll 🚨 
STL County!
Given that Steve Stenger is now playing the race card and racist identity politics…</t>
  </si>
  <si>
    <t>RT @Sticknstones4: @88YahamaKeys @EricGreitens I wish the #Moleg house comittee would investigate Stacey Newman , how is it that Stacey kne…</t>
  </si>
  <si>
    <t>Nope. Innocent until proven guilty. He was already dragged through the mud on a kinky affair and you all lied about it so now this?
Yes I've seen 50 shades of Gray too. He gets his day in court.
@EricGreitens @Rep_TRichardson
#MoLeg https://t.co/v98LjQXO2p</t>
  </si>
  <si>
    <t>RT @magathemaga1: #MoLeg
WitchHunt continues &amp;amp; desire 4 lawmakers 2 oust an outsider continues
Wonder why they waited till the last minut…</t>
  </si>
  <si>
    <t>RT @Str8DonLemon: Happy 4/20 #MoLeg
Might I suggest over weekend  all you all who hate @EricGreitens cuz hes "mean" and an "outsider" join…</t>
  </si>
  <si>
    <t>Happy 4/20 #MoLeg
Might I suggest over weekend  all you all who hate @EricGreitens cuz hes "mean" and an "outsider" join him &amp;amp; light up a joint &amp;amp; CHILL
You might be able to get over your petty nonsense &amp;amp; desire to screw over #Missouri voters in the process!
#MOGov https://t.co/j0y2SVoa6t</t>
  </si>
  <si>
    <t>@edwarda57 @LadderBoy26 Tempting...</t>
  </si>
  <si>
    <t>RT @Thomas1774Paine: BREAKING: Comey Now Target of Inspector General Probe for Leaking Classified Memos https://t.co/ATRTNEYPgo</t>
  </si>
  <si>
    <t>@LadderBoy26 @AngryCaucasoid @AP4Liberty Lol</t>
  </si>
  <si>
    <t>RT @AP4Liberty: I've been in politics long enough to have been thrown under the bus a few times. I've taken the fall for friends to protect…</t>
  </si>
  <si>
    <t>RT @realDonaldTrump: Nancy Pelosi is going absolutely crazy about the big Tax Cuts given to the American People by the Republicans...got no…</t>
  </si>
  <si>
    <t>RT @axios: The Justice Department's inspector general is opening an investigation into whether James Comey illegally leaked classified info…</t>
  </si>
  <si>
    <t>RT @Sticknstones4: I really want to drive out there and take a selfie 🤳 with that billboard.  That’s better than posing with 🎅🏻  @robschaaf…</t>
  </si>
  <si>
    <t>RT @BigLeague2020: @IamRemoWilliams @codeofvets @ShaneTHazel @SykesforSenate SYKES FOR SENATE
EXPERIENCE🇺🇸LEADERSHIP🇺🇸VALUES
✔️BOLD
✔️CON…</t>
  </si>
  <si>
    <t>RT @magathemaga1: 🚨 ATTACK on Missouri! 🚨 
@RonFRichard decided he would rather be petty &amp;amp; attack Missouri voters than work with @EricGrei…</t>
  </si>
  <si>
    <t>RT @melody_grover: So mature. Richard must feel like a real man now. #moleg #mosen #mogov https://t.co/siCLeI35k0</t>
  </si>
  <si>
    <t>RT @SykesforSenate: "Trump’s decision to fire Comey being proven correct... Jim Comey is acknowledging that he took into account politics i…</t>
  </si>
  <si>
    <t>RT @BigLeague2020: @Charleston_Kat @codeofvets @RussellJirik @AP4Liberty @realDonaldTrump We have enough Trump critics in The Swamp already…</t>
  </si>
  <si>
    <t>RT @Nov2018election: FOX MEET COURTLAND SYKES @SykesforSenate MISSOURI’S CONSERVATIVE CHOICE #MOSEN #MOGOP #MOPOL #MOPOLITICS @Varneyco @fo…</t>
  </si>
  <si>
    <t>RT @Monetti4Senate: Josh @HawleyMO should keep his pledge not to become a ladder-climbing politician, he should not be running for the U.S.…</t>
  </si>
  <si>
    <t>RT @Nov2018election: 🇺🇸FOX THIS TWEET’S FOR YOU! MISSOURI’S CONSERVATIVE BOLD SENATE CANDIDATE IS VETERAN COURTLAND SYKES @SykesforSenate #…</t>
  </si>
  <si>
    <t>RT @Nov2018election: MO COURTLAND SYKES FOR US SENATE @SykesforSenate A MAN WITH INTEGRITY, LOVE OF HIS COUNTRY, FAMILY AND TRADIONAL VALUE…</t>
  </si>
  <si>
    <t>RT @magathemaga1: #moleg #MoSen #mogov https://t.co/WA7G972DaF</t>
  </si>
  <si>
    <t>RT @Norasmith1000: @Str8DonLemon @pfeuerborn @AP4Liberty So sick of that tired "Bot" accusation.  If you dont agree with the liberal trash…</t>
  </si>
  <si>
    <t>RT @magathemaga1: When U begin 2 realize stakes of #MOSEN 2018 race, U will realize importance &amp;amp; why it is #RedDawn2018
Dems want:
✔#gun c…</t>
  </si>
  <si>
    <t>RT @NRSC: Each of these Democrats voted to stop tax cuts, higher wages, and employee bonuses and in November, Americans get the chance to v…</t>
  </si>
  <si>
    <t>RT @Monetti4Senate: Monetti calls on Hawley to withdraw https://t.co/pgEao9xTuF https://t.co/euLZulRbI2</t>
  </si>
  <si>
    <t>@Vets4AP @blackwidow07 @SenatorNasheed @MSHPTrooperGHQ @EricGreitens @FBI Bingo</t>
  </si>
  <si>
    <t>RT @sigi_hill: @NewsTribune I sent the email, hope you get the message that the Navy Seal Governor @EricGreitens  is more capable to conduc…</t>
  </si>
  <si>
    <t>@blackwidow07 @SenatorNasheed @MSHPTrooperGHQ @EricGreitens @FBI She doesnt fear for her life. She is just a drama queen. You know that @blackwidow07 all of the city knows it. Somebody should ask nasheed what she knows about them tax credits!  
#moleg</t>
  </si>
  <si>
    <t>RT @blackwidow07: @SenatorNasheed @MSHPTrooperGHQ You have lost your mind. You dealt with more danger when you were in juvenile jail. You c…</t>
  </si>
  <si>
    <t>RT @blackwidow07: @SenatorNasheed @MSHPTrooperGHQ @EricGreitens @FBI How about I BLOCK YOU, NOT VOTE FOR YOU AND TELL EVERYONE IN THE CITY…</t>
  </si>
  <si>
    <t>RT @DeplorableGoldn: RT 😂😂😂
#MoSen #moleg #mogov #Missouri #fireclaire https://t.co/TvuB68noQL https://t.co/pGnnRxHzwz</t>
  </si>
  <si>
    <t>RT @YearOfZero: Hey @Rep_TRichardson this entire case is crooked as well as the prosecutor and the judge.
No bench trial. I may not be a l…</t>
  </si>
  <si>
    <t>RT @ConservJean: @tonymess @EricGreitens @stltoday We know the Greitens case was a consensual affair. We know the Democrat prosecutor fabri…</t>
  </si>
  <si>
    <t>@Avenge_mypeople @RealTravisCook @HawleyMO Right. I want somebody who is real.</t>
  </si>
  <si>
    <t>@RightSideUp313 @DeplorableGoldn Bingo. Plus maybe a little bit of revenge? #moleg</t>
  </si>
  <si>
    <t>RT @DeplorableGoldn: RT 🚨
OUR Governor .@EricGreitens IS STANDING STRONG &amp;amp; staying the course of #DrainingTheSwamp &amp;amp; serving the people of…</t>
  </si>
  <si>
    <t>RT @BCunninghamN: “I don’t care if the report says that he’s been accused of dancing naked on Kingshighway Boulevard at midnight with a lla…</t>
  </si>
  <si>
    <t>RT @melody_grover: Spotted! Around six feet tall. Dog hater. Can't stand getting wet. Pyromaniac. Constantly flies off the handle. Sends mo…</t>
  </si>
  <si>
    <t>@jeffreyscarson @CatoInstitute One of the best written things ever!</t>
  </si>
  <si>
    <t>@JPRadioMofo @Tamaraw68415067 @AvrilMai91 @AP4Liberty @realDonaldTrump @Monetti4Senate Easiest solution.  @AP4Liberty should just admit he was wrong on this,  move on. like many of austins positions not all but am not fan of his past statements about trump voters. If he apologizes/said he was being stupid, that helps
still considering him but u raise good point</t>
  </si>
  <si>
    <t>RT @jeffreyscarson: It's Christmas! Thanks so much @CatoInstitute #TeamLiberty https://t.co/fCFzXlP8nZ</t>
  </si>
  <si>
    <t>RT @quallsterr: @CNN @CillizzaCNN  https://t.co/etsZ0NHBSq</t>
  </si>
  <si>
    <t>RT @Anthony08947833: @CNN @CillizzaCNN FAKE NEWS https://t.co/x7w9eHNBZW</t>
  </si>
  <si>
    <t>RT @Steffi_Cole: .@FoxNews @971FMTalk @stltoday @KCStar @fox4kc @koamfox14 @KCTV5 @columbiatribune @MissouriGOP @MissouriTimes Have you see…</t>
  </si>
  <si>
    <t>RT @emkfc: YouTube channel to follow@ @jallman971 #IStandWithJamieAllman  https://t.co/B0RMRGH6ki</t>
  </si>
  <si>
    <t>RT @emkfc: #IStandWithJamieAllman https://t.co/jWKwvCdTwN</t>
  </si>
  <si>
    <t>RT @wattsjim: This evil, hateful scumbag is heroine of modern #DemocraticParty. She will be  applauded by #JerryBrown, #KiethEllison https:…</t>
  </si>
  <si>
    <t>RT @Sticknstones4: Some evidence of push back in the Missouri House against punishment of Governor Greitens https://t.co/9rlX2f2BYJ</t>
  </si>
  <si>
    <t>RT @RealTravisCook: How can we be assured that #JoshHawley will stand up for President #Trump in the Senate when he won't even stand behind…</t>
  </si>
  <si>
    <t>RT @RealTravisCook: What we've learned from #Democrats: If you're a #GOP candidate, and if you've ever slept with or touched any woman othe…</t>
  </si>
  <si>
    <t>RT @Steffi_Cole: The top 4 finalists have been chosen!! Vote for your favorite @AP4Liberty #MakeTaxationTheftAgain tweet! 2 winners, 2 priz…</t>
  </si>
  <si>
    <t>RT @Manuel_Labor__: @VivaLaAmes13 @killabeas69 Another good #CreepyJoe meme https://t.co/EJ0HgTjXre</t>
  </si>
  <si>
    <t>RT @SKOLBLUE1: Kim Gardner needs to go. She has had an appalling record, murders are on the rise and she continuously fails St. Louis. We i…</t>
  </si>
  <si>
    <t>RT @Hope4Hopeless1: @Thomas1774Paine @HazGoneFishing OUR Governor @EricGreitens IS STANDING STRONG &amp;amp; staying the course of #DrainingTheSwam…</t>
  </si>
  <si>
    <t>RT @Avenge_mypeople: The crooked judge in #Greitens  case is allowing the defense to redepose witnesses...including Tisaby, the perjuring i…</t>
  </si>
  <si>
    <t>RT @ZekeMelchizedek: To all who call for the resignation of Gov. Eric Greitens, you are such hypocrites!  Should YOU be forced to resign fr…</t>
  </si>
  <si>
    <t>RT @YearOfZero: This shows a poor understanding of the legal process. Whether you like Eric or don’t like him, the requested TRO was the co…</t>
  </si>
  <si>
    <t>RT @DeplorableGoldn: This is bizarre! Can anyone explain? #moleg #mogov #greitens #KimShady https://t.co/Tgd6yczVOd</t>
  </si>
  <si>
    <t>RT @RealTravisCook: Given what all is going on and given the fact that we are in the middle of a Senate primary, we need @HawleyMO to clear…</t>
  </si>
  <si>
    <t>RT @Str8DonLemon: 🤦‍♂️
U do know lot of passionate citizens out there, don't you?  "Can it definitely be said... Blah blah blah..." Lol
T…</t>
  </si>
  <si>
    <t>@pfeuerborn never have I seen so my grown men act like sissies because people posting different opinions than you.
You are free to post your opinion my friend</t>
  </si>
  <si>
    <t>@pfeuerborn I kind of hope @AP4Liberty wins the #mosen nomination just so I can enlist my Twitter talents and I can continue to post non stop to annoy people like you.
I think these people you claim are "bots" would actually engage you if you actually talked to them #moleg</t>
  </si>
  <si>
    <t>🤦‍♂️
U do know lot of passionate citizens out there, don't you?  "Can it definitely be said... Blah blah blah..." Lol
This is what Fake News + Russian witch hunt done to people - brainwashed them
It's called free speech, just like you have.
Cry some more 
#moleg #mogov https://t.co/rjDJ62Yq3d</t>
  </si>
  <si>
    <t>RT @magathemaga1: Good morning 2 everybody but @RonFRichard
I have been getting lot of questions about #LadderBoy 
✔Mitch's Boy?
✔Is he #…</t>
  </si>
  <si>
    <t>RT @JackPosobiec: John Brennan made a secret trip to Moscow in early 2016 https://t.co/BDRop7R4G2</t>
  </si>
  <si>
    <t>RT @realDonaldTrump: Democrats are obstructing good (hopefully great) people wanting to give up a big portion of their life to work for our…</t>
  </si>
  <si>
    <t>RT @JW1057: @melody_grover Sounds like @RonFRichard should resign because he is unwilling to do his job. If he doesn't resign, then he shou…</t>
  </si>
  <si>
    <t>RT @melody_grover: Clearly an a**hole. Pardon my french. This statement plus Richard's anal retentiveness about everybody wearing ties in h…</t>
  </si>
  <si>
    <t>RT @magathemaga1: Isnt it funny one of the people who has been screaming loudest about discarding presumption of innocence for @EricGreiten…</t>
  </si>
  <si>
    <t>RT @sigi_hill: @grcfay @magathemaga1 @ohsynesthesia @MOHouseGOP @MissouriGOP @Avenge_mypeople @Blackboxhalo @Rep_TRichardson @elijahhaahr @…</t>
  </si>
  <si>
    <t>RT @memoriadei: Appalled like never before at #MOLEG for bullying.  Unprofessional!  Not once have I ever seen such disgusting behavior and…</t>
  </si>
  <si>
    <t>RT @aaron_hedlund: @ScottCharton The truly dangerous suggestion in there is that even if #mogov *innocence* is established on all counts, h…</t>
  </si>
  <si>
    <t>RT @aaron_hedlund: Au contraire: rushed judgment based on incomplete information is what shrinks credibility. What would you have #moleg do…</t>
  </si>
  <si>
    <t>RT @magathemaga1: Clip from @paulcurtman interview w/ @MarcCox971 on @971FMTalk 
Who is Ronald Sullivan &amp;amp; was there laws violated in hirin…</t>
  </si>
  <si>
    <t>RT @magathemaga1: Do you know how many black men were unfairly locked up on crimes they didn't commit?
Not allowing presumption of innocen…</t>
  </si>
  <si>
    <t>RT @magathemaga1: @staceynewman 
Do U hate black americans?
How many black men have been locked up on false charges yet U R quick 2 engag…</t>
  </si>
  <si>
    <t>@Brian_Chovanec @VouxCroux @EsotericCD Obviously don't know Missouri</t>
  </si>
  <si>
    <t>RT @FN4AP: @Brian_Chovanec @VouxCroux @EsotericCD Austins been all over the state attending Republican events and making national news. The…</t>
  </si>
  <si>
    <t>@DdaannHhaanniiu @KMOV Lol ok. Hes innocent until proven guilty</t>
  </si>
  <si>
    <t>RT @melody_grover: Self-proclaimed Nostradamus of the Central West End @scottfaughn pats himself on the back for being Gardner's media erra…</t>
  </si>
  <si>
    <t>RT @Sticknstones4: 🗣 ACTION ALERT 🚨 📞CALL  Leave a Message to the #Moleg Members of the House Committee that issued the Inaccurate  #Greite…</t>
  </si>
  <si>
    <t>RT @YearOfZero: @KathieConway @TommyLeeAllman @VisioDeiFromLA @EricGreitens Sorry that u hate @EricGreitens but that isn’t a reason 2 impea…</t>
  </si>
  <si>
    <t>RT @YearOfZero: @MactavishShawn @VisioDeiFromLA @EricGreitens @MOHouseGOP @HawleyMO also open up @HawleyMO to attacks by Claire as inexperi…</t>
  </si>
  <si>
    <t>RT @melody_grover: The same state chair who spread malicious lies that drove Tom Schweich to suicide? Gotcha. #mogov #moleg #mosen https://…</t>
  </si>
  <si>
    <t>RT @YearOfZero: This actually isn’t true. This was a consensual fling and it only became “assault” when Eric cut the #Taxcredits which need…</t>
  </si>
  <si>
    <t>RT @Sticknstones4: @Justin_EAndrews @KMOV @EricGreitens Justin can you please ask all #moleg you encounter Why there is no official respons…</t>
  </si>
  <si>
    <t>RT @JW1057: @YblackGOP See attached.
#moleg #mogov #greitens #KimShady #IStandWithGreitens https://t.co/f2h5R9vbrE</t>
  </si>
  <si>
    <t>RT @Sticknstones4: Fake News doesn’t want to show how Missourians feel about Their elected Governor , the left tried to Lie 🤥 about this st…</t>
  </si>
  <si>
    <t>RT @Sticknstones4: Moral Turpitude would include smoking Marijuana.   
Will all #Moleg members please take a drug test 
So we can start yo…</t>
  </si>
  <si>
    <t>RT @Sticknstones4: @BCunninghamN @GovGreitensMO Nice article Blake , do u know why nobody is #moleg will comment about reading the 77 page…</t>
  </si>
  <si>
    <t>RT @RetNavy93: @tkinder @EricGreitens #MoLeg should wait until the #EricGreitons trial is over. If they don't they'll be getting the Govern…</t>
  </si>
  <si>
    <t>RT @Hope4Hopeless1: @KCTV5 We appreciate that .@EricGreitens is STANDING STRONG &amp;amp; staying the course of #DrainingTheSwamp &amp;amp; serving the peo…</t>
  </si>
  <si>
    <t>RT @toadtws: As is demonstrated by Gov Greitens's pleading seeking sanctions, the George Soros-backed crooked prosecutor and her perjurious…</t>
  </si>
  <si>
    <t>RT @VisioDeiFromLA: They also said this about trump. So sad how you people assume guilt and not presume innocence.
Over heard at bbq:
“98…</t>
  </si>
  <si>
    <t>RT @sigi_hill: @Hope4Hopeless1 @JW1057 @JCunninghamMO @lfshumake @CheriMO44 @SpeakerTimJones @MOGOP_Chairman @Rep_TRichardson @rossgarber @…</t>
  </si>
  <si>
    <t>RT @VisioDeiFromLA: Playing the victim again?
“victim”
You mean “alleged victim”
How is Hawley going 2 survive tough scampaign if he can’…</t>
  </si>
  <si>
    <t>@KenPrier @marko5070 @philip_saulter @tonycolombo971 @MarcCox971 @HawleyMO @EricGreitens Agreed</t>
  </si>
  <si>
    <t>RT @VisioDeiFromLA: @EricGreitens Do not resign! #moleg @Rep_TRichardson @Eric_Schmitt https://t.co/uNy7yMVh89</t>
  </si>
  <si>
    <t>RT @VisioDeiFromLA: @EricGreitens We are standing with you and against #moleg swamp monsters like @Rep_TRichardson and @elijahhaahr and #La…</t>
  </si>
  <si>
    <t>RT @Mizzourah_Mom: @EricGreitens Stay strong, Governor! Some of us in MO still believe in due process.</t>
  </si>
  <si>
    <t>RT @EricGreitens: This team is getting great results for the people of Missouri. Met with cabinet leaders today to discuss their achievemen…</t>
  </si>
  <si>
    <t>RT @Hope4Hopeless1: @EricGreitens .@EricGreitens, we  appreciate you STANDING STRONG &amp;amp; staying the course of #DrainingTheSwamp &amp;amp; serving th…</t>
  </si>
  <si>
    <t>RT @Mizzourah_Mom: At least there are some who want to allow #Greitens to have his day in court! As an American I still believe in innocent…</t>
  </si>
  <si>
    <t>RT @PlatteCountyGOP: @Ptsbrian Here is a video of the standing O for Gov @EricGreitens (conclusively disproving your source’s claims). Plea…</t>
  </si>
  <si>
    <t>RT @TeamGreitens: @stevekraske @EricGreitens Your source lied. That's nothing new for #fakenews. Here's a "source" you can see: https://t.c…</t>
  </si>
  <si>
    <t>RT @RealSaavedra: BOOM: FBI Agent Faces Prison After Pleading Guilty To Leaking Classified Documents To Media https://t.co/btF68C5pX9</t>
  </si>
  <si>
    <t>RT @RealMattCouch: The tree of liberty must be refreshed from time to time with the blood of patriots and tyrants.
#FactsOverFeelings
#Ame…</t>
  </si>
  <si>
    <t>RT @AJA_Cortes: Gentleman, 
A point about being a Man of Gravity
-You’re far more interesting as a Man when youre “older” versus when you…</t>
  </si>
  <si>
    <t>RT @DjLots3: Stop the #Indoctrination
of our kids!!!
Now Dems want 16 yr olds to vote!
Dems are so transparent!!
If they cant get illega…</t>
  </si>
  <si>
    <t>RT @PoliticalShort: Letter from DeSantis &amp;amp; other lawmakers to Sessions, Wray and Huber referring Comey, Clinton, Lynch, McCabe, Lisa Page &amp;amp;…</t>
  </si>
  <si>
    <t>@polishprincessh @adidasUS What an embarrassment</t>
  </si>
  <si>
    <t>RT @polishprincessh: All I read was "Adidas is tired of making money and being profitable".
ADIDAS has the constitutional right to sign Ka…</t>
  </si>
  <si>
    <t>RT @PoliticalShort: J. Edgar Comey https://t.co/1yJ10JdHau</t>
  </si>
  <si>
    <t>RT @CoreyLMJones: Trump puts America First
-Cut illegal border crossings by 40%
-Sent Nat. Guard to secure border
-Fights to end sanctuary…</t>
  </si>
  <si>
    <t>RT @AMike4761: The JUDGE is a former Playboy Bunny, hyper-Liberal  with Major Connections to The Clintons and George Soros!   Read the gory…</t>
  </si>
  <si>
    <t>RT @melody_grover: If @HawleyMO crusade to oust #mogov &amp;amp; overturn will of MO voters causes him to lose #mosen, let that be a lesson to the…</t>
  </si>
  <si>
    <t>RT @Avenge_mypeople: Truth.
#MOSen 
#moleg
#GreitensIndictment https://t.co/owBY8YaAHJ</t>
  </si>
  <si>
    <t>RT @iamjasonbailey: Comey lost his JOB.
Hillary lost an ELECTION.
McCabe lost his PENSION.
Schumer lost IMMIGRATION.
Liberals have lost the…</t>
  </si>
  <si>
    <t>RT @realDonaldTrump: There is a Revolution going on in California. Soooo many Sanctuary areas want OUT of this ridiculous, crime infested &amp;amp;…</t>
  </si>
  <si>
    <t>RT @Sticknstones4: Just exactly how many investigations does it take to find something ?  Give it up Swampdwellers !
If you put as much ef…</t>
  </si>
  <si>
    <t>RT @edwabuck: “And whatsoever ye do in word or deed, do all in the name of the Lord Jesus, giving thanks to God and the Father by him.”
Col…</t>
  </si>
  <si>
    <t>RT @VisioDeiFromLA: @YblackGOP @Markknight45 @MOHouseGOP @Rep_TRichardson @elijahhaahr @MOGOP_Chairman @AP4Liberty @Monetti4Senate @Sykesfo…</t>
  </si>
  <si>
    <t>RT @blackwidow07: @Sticknstones4 can you believe an illiterate brokeback, uneducated, jailed knifing hoodrat #moleg that never worked a day…</t>
  </si>
  <si>
    <t>@Sticknstones4 @blackwidow07 @RonFRichard They are all crooks</t>
  </si>
  <si>
    <t>RT @Sticknstones4: @blackwidow07 @RonFRichard Yes I can believe  #moleg is a bunch of crooked corrupt lncompetent inept Liars.  They only c…</t>
  </si>
  <si>
    <t>RT @magathemaga1: #LadderBoy Hawley decided to take on the role of Mueller 2.0
✔Waits until now?
✔Was he doing his job at all as AG?
✔Why…</t>
  </si>
  <si>
    <t>RT @TrumpChess: I don't feel sorry for Hawley but I sure hope @POTUS backs someone else in the #MoSen race to replace millionaire Claire. @…</t>
  </si>
  <si>
    <t>RT @JW1057: @JCunninghamMO @lfshumake @CheriMO44 @SpeakerTimJones @MOGOP_Chairman @Rep_TRichardson @rossgarber @MarkReardonKMOX 
#moleg #m…</t>
  </si>
  <si>
    <t>RT @NoMoSocialism75: @magathemaga1 @MOHouseGOP @Rep_TRichardson @elijahhaahr @Eric_Schmitt @shawnrhoads154 I was leaning towards Giant aste…</t>
  </si>
  <si>
    <t>@magathemaga1 @MOHouseGOP @Rep_TRichardson @elijahhaahr @Eric_Schmitt @shawnrhoads154 Lol</t>
  </si>
  <si>
    <t>RT @magathemaga1: ⚠️ #Moleg #MoGov #MoSen ⚠️
POLL TIME!
Good morning 2 everybody but the #Missouri media 
Now that #LadderBoy has fully…</t>
  </si>
  <si>
    <t>RT @VisioDeiFromLA: Wise words. 
Let it play out @elijahhaahr 
#moleg #mogov https://t.co/O0JT14ZjI0</t>
  </si>
  <si>
    <t>RT @Norasmith1000: @tmservo433 Actually, you are tearing yourselves apart and its sad to watch! Stop wasting taxpayers time and money on sp…</t>
  </si>
  <si>
    <t>RT @Hope4Hopeless1: @stltoday Is ANYONE reporting ALL the ABSURDITIES &amp;amp; BRAZEN #SOROS #Moleg #MoGov ACTIVISM &amp;amp; #CriminalProsecutorialMiscon…</t>
  </si>
  <si>
    <t>RT @Hope4Hopeless1: @sigi_hill @Joe_Cool_1 @staceynewman #MeTOO. I guess as my State Rep @staceynewman thinks it's OK to be publically call…</t>
  </si>
  <si>
    <t>RT @Norasmith1000: @Hope4Hopeless1 @sigi_hill @Joe_Cool_1 @staceynewman @EricGreitens Yes thats what I want to know. Stacy Newman is close…</t>
  </si>
  <si>
    <t>RT @VisioDeiFromLA: The Moment @realDonaldTrump gets @EricGreitens 2 resign if he does or is trying... RINOS/Dems will demand Trump steps d…</t>
  </si>
  <si>
    <t>RT @melody_grover: “I still think this is America and you’re innocent until you’re proven guilty...There’s two sides to the story.  And rig…</t>
  </si>
  <si>
    <t>RT @Sticknstones4: @melody_grover #moleg sure has a bunch of bullies in it !  I thought there were anti bullying laws in the workplace?…</t>
  </si>
  <si>
    <t>RT @TrumpChess: Shout out to @GovGreitensMO saying "He will NOT step down" and we're proud to stand with him @POTUS The only LIAR I've seen…</t>
  </si>
  <si>
    <t>RT @YearOfZero: @kitkat232455 @VABVOX @madameshawshank Oh please she kept seeing the man. Notice how nobody is talking about it now? Do you…</t>
  </si>
  <si>
    <t>RT @Sticknstones4: It’s Not a Witch Hunt 😜
It’s a swamp creatures rising,  crooked #Moleg saw their 1st attempt to take down #Greiteins wa…</t>
  </si>
  <si>
    <t>RT @grcfay: @magathemaga1 @ohsynesthesia @MOHouseGOP @MissouriGOP @Avenge_mypeople @Blackboxhalo @Rep_TRichardson @elijahhaahr @strmsptr @S…</t>
  </si>
  <si>
    <t>RT @magathemaga1: If innocence is brought 2 bar &amp;amp; condemned, perhaps 2 die, then citizens will say, “whether I do good or evil is immateria…</t>
  </si>
  <si>
    <t>RT @melody_grover: I feel a tad bit sorry for @HawleyMO and the other Chicken Littles whose political careers will be flushed down the drai…</t>
  </si>
  <si>
    <t>This. #moleg https://t.co/nouNYIrNcB</t>
  </si>
  <si>
    <t>RT @DeplorableGoldn: RT-ing 🚨
@HawleyMO  is going other avenues to get rid of #greitens . That should tell you all you need to know about t…</t>
  </si>
  <si>
    <t>RT @VisioDeiFromLA: What @JaneDueker has thrown out window in her WITCH HUNT of @EricGreitens:
Logic
Rule of Law
Presumption of Innocence…</t>
  </si>
  <si>
    <t>RT @magathemaga1: This is what I’m saying #MoSen 
Terrible political instincts from Hawley. Claire is going to attack big time and it reco…</t>
  </si>
  <si>
    <t>RT @VisioDeiFromLA: @Treva_reva_reva @YblackGOP @philip_saulter @Monetti4Senate @Avenge_mypeople @SmokeyBear2018 @juliematthews50 @jallman9…</t>
  </si>
  <si>
    <t>RT @magathemaga1: According to who? You?
The issue isn’t governing
We don’t need a governor
We need a SWAMP DRAINER
Change management isn…</t>
  </si>
  <si>
    <t>RT @magathemaga1: #Missouri Needs to Drain Swamp
New witch hunt allegations by #LadderBoy:
✔Waits until now?
✔Was he doing his job at all…</t>
  </si>
  <si>
    <t>RT @magathemaga1: @RealTravisCook @SykesforSenate We call him the #LadderBoy or maybe the #SwampBoy ??
#MOSEN #MoLeg #MoGov https://t.co/B…</t>
  </si>
  <si>
    <t>RT @VisioDeiFromLA: @YblackGOP @philip_saulter @Monetti4Senate @Avenge_mypeople @SmokeyBear2018 @juliematthews50 @jallman971 @EricGreitens…</t>
  </si>
  <si>
    <t>RT @VisioDeiFromLA: “It was as if Hawley were saying, “Hey, Gardner, another statue of limitations is about to run on a “possible” criminal…</t>
  </si>
  <si>
    <t>RT @sigi_hill: Called #ProsecutorialMalfeasance by @StLouisCityCA Kim Gardner 
👉BLM supporter 👉Soros-paid 👉DemocRAT
#MOreps-Swamp adds witc…</t>
  </si>
  <si>
    <t>RT @VisioDeiFromLA: @TheNancyAllen @AP4Liberty @HawleyMO @EricGreitens If we stop valuing the presumption of innocence, then what’s the poi…</t>
  </si>
  <si>
    <t>RT @VisioDeiFromLA: @TheNancyAllen @AP4Liberty @HawleyMO @EricGreitens Yes I know a trial and impeachment are two different things. However…</t>
  </si>
  <si>
    <t>RT @VisioDeiFromLA: @TheNancyAllen @AP4Liberty @HawleyMO @EricGreitens I want to see evidence and a conviction first. It’s important we hav…</t>
  </si>
  <si>
    <t>RT @YearOfZero: Hey @HawleyMO and #missouri
Choice now clear for #MoSen
Vote:
@Monetti4Senate
@SykesforSenate 
@AP4Liberty 
I can’t supp…</t>
  </si>
  <si>
    <t>RT @JW1057: Just Say No to @HawleyMO on Election Day!
@VisioDeiFromLA @CStamper_ @Sticknstones4 
#moleg #mogov #greitens #GreitensIndictm…</t>
  </si>
  <si>
    <t>RT @Avenge_mypeople: @jallman971 and @EricGreitens  are casualties of an ongoing attack against the republican establishment in Missouri. G…</t>
  </si>
  <si>
    <t>RT @TrumpChess: @philip_saulter @robschaaf @DaynaGould @mcbridetd @EricGreitens @SecretService @POTUS Pretty bad from a Dem lawmaker from y…</t>
  </si>
  <si>
    <t>RT @YearOfZero: So now it’s just adultery?
Meaning story from PS and KS was just made up? 🤦‍♂️ 
And cheating isn’t a crime. It’s a sin. B…</t>
  </si>
  <si>
    <t>RT @YearOfZero: TOTAL WITCH HUNT @HawleyMO 
Talk about timing. I think you need to resign for your blatant politics.
#MOLEG #mosen #mogov…</t>
  </si>
  <si>
    <t>RT @magathemaga1: GOOD 
Keep fighting @EricGreitens if you are innocent
#MoLeg #MoGov @Eric_Schmitt https://t.co/OgY0PgVIhD</t>
  </si>
  <si>
    <t>RT @VisioDeiFromLA: @EricGreitens Keep fighting. We are absolutely against Witch Hunts and this is one! 
#MoLeg #MoGov #Greitens #Missouri…</t>
  </si>
  <si>
    <t>RT @JW1057: @rep_trichardson @RonFRichard why do you hate the rule of law? Why do you hate due process? Why do you hate Missouri? Why do yo…</t>
  </si>
  <si>
    <t>RT @VisioDeiFromLA: @CryptoMatt06 @EricGreitens @blackwidow07 @RealTravisCook @Hope4Hopeless1 @SKOLBLUE1 @YearOfZero @DRUDGE @joelpollak @S…</t>
  </si>
  <si>
    <t>RT @VisioDeiFromLA: @scasey09 @sigi_hill @condorianflex @timmy2handz @EricGreitens Dude I've been paying attention to this case every day f…</t>
  </si>
  <si>
    <t>RT @sigi_hill: @EricGreitens Governor, Thank you for your service as a SEAL, your mission and for standing strong for your promise as our e…</t>
  </si>
  <si>
    <t>RT @sigi_hill: Governor, Thank you for your service as a SEAL, your mission and for standing strong for your promise as our elected Governo…</t>
  </si>
  <si>
    <t>RT @VisioDeiFromLA: He hasn't been convicted of anything. 
What is wrong with you? 
He has a trial. It can wait until then. Until then he…</t>
  </si>
  <si>
    <t>RT @DeplorableGoldn: #KimShady #moleg #Greitens #greitensindictment https://t.co/Awdo0u4BYU</t>
  </si>
  <si>
    <t>RT @DeplorableGoldn: RT-ing 🚨 please share! 🚨
@jallman971 and @EricGreitens  are casualties of an ongoing attack against the republican est…</t>
  </si>
  <si>
    <t>RT @magathemaga1: This.
We the voters DO NOT CARE WHAT the “cool kids” club of #MoLeg thinks. 
We voted for Trump because he was a fighte…</t>
  </si>
  <si>
    <t>RT @gocrazy4cards: @magathemaga1 @EricGreitens @Rep_TRichardson DO NOT RESIGN @EricGreitens 
Screw the Missouri GOP if they don't allow yo…</t>
  </si>
  <si>
    <t>RT @VisioDeiFromLA: @JeremyXKingsley @Huntr4myCountry @jymetcalf @cwallace504 @magathemaga1 @timmy2handz @EricGreitens @Eric_Schmitt @Chane…</t>
  </si>
  <si>
    <t>RT @YearOfZero: @Delainey81 @rmwkenpo @cjillian0709 The report is bs and has holes in it. That’s  Why the media stopped talking about it. W…</t>
  </si>
  <si>
    <t>RT @VisioDeiFromLA: It isnt funny that neither of you support due process or black people.
What have we fought for all these years?
#Mole…</t>
  </si>
  <si>
    <t>RT @sigi_hill: @condorianflex @scasey09 @VisioDeiFromLA @timmy2handz @EricGreitens Fake charges bc the grandjury was fed false information…</t>
  </si>
  <si>
    <t>@_cingraham How exactly is this bad. The best person should be hired</t>
  </si>
  <si>
    <t>RT @VisioDeiFromLA: @Huntr4myCountry @JeremyXKingsley @jymetcalf @cwallace504 @magathemaga1 @timmy2handz @EricGreitens @Eric_Schmitt @Chane…</t>
  </si>
  <si>
    <t>RT @VisioDeiFromLA: @RealTravisCook @CryptoMatt06 @EricGreitens @blackwidow07 @Hope4Hopeless1 @SKOLBLUE1 @YearOfZero @DRUDGE @joelpollak @S…</t>
  </si>
  <si>
    <t>RT @VisioDeiFromLA: @JeremyXKingsley @jymetcalf @cwallace504 @magathemaga1 @timmy2handz @EricGreitens @Eric_Schmitt @ChanelRion @Sticknston…</t>
  </si>
  <si>
    <t>RT @VisioDeiFromLA: Not meant 2 be insult. Meant to shock you into truth.
Truth: Truth is it was a fling.
Not abuse 
Not assault
A kinky…</t>
  </si>
  <si>
    <t>RT @VisioDeiFromLA: Not opinion. If it was an opinion, why did the media stop talking about it today?
Because the allegations are falling…</t>
  </si>
  <si>
    <t>RT @VisioDeiFromLA: @heartsleeve @Tough_and_Cool @GinaB4real @EricGreitens Plenty of people have. Just the media won’t report it. They won’…</t>
  </si>
  <si>
    <t>RT @juliematthews50: What he said.. 
#KimShady 
#moleg https://t.co/tAnD6VSXOI</t>
  </si>
  <si>
    <t>RT @VisioDeiFromLA: @Kirchnerbk80 @Tough_and_Cool @GinaB4real @EricGreitens Fallacy 101. I’m not for or against @EricGreitens 
I’m against…</t>
  </si>
  <si>
    <t>RT @VisioDeiFromLA: @MIZCRB @Tough_and_Cool @GinaB4real @EricGreitens Apparently you haven’t been paying attention. 
#MoLeg #Mogov https:/…</t>
  </si>
  <si>
    <t>RT @VisioDeiFromLA: @gordonlglaus @RealTravisCook @CryptoMatt06 @EricGreitens @blackwidow07 @Hope4Hopeless1 @SKOLBLUE1 @YearOfZero @DRUDGE…</t>
  </si>
  <si>
    <t>RT @VisioDeiFromLA: @Kirchnerbk80 @Tough_and_Cool @GinaB4real @EricGreitens Because I’m awesome!
#moleg #MoGov https://t.co/jo2ypxJ0Lv</t>
  </si>
  <si>
    <t>RT @VisioDeiFromLA: @Parab3llum @JunkieJoePol @jymetcalf @cwallace504 @magathemaga1 @timmy2handz @EricGreitens @Eric_Schmitt @ChanelRion @S…</t>
  </si>
  <si>
    <t>RT @VisioDeiFromLA: @_FlyUnderground @EricGreitens @Eric_Schmitt @MOHouseGOP @HawleyMO #LadderBoy ? Na. I don’t support cut and run types w…</t>
  </si>
  <si>
    <t>RT @VisioDeiFromLA: @Parab3llum @Kirchnerbk80 @Tough_and_Cool @GinaB4real @EricGreitens The sexual abuse charges have actually fallen apart…</t>
  </si>
  <si>
    <t>RT @VisioDeiFromLA: @Kirchnerbk80 @Tough_and_Cool @GinaB4real @EricGreitens I agree it sounds crazy. It sounds crazy that I’m obsessed with…</t>
  </si>
  <si>
    <t>RT @magathemaga1: @ChhunChhim @timmy2handz @VisioDeiFromLA @EricGreitens @Eric_Schmitt @ChanelRion @Sticknstones4 @Hope4Hopeless1 @MOHouseG…</t>
  </si>
  <si>
    <t>RT @VisioDeiFromLA: @condorianflex @timmy2handz @EricGreitens Greitens is innocent until proven guilty. If he’s guilty, what are you so wor…</t>
  </si>
  <si>
    <t>RT @VisioDeiFromLA: @_FlyUnderground @EricGreitens @Eric_Schmitt @MOHouseGOP @HawleyMO @Monetti4Senate @AP4Liberty @SykesforSenate @clairec…</t>
  </si>
  <si>
    <t>RT @VisioDeiFromLA: @Kirchnerbk80 @Tough_and_Cool @GinaB4real @EricGreitens @RealTravisCook @SKOLBLUE1 @blackwidow07 @BigJShoota @SpeakerTi…</t>
  </si>
  <si>
    <t>RT @YearOfZero: @DimsSecret @VisioDeiFromLA @heartsleeve @Tough_and_Cool @GinaB4real @EricGreitens #MOLeg #MoGov #Greitens #Missouri #Stlou…</t>
  </si>
  <si>
    <t>RT @Norasmith1000: #moleg
Remember that thing called Due Process? Greitens is innocent until proven guilty! And he absolutely should NOT re…</t>
  </si>
  <si>
    <t>RT @VisioDeiFromLA: @condorianflex @timmy2handz @EricGreitens One accusation isn’t credible at all if you’ve been following along. It fell…</t>
  </si>
  <si>
    <t>RT @VisioDeiFromLA: @condorianflex @timmy2handz @EricGreitens CAO and #KimShady aren’t credible FYI... and I question #MoLeg motives</t>
  </si>
  <si>
    <t>RT @VisioDeiFromLA: If you were actually conservative or know  what was going on you would know an R next to somebody’s name doesn’t matter…</t>
  </si>
  <si>
    <t>RT @VisioDeiFromLA: @Americanthatguy @malderdi @timmy2handz @EricGreitens Right plus they got David Brock’s boys on this one. All these twe…</t>
  </si>
  <si>
    <t>RT @VisioDeiFromLA: @blackwidow07 @EricGreitens @MOHouseGOP @Eric_Schmitt @HawleyMO It also makes him look like he hasn't been doing his jo…</t>
  </si>
  <si>
    <t>RT @blackwidow07: @VisioDeiFromLA @EricGreitens @MOHouseGOP @Eric_Schmitt I can't believe @HawleyMO stepped into this mess. He would have b…</t>
  </si>
  <si>
    <t>@Hope4Hopeless1 @JunkieJoePol @VisioDeiFromLA @jymetcalf @cwallace504 @magathemaga1 @timmy2handz @EricGreitens @Eric_Schmitt @ChanelRion @Sticknstones4 @MOHouseGOP @JohnLamping @Avenge_mypeople @Blackboxhalo @CornejoForMO Love it</t>
  </si>
  <si>
    <t>RT @Hope4Hopeless1: @JunkieJoePol @VisioDeiFromLA @jymetcalf @cwallace504 @magathemaga1 @timmy2handz @EricGreitens @Eric_Schmitt @ChanelRio…</t>
  </si>
  <si>
    <t>RT @melody_grover: If the case against #mogov is dismissed or results in acquittal, @HawleyMO must immediately resign as AG and depart the…</t>
  </si>
  <si>
    <t>RT @JW1057: @Sticknstones4 @ws_missouri For people who are claiming that this is not a witch hunt, they sure are doing a good job of making…</t>
  </si>
  <si>
    <t>RT @AdamAton: I’m so glad #moleg gets the good memes now https://t.co/sXjdsrT28S</t>
  </si>
  <si>
    <t>RT @YearOfZero: If doing his job, the potential violations would have been investigated Long ago, not after u drag @EricGreitens through mu…</t>
  </si>
  <si>
    <t>RT @melody_grover: A partial list of what @JaneDueker has thrown out the window:
Due process
Presumption of innocence
The rule of law
Her…</t>
  </si>
  <si>
    <t>RT @JW1057: Dear Members of the Missouri House and Senate:
If you don't want to work with @EricGreitens then you are all free to resign. T…</t>
  </si>
  <si>
    <t>RT @VisioDeiFromLA: @Avenge_mypeople @SmokeyBear2018 @juliematthews50 @jallman971 @EricGreitens @Monetti4Senate At the very least want to h…</t>
  </si>
  <si>
    <t>RT @JW1057: @kmoxnews Criminally this appears to be nonstarter. If violation occurred on 3/1/15, or earlier, the three year statute of limi…</t>
  </si>
  <si>
    <t>RT @YearOfZero: You cornered @SheenaGreitens to what?
To try 2 blackmail her? To tell her about affair?
What?
suggests you know a lot mo…</t>
  </si>
  <si>
    <t>RT @magathemaga1: @Sticknstones4 @EdBigCon Hey @EricGreitens you got a little Mueller 2.0 walking around #moleg and #mogov 
Hey @KathieCon…</t>
  </si>
  <si>
    <t>RT @StevenDialTV: NEW statement on behalf of Gov. @EricGreitens 
""I will not be resigning the Governor's office. In three weeks, this matt…</t>
  </si>
  <si>
    <t>RT @magathemaga1: @timmy2handz @VisioDeiFromLA @EricGreitens They are allegations/charges. He is innocent until proven guilty. 
He gets hi…</t>
  </si>
  <si>
    <t>RT @JW1057: @EricGreitens @SheenaGreitens @TeamGreitens @StLCountyRepub @MissouriGOP @CStamper_ @MOGOP_Chairman @VisioDeiFromLA @melody_gro…</t>
  </si>
  <si>
    <t>@JeremyXKingsley @VisioDeiFromLA @Huntr4myCountry @jymetcalf @cwallace504 @magathemaga1 @timmy2handz @EricGreitens @Eric_Schmitt @ChanelRion @Sticknstones4 @Hope4Hopeless1 @MOHouseGOP @JohnLamping @Avenge_mypeople @Blackboxhalo @CornejoForMO Why is it that liberal men always look like their diet consists of soy ?</t>
  </si>
  <si>
    <t>RT @PrisonPlanet: Morrissey: “We’re All Called Racist Now, The Word is Meaningless” - https://t.co/bpqPHuMR8z https://t.co/8etezLYXAy</t>
  </si>
  <si>
    <t>RT @TomFitton: Leftists (and one conservative) on Supreme Court make it easier for dangerous criminal non-citizens to avoid deportation. An…</t>
  </si>
  <si>
    <t>RT @RyanAFournier: You don’t think the FBI is corrupt? Then explain to me how the Mueller investigation went from Russian collusion to Trum…</t>
  </si>
  <si>
    <t>RT @Sticknstones4: Office of the Chief Disciplinary Counsel: Revoke the law license of St. Louis Circuit Attorney Kim Gardner! - Sign the P…</t>
  </si>
  <si>
    <t>RT @LouDobbs: Obstructionist in Chief- Deputy AG Rosenstein requests an extension to deliver Comey Memo to Congress. DOJ obstruction goes o…</t>
  </si>
  <si>
    <t>RT @chuckwoolery: Just stop and think of all we have learned about how our Government is run, all because Trump fired Comey. Now it's ALL o…</t>
  </si>
  <si>
    <t>RT @magathemaga1: #LadderBoy Hawley has decided to take on the role of Mueller 2.0
✔Waits until now?
✔Was he doing his job at all as AG?
✔…</t>
  </si>
  <si>
    <t>RT @Avenge_mypeople: @HawleyMO is looking more and more like one of "them." Since the #GreitensIndictment doesn't look like it's gonna pan…</t>
  </si>
  <si>
    <t>RT @Str8DonLemon: Nobody cares about this stuff. That's why they tried to take him down with those fake allegations which nobody is taking…</t>
  </si>
  <si>
    <t>Nobody cares about this stuff. That's why they tried to take him down with those fake allegations which nobody is taking about now. Talk about a witch hunt on @EricGreitens
@MOHouseGOP
#MOLeg #MOGOV https://t.co/P4uflNRnsH</t>
  </si>
  <si>
    <t>RT @VisioDeiFromLA: May have or did?
Now that the whole fake allegations against @EricGreitens with that woman have been exposed as be, th…</t>
  </si>
  <si>
    <t>RT @VisioDeiFromLA: Let's see the evidence.
#moleg https://t.co/ALRrb0d077</t>
  </si>
  <si>
    <t>RT @VisioDeiFromLA: Potential.
Let's see evidence. Certainly seems suspicious given "hundreds of thousands" of pages have been turned over…</t>
  </si>
  <si>
    <t>RT @VisioDeiFromLA: "May have" isnt "he did"
#moleg #mogov https://t.co/nEHP4ylEL3</t>
  </si>
  <si>
    <t>RT @JW1057: @stlcao Self-interested Josh Hawley and corrupt Kim Gardner a match made in hell. 
#moleg #mogov #greitens #GreitensIndictment…</t>
  </si>
  <si>
    <t>RT @VisioDeiFromLA: @melody_grover @HawleyMO Agreed. 30 days before limitations runs out. Seems more like a way to scree @EricGreitens 
Wh…</t>
  </si>
  <si>
    <t>RT @VisioDeiFromLA: "Potential" 
#MOLeg https://t.co/kUd3bMcZSY</t>
  </si>
  <si>
    <t>RT @magathemaga1: I'm with @EricGreitens @MOHouseGOP 
Your R+20 is a direct result of people like me who dont mind voting in outsiders
So…</t>
  </si>
  <si>
    <t>RT @melody_grover: When did America stop being a country of laws and due process? The political establishment has the #MAGA agenda in their…</t>
  </si>
  <si>
    <t>RT @VisioDeiFromLA: @dave_gosh He said "potential" &amp;amp; "may have" those were his words.
Did you read the Dowd letter?
#hawley the #ladderbo…</t>
  </si>
  <si>
    <t>RT @StevenDialTV: New statement from @EricGreitens 
"Fortunately for Josh, he’s better at press conferences than the law. Anyone who has se…</t>
  </si>
  <si>
    <t>RT @VisioDeiFromLA: Lol exactly what I was thinking. I want claire gone but she is crafty, and this does really show #LadderBoy has bad pol…</t>
  </si>
  <si>
    <t>RT @JackSuntrup: Greitens' team fires back at Hawley: "Fortunately for Josh, he’s better at press conferences than the law. Anyone who has…</t>
  </si>
  <si>
    <t>RT @VisioDeiFromLA: Innocent until proven guilty. What are you afraid of? 
That he is innocent.
This dragging out helps democrats.
But p…</t>
  </si>
  <si>
    <t>RT @J_Hancock: . @EricGreitens released statement: "Fortunately for @AGJoshHawley, he’s better at press conferences than the law."
Governo…</t>
  </si>
  <si>
    <t>RT @VisioDeiFromLA: @ws_missouri This looks very bad on Hawley. Lets say it were true. Right now hes saying "maybe" and everybody is innoce…</t>
  </si>
  <si>
    <t>RT @JackSuntrup: "Anyone who has set foot in a Missouri courtroom knows these allegations are ridiculous," Jeffrey said, without specifying…</t>
  </si>
  <si>
    <t>RT @BryanLowry3: .@EricGreitens: "Josh has turned the 'evidence' he claims to have over to St. Louis Circuit Attorney Kim Gardner— a libera…</t>
  </si>
  <si>
    <t>RT @VisioDeiFromLA: What ever happened with these allegations against Hawley??
"Hawley illegally paid Senate consultants with state campai…</t>
  </si>
  <si>
    <t>RT @KurtEricksonPD: Add'l statement from @EricGreitens: "Josh has turned the “evidence” he claims to have over to St. Louis Circuit Attorne…</t>
  </si>
  <si>
    <t>RT @KurtEricksonPD: Statement from @ericgreitens: "Fortunately for Josh, he’s better at press conferences than the law. Anyone who has set…</t>
  </si>
  <si>
    <t>RT @VisioDeiFromLA: This is an example of "another outcome" language pattern.
See our fake allegations that were totally made up didnt wor…</t>
  </si>
  <si>
    <t>RT @VisioDeiFromLA: Good morning #MOLeg &amp;amp; #mogov
What happened? Oh did we finally realize that ks/ps lying? No apologies 4 that? Any apolo…</t>
  </si>
  <si>
    <t>RT @chuckwoolery: Dirty Soros-Backed St. Louis Circuit Attorney Withheld Major Evidence in Governor Greitens’ Case – Must Resign Immediatel…</t>
  </si>
  <si>
    <t>RT @Hope4Hopeless1: @HawleyMO @clairecmc .@Hawley will you stop being a cuck, calling for the resignation of  ELECTED Gov #Greitens BEFORE…</t>
  </si>
  <si>
    <t>RT @DeplorableGoldn: RT 🚨 We have to remember why we have the presumption of innocence in this country. 
#MOLeg #MAGA #mogov #MOGOP #MoSen…</t>
  </si>
  <si>
    <t>RT @VisioDeiFromLA: @JW1057 @BigJShoota @Sticknstones4 @EdBigCon @ChiefJohnHayden #NoNotesTisaby and #KimShady coming together with the hel…</t>
  </si>
  <si>
    <t>RT @JW1057: @realDonaldTrump there's a traitor in your mist. His name is @HawleyMO and he isn't interested in MAGA. Josh Hawley is Missouri…</t>
  </si>
  <si>
    <t>RT @magathemaga1: @melody_grover @AP4Liberty @Monetti4Senate @HawleyMO #moleg #MOSen https://t.co/2fnqpcqfrQ</t>
  </si>
  <si>
    <t>RT @melody_grover: What's unconscionable is an arrogant &amp;amp; incompetent AG who prioritizes his DC-driven #mosen campaign (for which he has NO…</t>
  </si>
  <si>
    <t>RT @magathemaga1: #MOLeg #mogov #greitens #mosen @jallman971 @SuchHate @Koenig4MO @shawnrhoads154 @BillEigel @Monetti4Senate @CStamper_ @sh…</t>
  </si>
  <si>
    <t>RT @magathemaga1: We have to remember why we have the presumption of innocence in this country. 
#MOLeg #MAGA #mogov #MOGOP #MoSen #greite…</t>
  </si>
  <si>
    <t>RT @Avenge_mypeople: @HawleyMO , the fake #MAGA candidate is out snooping for Democrats to see if he can find anything on #Greitens  since…</t>
  </si>
  <si>
    <t>RT @Sticknstones4: #MoLeg @MOHouseGOP @MOLegDems 
Yo Legislators I didnt see you on my TV tonight
Why No press conference about your respo…</t>
  </si>
  <si>
    <t>RT @Str8DonLemon: Yo @TwitterSupport 
Can I please get my shadow ban removed?
I did nothing wrong!
Thanks!
@parscale</t>
  </si>
  <si>
    <t>@Avenge_mypeople @HawleyMO Yup. Hawley Betta back off</t>
  </si>
  <si>
    <t>RT @Avenge_mypeople: @HawleyMO is gonna get his snoops out looking for anything to screw #greitens. I can't believe I voted for this traito…</t>
  </si>
  <si>
    <t>RT @Avenge_mypeople: @HawleyMO  is going after other avenues to get rid of #greitens . That should tell you all you need to know about this…</t>
  </si>
  <si>
    <t>RT @SorosInSTL: Hey but in the mean time you can ask Chris how a real man should act, right?
Don't worry. I already bought Kim Gardner off…</t>
  </si>
  <si>
    <t>RT @magathemaga1: No idea who that is, but im Just a man who sees the injustice being carried out &amp;amp; doing my own part to fight against it.…</t>
  </si>
  <si>
    <t>Gardner admitted to it.
#moleg https://t.co/xuejZHHonU</t>
  </si>
  <si>
    <t>RT @SpeakerTimJones: THIS. Again. Because it’s so true. #MAGA #MOLeg https://t.co/VkcbCNSTq3</t>
  </si>
  <si>
    <t>RT @shesova: @sigi_hill @Norasmith1000 @Sticknstones4 @JW1057 @magathemaga1 @Joe_Cool_1 @VisioDeiFromLA @jaybarnes5 @KevinLAustin1 @gcmitts…</t>
  </si>
  <si>
    <t>RT @Hope4Hopeless1: @salter223 https://t.co/BUoItH5dKR Transcript shows#KimShady's MASSIVE #ProsecutorialMisconduct in this SHAM #GreitensI…</t>
  </si>
  <si>
    <t>RT @EdBigCon: @shesova @sigi_hill @Norasmith1000 @Sticknstones4 @JW1057 @magathemaga1 @Joe_Cool_1 @VisioDeiFromLA @jaybarnes5 @KevinLAustin…</t>
  </si>
  <si>
    <t>RT @SorosInSTL: A beautiful portrait of my work #stlouis
#MoLeg #MoGov https://t.co/6jN8eCi2EW</t>
  </si>
  <si>
    <t>RT @SykesforSenate: The Missouri State Senate republicans are either being played for fools or personally benefiting by attacking Greitens.…</t>
  </si>
  <si>
    <t>RT @EdBigCon: Lawyers for @EricGreitens will find out Thursday if the case gets tossed! #Moleg https://t.co/q185UhnbBk</t>
  </si>
  <si>
    <t>RT @magathemaga1: @Bryantbusby2 @YblackGOP @EricGreitens @Monetti4Senate @SykesforSenate @AP4Liberty The new painting has arrived
#moleg #…</t>
  </si>
  <si>
    <t>RT @SykesforSenate: Greitens will never resign. Ever. This is the 2nd time @AGJoshHawley has called for the resignation of a Republican ove…</t>
  </si>
  <si>
    <t>RT @SykesforSenate: Josh Hawley sides with Claire McCaskill and is proving for the second time inside of one year to be @TheDemocrats' favo…</t>
  </si>
  <si>
    <t>RT @Sticknstones4: Why #moleg  ?  
A report based on just testimony 🤷🏼‍♀️🤷🏽‍♀️🤷🏾‍♀️🤷‍♂️🤷🏻‍♂️🤷🏾‍♂️
No Investigation  No Cross Examination…</t>
  </si>
  <si>
    <t>RT @magathemaga1: @SykesforSenate @realDonaldTrump #MoLeg #Greitens #MoGov #LadderBoy #missouri https://t.co/mZE4BBr9yA</t>
  </si>
  <si>
    <t>RT @YearOfZero: No, we don’t believe you.
Your a far left liberal rag who mistakes objectivity with liberal butt kissing.
Stl Post is fak…</t>
  </si>
  <si>
    <t>RT @EdBigCon: @scottfaughn @EricGreitens @WielandNow @DLHoskins @BillEigel Stick to your Rex Sinqfield funded  St Louis City / County Merge…</t>
  </si>
  <si>
    <t>RT @magathemaga1: @stltoday @kendylei @blackwidow07 @Sticknstones4 We don't believe you clowns
#moleg https://t.co/pEB2orr61G</t>
  </si>
  <si>
    <t>RT @magathemaga1: So who is paying it Beth. 15k is kind of a low number... that's probably just a chunk. I can only imagine it's probably 5…</t>
  </si>
  <si>
    <t>RT @VisioDeiFromLA: Like the Boy Who Cried wolf, Scott.
Why not just wait for trial. If hes guilty, then the court will decide. But if hes…</t>
  </si>
  <si>
    <t>RT @magathemaga1: Good question 
Because the media is in on the witch hunt against @EricGreitens
#moleg https://t.co/mYaUfrEo71</t>
  </si>
  <si>
    <t>RT @VisioDeiFromLA: Oh don't you know! @robschaaf chief @EricGreitens hater found them 2 be credible despite them not getting cross examine…</t>
  </si>
  <si>
    <t>RT @YearOfZero: 🚨 #KimShady 🚨 
“Dirty Soros-Backed St. Louis Circuit Attorney Withheld Major Evidence in Governor Greitens’ Case – Must Re…</t>
  </si>
  <si>
    <t>RT @Sticknstones4: @VisioDeiFromLA @LanceDKewley @shawnrhoads154 @EricGreitens @joelpollak @gatewaypundit @MOHouseGOP @SheenaGreitens The f…</t>
  </si>
  <si>
    <t>@ajapko If true.  They haven't been proven such and in fact are probably false.</t>
  </si>
  <si>
    <t>RT @VisioDeiFromLA: The allegations are BS. Until he is proven guilty of something he should not step down.
You been paying attention?
#m…</t>
  </si>
  <si>
    <t>RT @Sticknstones4: @JudgeJeanine @Judgenap @SebGorka @IngrahamAngle 
@TuckerCarlson  Y’all need to have Jamie Allman on as a guest &amp;amp; start…</t>
  </si>
  <si>
    <t>RT @magathemaga1: @CStamper_ Good question.
#moleg #greitens #KimShady #mogov https://t.co/j9ryUclPzE</t>
  </si>
  <si>
    <t>RT @melody_grover: Missouri #FakeNews media along with the #moleg surrender caucus: "Why wait until we know if it's accurate?" #mogov https…</t>
  </si>
  <si>
    <t>RT @magathemaga1: The #GreitensIndictment in a nutshell:
Media sucks
Consensual fling 
Inconsistent testimony
#KimShady
#NoNotesTisaby 
Wa…</t>
  </si>
  <si>
    <t>RT @VisioDeiFromLA: #MoSwamp more concerned about who this guy is, if so and so is getting paid, rather than discussing the actual truth of…</t>
  </si>
  <si>
    <t>RT @toadtws: As the corrupt prosecutor's case against Greitens falls apart, GOP douchebags in #moleg set out for new basis for impeachment.…</t>
  </si>
  <si>
    <t>@NoMoreStalking6 @LouFuszToyota @SheenaGreitens @HubbardRadio @1057thePoint Good question!</t>
  </si>
  <si>
    <t>RT @magathemaga1: Yup.
#MOleg #mogov #Greitens #GreitensIndictment #StLouis #GreitensReport #missouri 
@parscale @DanScavino @CStamper_ @T…</t>
  </si>
  <si>
    <t>RT @VisioDeiFromLA: I know the difference. I don’t accept your reasoning: it’s selfish.
You are basically saying oh I don’t care if he’s g…</t>
  </si>
  <si>
    <t>RT @magathemaga1: @Hope4Hopeless1 @fawfulfan @jdavidsonlawyer @ems1944 @RGreggKeller @missouriscout @EricGreitens @MOHouseGOP @DaynaGould @…</t>
  </si>
  <si>
    <t>RT @Hope4Hopeless1: @fawfulfan @magathemaga1 @jdavidsonlawyer @ems1944 @RGreggKeller @missouriscout @EricGreitens @MOHouseGOP @DaynaGould @…</t>
  </si>
  <si>
    <t>RT @EdBigCon: Interesting #FACTS #MoLeg !           #KimShady #MoGOP https://t.co/Jn04p2eb4O</t>
  </si>
  <si>
    <t>RT @VisioDeiFromLA: 🚨 #KimShady strikes against #Stlouis 🚨 
Read great article exposing the CORRUPTION at the CAO
The more you read throu…</t>
  </si>
  <si>
    <t>RT @melody_grover: People with dirt on their hands act like they're Mr. Clean but best disinfectant is light. @NRSC regularly threatens con…</t>
  </si>
  <si>
    <t>RT @Hope4Hopeless1: #KimShady witheld EVIDENCE in discovery and it MAGICALLY appeared 1hr after #Moleg's "report"  that SHOWS that when Kit…</t>
  </si>
  <si>
    <t>RT @VisioDeiFromLA: ⚠️ Narrative Alert ⚠️
Allegations crumbling 
Victims shot their credibitly 
#KimShady shot hers
Case already bs 2 begi…</t>
  </si>
  <si>
    <t>RT @Sticknstones4: @MOHouseGOP  #Moleg #greitens #mogov #WitchHunt
When will you be having a special Reading session of the 77 page Transc…</t>
  </si>
  <si>
    <t>RT @magathemaga1: @Arch_Hawk @JW1057 @RiverfrontTimes @EricGreitens You ever think the allegations are just bogus??
As a lawyer you should…</t>
  </si>
  <si>
    <t>RT @VisioDeiFromLA: ⚠️ NARRATIVE ALERT ⚠️
✔Allegations falling apart
✔#MoLeg scrambling!
✔Made up stories about tractor driving hemroid vi…</t>
  </si>
  <si>
    <t>RT @EdBigCon: Dirty Soros-Backed St. Louis Circuit Attorney Withheld Major Evidence in Governor Greitens' Case - Must Resign Immediately ht…</t>
  </si>
  <si>
    <t>RT @Sticknstones4: When Is special reading session for New Evidence that makes House Investigative Report A Sham ? 
@jaybarnes5 @gcmitts @…</t>
  </si>
  <si>
    <t>RT @VisioDeiFromLA: ⚠️BREAKING⚠️
Dirty Soros-Backed #StLouis Circuit Attorney Withheld Major Evidence in Governor Greitens' Case - Must Re…</t>
  </si>
  <si>
    <t>RT @VisioDeiFromLA: ⚠️BREAKING⚠️
Dirty Soros-Backed St. Louis Circuit Attorney Withheld Major Evidence in Governor Greitens' Case - Must R…</t>
  </si>
  <si>
    <t>@EdBigCon @parscale @realDonaldTrump @DRUDGE @DanScavino</t>
  </si>
  <si>
    <t>RT @EdBigCon: BREAKING: Dirty Soros-Backed St. Louis Circuit Attorney Withheld Major Evidence in Governor Greitens' Case - Must Resign Imme…</t>
  </si>
  <si>
    <t>RT @magathemaga1: @AndrewFmOregon @jdavidsonlawyer @ems1944 @RGreggKeller @missouriscout @EricGreitens @MOHouseGOP @DaynaGould @Hope4Hopele…</t>
  </si>
  <si>
    <t>RT @magathemaga1: @jdavidsonlawyer @ems1944 @RGreggKeller @missouriscout According to who? You? 
Allegations falling apart and moleg is ge…</t>
  </si>
  <si>
    <t>RT @Avenge_mypeople: @robschaaf Where do you stand on tax increment financing? Asking for a friend... https://t.co/ZalUV5Hqw2</t>
  </si>
  <si>
    <t>RT @SorosInSTL: Stop making good points!
I bought them all off. I don't need no two bit justice "warrior" screwing it up!
#MoLeg #MoGov #…</t>
  </si>
  <si>
    <t>RT @sigi_hill: @Norasmith1000 @Sticknstones4 @JW1057 @magathemaga1 @Joe_Cool_1 @VisioDeiFromLA @jaybarnes5 @KevinLAustin1 @gcmitts @jeaniel…</t>
  </si>
  <si>
    <t>RT @VisioDeiFromLA: @EdBigCon @KathieConway @ohsynesthesia @YearOfZero @TommyLeeAllman @EricGreitens Now that actually makes sense. As @Yea…</t>
  </si>
  <si>
    <t>@RakestrawJeff @thesearcher998 He wasn't gov then...</t>
  </si>
  <si>
    <t>@Avenge_mypeople @CStamper_ 👍👍</t>
  </si>
  <si>
    <t>RT @Avenge_mypeople: @CStamper_ Even her own tax payer funded "investigator" lied under oath. It's incredible! https://t.co/nEaJzm64vG</t>
  </si>
  <si>
    <t>RT @HawleySightings: Which one is @AGJoshHawley? #HawleySightings #ladderboy #ladders #FindHawley https://t.co/A3gyjMZkiA</t>
  </si>
  <si>
    <t>RT @dailymentionsdc: Retweet for Gunny.
I'll Always Be A Marine: A final take away message from R. Lee Ermey to all of our men and women i…</t>
  </si>
  <si>
    <t>RT @charliekirk11: When Comey testified in front of Congress he said he knew nothing about wiretapping of Trump or transition team. He was…</t>
  </si>
  <si>
    <t>RT @AnnaApp91838450: https://t.co/9mkfm5POel
WHY ISN'T THIE CORRUPT DIRTY COP INDICTED💥 WHY HASN'T 
WRAY/AG SESSIONS WENT TO A JUDGE TO ISS…</t>
  </si>
  <si>
    <t>RT @mitchellvii: You know what struck me most about this disastrous Comey interview?  Comey is not just an evil, lying, self-absorbed far l…</t>
  </si>
  <si>
    <t>RT @PhxGOP: Why am I shadowbanned again, @TwitterSupport? @TwitterAdsHelp @TwitterGov @TwitterSafety @vijaya @jack @AjitPaiFCC @parscale</t>
  </si>
  <si>
    <t>RT @chuckwoolery: Democrat Senator Forced to Apologize Over ‘Racist’ Comments https://t.co/oVq0oe0rWJ https://t.co/ePF3gVZ7Ea</t>
  </si>
  <si>
    <t>RT @JW1057: Cross-examination trivia! 
Can anyone spot the hole in Kitty's testimony? The committee members sure did not.
Answer below!…</t>
  </si>
  <si>
    <t>RT @VisioDeiFromLA: 🚨 Justice Warrior Update 🚨 
Cross-examination trivia! 
Can anyone spot the hole in KS testimony? The committee member…</t>
  </si>
  <si>
    <t>RT @magathemaga1: Anybody notice #Greitens accuser "PS" when he was trying 2 get @EricGreitens 2 step down via twitter, he never once calle…</t>
  </si>
  <si>
    <t>RT @Jali_Cat: Wow @Comey,
This tweet did NOT ago well for you. 
✅Liars
✅Cheats
✅Traitors
✅Thieves 
✅Total corruption 
✅Obama watch dogs
✅…</t>
  </si>
  <si>
    <t>RT @VisioDeiFromLA: Good question for @robschaaf
#MoLeg #MoGov #MoSen #MoHouse https://t.co/ZPi0w87OmM</t>
  </si>
  <si>
    <t>RT @magathemaga1: @VisioDeiFromLA @WillSchamper_ @EdBigCon @KathieConway @ohsynesthesia @YearOfZero @TommyLeeAllman @EricGreitens Hey Kathy…</t>
  </si>
  <si>
    <t>RT @magathemaga1: When U begin 2 realize @MOHouseGOP didn’t actually cross examine witnesses or really do research on case, U realize even…</t>
  </si>
  <si>
    <t>RT @magathemaga1: @VisioDeiFromLA @WillSchamper_ @EdBigCon @KathieConway @ohsynesthesia @YearOfZero @TommyLeeAllman @EricGreitens @Sticknst…</t>
  </si>
  <si>
    <t>RT @magathemaga1: @queenofBLAH @EricGreitens He shouldn’t resign. Tell me, why would the accuser call @EricGreitens a home wrecker and chea…</t>
  </si>
  <si>
    <t>RT @YearOfZero: I will be casting my vote for somebody else since you want to trample on @EricGreitens right to prove innocence. Consensual…</t>
  </si>
  <si>
    <t>RT @Sticknstones4: @MariaChappelleN Why stop at sex? What about DUIs, tax liens, warrants, unpaid child support, unpaid taxes state &amp;amp; feder…</t>
  </si>
  <si>
    <t>RT @VisioDeiFromLA: Lol
It's like the boy who cried wolf. 
Now that your blackmail/sexual assault allegations falling apart your pushing…</t>
  </si>
  <si>
    <t>RT @VisioDeiFromLA: Keep spinning buddy. You haven't tweeted in a while on #moleg 
Since other allegations falling apart your screaming ab…</t>
  </si>
  <si>
    <t>RT @VisioDeiFromLA: #MoLegCriedWolf 
@MOHouseGOP people of #Missouri will take any such action as a DIRECT ASSAULT ON THE VOTERS given tha…</t>
  </si>
  <si>
    <t>RT @JW1057: @VisioDeiFromLA @FOX2now Email sent to committee members and Speaker Richardson.
@sarahfenske @KMOV @MOHOUSECOMM @MOGOP_Chairm…</t>
  </si>
  <si>
    <t>RT @YearOfZero: @JW1057 @Monetti4Senate @HawleyMO @EricGreitens @SykesforSenate @AP4Liberty I also don’t buy republicans saying this will h…</t>
  </si>
  <si>
    <t>RT @VisioDeiFromLA: @tjhlfld @ScottCharton @EricGreitens He has none. He just wants us to believe a woman kept seeing him becagee she was "…</t>
  </si>
  <si>
    <t>RT @YearOfZero: @YblackGOP @joel_capizzi @HawleyMO @EricGreitens @SykesforSenate @AP4Liberty @Monetti4Senate Better tell ur boss. Ask him s…</t>
  </si>
  <si>
    <t>RT @YearOfZero: @YblackGOP @joel_capizzi @HawleyMO @EricGreitens @SykesforSenate @AP4Liberty @Monetti4Senate I won’t be backing him. Sorry…</t>
  </si>
  <si>
    <t>RT @Sticknstones4: @VisioDeiFromLA @MOHouseGOP @EricGreitens Yawn their attacks are getting old 
Cuff n stuff me, i once had a library book…</t>
  </si>
  <si>
    <t>RT @SorosInSTL: You are really starting to be a pain in the butt.
Facts werent supposed to be mentioned!
#moleg #mogov https://t.co/GYyQX…</t>
  </si>
  <si>
    <t>RT @SorosInSTL: U are amazing at spinning consensual fling into sexual assault. U should come work for me. Hours good, perks great, and com…</t>
  </si>
  <si>
    <t>RT @Avenge_mypeople: @Sticknstones4 @VisioDeiFromLA @EricGreitens After leaving his trash with underwear in tow, they'll next check tread d…</t>
  </si>
  <si>
    <t>RT @Avenge_mypeople: @JeffSmithMO It appears this fake #GreitensIndictment  isn't gonna pan out, so they move on to other issues, exposing…</t>
  </si>
  <si>
    <t>RT @Avenge_mypeople: Sometimes, those who tell lies end up being the ones in jail. I'd tread lightly #kimshadey with all the lies and decei…</t>
  </si>
  <si>
    <t>RT @YearOfZero: The Post-Dispatch is fake news.
#MoLeg https://t.co/A49FqpTwf8</t>
  </si>
  <si>
    <t>RT @88YahamaKeys: #MOleg needs to clean house!  Stacey Newman is behind @jallman971 attacks!  She’s also a part of @EricGreitens attacks!…</t>
  </si>
  <si>
    <t>RT @JW1057: #moleg #mogov #greitens #GreitensIndictment #KimShady #mopns
Why did Philip remain silent about alleged forced "oral sex?" Rea…</t>
  </si>
  <si>
    <t>RT @melody_grover: Most of the displays of outrage by #moleg come from the same defenders of the status quo who were angry that #mogov chal…</t>
  </si>
  <si>
    <t>RT @magathemaga1: Hey Jay.
Tell me if it's ok for Kim Gardner to lie to a grand Jury about evidence.
Also tell me what you think about th…</t>
  </si>
  <si>
    <t>RT @Avenge_mypeople: @VisioDeiFromLA @EricGreitens Next, they'll be going through his trash looking for evidence of dirty underware. These…</t>
  </si>
  <si>
    <t>RT @magathemaga1: @FOX2now Hmm somebody is lying!
#mogov #MOleg #GreitensIndictment https://t.co/Ml2pUCatJL</t>
  </si>
  <si>
    <t>RT @VisioDeiFromLA: It's actually great news that all these cut and run Republicans are exposing themselves.
It will make draining the #Mo…</t>
  </si>
  <si>
    <t>RT @Sticknstones4: @FOX2now #Moleg did not investigate, that was a listening session to write a baseless report.  Why don’t they care about…</t>
  </si>
  <si>
    <t>RT @YearOfZero: @Monetti4Senate @HawleyMO @EricGreitens @SykesforSenate @AP4Liberty Thank U, Tony. I will admit it’s possible he is guilty,…</t>
  </si>
  <si>
    <t>RT @Hope4Hopeless1: @NCogneetoCon @EricGreitens #GreitensIndictment
is a HORRIFYING misuse &amp;amp; abuse of power &amp;amp; it puts us all at risk!
ACT…</t>
  </si>
  <si>
    <t>RT @Sticknstones4: ⏳ Time to Call📞
The 3 Stooges 🤡🤡🤡of #Moleg
🗣DEMAND THEY READ &amp;amp; RESCIND
@Robschaaf @DougLibla25 #garyromine
#Greitens…</t>
  </si>
  <si>
    <t>RT @VisioDeiFromLA: "Goes &amp;amp; shops it around the media trying to fetch payday ... If I was media buyer, I’d tell the guy, go to the police.…</t>
  </si>
  <si>
    <t>RT @magathemaga1: When U realize #MoLeg libs/RINOS &amp;amp; other #MoSwamp creatures appealing 2 @potus who many of them hate 2 get @EricGreitens…</t>
  </si>
  <si>
    <t>RT @memoriadei: Shaming is now a #MOLEG norm by some.  I do not vote for bullies.  #Greitens needs to stand his ground</t>
  </si>
  <si>
    <t>RT @magathemaga1: So many #MoLeg swamp dwellers acting like they know the accuser.... do they?
Well Stacey Newman does per her Facebook pa…</t>
  </si>
  <si>
    <t>RT @magathemaga1: When U put UR ear 2 the ground &amp;amp; listen 2 what's going on in #MoSwamp that is #MoLeg, it becomes even more clear swamp in…</t>
  </si>
  <si>
    <t>RT @YearOfZero: @blackwidow07 @Sticknstones4 @HawleyMO @EricGreitens @SykesforSenate @AP4Liberty @Monetti4Senate I don’t see what is the ru…</t>
  </si>
  <si>
    <t>RT @magathemaga1: The #KimShady show! 
Also starting #NoNotesTisaby 
A #Soros Production! 
#MOleg #mogov #StLouis https://t.co/jCirUAwBAh</t>
  </si>
  <si>
    <t>RT @YearOfZero: @HawleyMO 
WAS planning on voting for U
Not now
Do not support witch hunt against @EricGreitens &amp;amp; as LEO can tell U alle…</t>
  </si>
  <si>
    <t>RT @Norasmith1000: @VisioDeiFromLA @MOHouseGOP @ScottCharton Sorry Scott and #moleg, but the people want Due Process, which all of you seem…</t>
  </si>
  <si>
    <t>RT @JW1057: @RiverfrontTimes @HawleyMO, thank you for letting us know that you are an unprincipled coward. We shall take note on election d…</t>
  </si>
  <si>
    <t>RT @DeplorableGoldn: RT-ing 🚨
Before judgement is cast on @EricGreitens,  the prosecutorial malfeasance conducted by the @stlcao is a great…</t>
  </si>
  <si>
    <t>RT @blackwidow07: @scottfaughn if we are going to cleanse the state then @AGJoshHawley &amp;amp; @jaybarnes5 should do the same to the #moleg that…</t>
  </si>
  <si>
    <t>Yo @TwitterSupport 
Can I please get my shadow ban removed?
I did nothing wrong!
Thanks!
@parscale</t>
  </si>
  <si>
    <t>RT @TheJordanRachel: All these crazy leftists who absolutely HATED Comey for reopening the Hillary investigation all of a sudden love him b…</t>
  </si>
  <si>
    <t>RT @melody_grover: There are 3 options for #mosen GOP primary: @HawleyMO if you think Danforth Republicans and big donors have done a swell…</t>
  </si>
  <si>
    <t>RT @aaron_hedlund: The nice thing about the upcoming trial is the public will hear both sides, under oath, with cross-examination and stand…</t>
  </si>
  <si>
    <t>RT @magathemaga1: @JoshAlterity @EricGreitens @Monetti4Senate @SykesforSenate @AP4Liberty Respect for the meme. Check out this one I’ve bee…</t>
  </si>
  <si>
    <t>RT @magathemaga1: 🚨 #MoLeg #MoSen #MoGov 🚨 
POLL TIME!
Now that #LadderBoy Hawley is no longer viable option since he wants to deny @Eric…</t>
  </si>
  <si>
    <t>RT @Sticknstones4: @magathemaga1 @Hope4Hopeless1 @AvrilMai91 @AP4Liberty @MOHouseGOP @SpeakerTimJones @EricGreitens @Avenge_mypeople @MOGOP…</t>
  </si>
  <si>
    <t>RT @magathemaga1: @Sticknstones4 @Hope4Hopeless1 @AvrilMai91 @AP4Liberty @MOHouseGOP @SpeakerTimJones @EricGreitens @Avenge_mypeople @MOGOP…</t>
  </si>
  <si>
    <t>RT @magathemaga1: Painting 4 #GreitensIndictment to commemorate witch hunt
Trying 2 include all players in saga. With Hawley turning #Turn…</t>
  </si>
  <si>
    <t>RT @realDonaldTrump: Thank you to all of the American workers who travelled here today! This event is dedicated to YOU: the hardworking Ame…</t>
  </si>
  <si>
    <t>RT @ForPotus45: @realDonaldTrump @FBI was so Politically Biased, they hid this from the public...Knowing @HillaryClinton would be in Jail i…</t>
  </si>
  <si>
    <t>Yo @TwitterSupport why am i Shadow banned??? @parscale</t>
  </si>
  <si>
    <t>@ShannonBrecks @PlatteCountyGOP @EricGreitens @parkvillemo He's innocent</t>
  </si>
  <si>
    <t>RT @Sticknstones4: @PlatteCountyGOP @EricGreitens @parkvillemo https://t.co/8yjAKkBXny</t>
  </si>
  <si>
    <t>@aliemalie So does the fact that the allegations are being exposed as false not matter to you?</t>
  </si>
  <si>
    <t>RT @toadtws: Yo @MissouriGOP, let's stipulate that everyone is human and therefore flawed.  That said, would you rather be lead by the weas…</t>
  </si>
  <si>
    <t>RT @PlatteCountyGOP: Gov. @EricGreitens got a standing ovation from the @PlatteCountyGOP at #SpringToVictory in @parkvillemo. https://t.co/…</t>
  </si>
  <si>
    <t>@ValerieSolanas9 @PlatteCountyGOP @EricGreitens @parkvillemo Vox isn't a legit site.</t>
  </si>
  <si>
    <t>RT @magathemaga1: @robschaaf Ahem — they didn’t cross examine on the committee!
STOP THE WITCH HUNT
DO NOT STEP DOWN @EricGreitens 
#MoL…</t>
  </si>
  <si>
    <t>RT @magathemaga1: @Sticknstones4 Whole thing is a scam!!!!
#KimShady #GreitensReport #GreitensIndictment #greitens #Missouri #StLouis http…</t>
  </si>
  <si>
    <t>RT @YearOfZero: Remember in Jim Crow when black men unfairly prosecuted? UR doing the same as Jim Crow. Are you FOR turning back the clock…</t>
  </si>
  <si>
    <t>RT @magathemaga1: Very important tweet @ScottCharton 
Gonna continue 2 keep pushing lies or are you actually interested in REAL TRUTH not…</t>
  </si>
  <si>
    <t>RT @magathemaga1: @CStamper_ The #KimShady show! 
Also starting #NoNotesTisaby 
A #Soros Production! 
#MOleg #mogov #StLouis https://t.c…</t>
  </si>
  <si>
    <t>RT @magathemaga1: Yo #mohouse
You do know that this entire witch hunt on @EricGreitens NEEDS TO STOP
We see through it!
#KimShady #NoNot…</t>
  </si>
  <si>
    <t>@PlatteCountyGOP @EricGreitens @parkvillemo Stand strong! We know these allegations are bs @EricGreitens</t>
  </si>
  <si>
    <t>RT @VisioDeiFromLA: @Hope4Hopeless1 @DaphneClark10 @PlatteCountyGOP @EricGreitens @parkvillemo Here’s a summary:
#MoLeg #GreitensIndictmen…</t>
  </si>
  <si>
    <t>RT @magathemaga1: Today, I'll be standing on busy street corner with sign, "I want to know why democrats choose illegal aliens over black l…</t>
  </si>
  <si>
    <t>RT @VisioDeiFromLA: U mad bro that people see through the WITCH HUNT.
RINOs might not fight back against BS but we do.
#MoLeg #Greitens #…</t>
  </si>
  <si>
    <t>RT @SentinelKSMO: Breaking: Greitens' Prosecutors Produce Missing Video Hours After Release of House Report - https://t.co/y6W1M5hsoc</t>
  </si>
  <si>
    <t>RT @Sticknstones4: This article has details of the evidence &amp;amp; testimony 
Regarding the alleged 👋🏻 SLAP
Greitens Lovers &amp;amp; Haters should read…</t>
  </si>
  <si>
    <t>RT @Lautergeist: Wow ~ I hope the Guvnuh  and his family have enough energy to punch back at every one if you mother fuckers who say he's g…</t>
  </si>
  <si>
    <t>RT @Sticknstones4: @MartyMurrayJr Before judgement is cast on @EricGreitens,  the prosecutorial malfeasance conducted by the @stlcao is a g…</t>
  </si>
  <si>
    <t>RT @magathemaga1: 🚨 JUSTICE WARRIOR UPDATE 🚨 
MUST READ NOW 
OMG
This just goes to show how much #GreitensIndictment is complete and TOT…</t>
  </si>
  <si>
    <t>RT @VisioDeiFromLA: For those that missed my thread yesterday
TO BE OR TO DO
⚠️To be somebody and screw over #Missouri Voters 
👍To do so…</t>
  </si>
  <si>
    <t>RT @VisioDeiFromLA: (1) #Greitens Thread Time!
Boyd famously said in life, there comes a roll call. 
To be or 2 do!
“To be somebody or t…</t>
  </si>
  <si>
    <t>RT @VisioDeiFromLA: (31) Right now Rob wants to be somebody. He wants to be the hero to #MOLeg and screw @EricGreitens out of justice. Beca…</t>
  </si>
  <si>
    <t>RT @VisioDeiFromLA: (30) A guy like @robschaaf — well to be fair, I looked him up, and he seems like he wants to do right by his constituen…</t>
  </si>
  <si>
    <t>RT @VisioDeiFromLA: (29) After watching #moleg and getting the sense of the politics in the state, it’s clear 99 percent of the journalists…</t>
  </si>
  <si>
    <t>RT @magathemaga1: 🚨 TURNCOAT ALERT 🚨
Give @robschaaf call at 573-751-2183
Let him know:
✔️@EricGreitens deserves to present his case
✔️Th…</t>
  </si>
  <si>
    <t>RT @melody_grover: Politicians should rightfully fear the skeletons in their closet, but what's always far scarier is the risk that someone…</t>
  </si>
  <si>
    <t>RT @Hope4Hopeless1: @KMOXKilleen @EricGreitens #KimShady IS a #Soros FUNDED #Activist who rcvd at least $200,000 to  get HER in POWER!!!
N…</t>
  </si>
  <si>
    <t>RT @magathemaga1: #Soros isn’t happy that money he spent on #KimShady is working out!
Call @MissouriGOP and @MOHouseGOP and tell them you…</t>
  </si>
  <si>
    <t>RT @VisioDeiFromLA: Sorry phony narrative wont work.
We see what you are trying to do. Trot out some expert  to try to say consent is retr…</t>
  </si>
  <si>
    <t>RT @JW1057: @CStamper_ @TeamGreitens @VisioDeiFromLA @rossgarber 
For that to be said to Kim Gardner, an officer of the court, is just abs…</t>
  </si>
  <si>
    <t>RT @VisioDeiFromLA: Want your blood to boil #Missouri and #StLouis ?
Read entire transcript of Thursday’s raucous #Greitens court proceedi…</t>
  </si>
  <si>
    <t>RT @magathemaga1: The perception of #MoLeg is on the line.
Are they going to screw an innocent man before facts are out, or is the tax cre…</t>
  </si>
  <si>
    <t>RT @Sticknstones4: @Jarlbear @jrosenbaum If we are ousting people on moral turpitude let’s drain the entire swamp of crooks in Jefferson Ci…</t>
  </si>
  <si>
    <t>RT @melody_grover: Who knew we could have an Attorney General who doesn't believe in due process? We could have guessed as much given that…</t>
  </si>
  <si>
    <t>RT @Sticknstones4: Good Morning #moleg witchhunters 
 People are beginning to see your BS💩
We’re tired of the lies , y’all RESIGN https://…</t>
  </si>
  <si>
    <t>RT @magathemaga1: Good afternoon #MoLeg to everybody but Swamp Dweller  @robschaaf 
I wanted to introduce the newest member to the #Greite…</t>
  </si>
  <si>
    <t>RT @magathemaga1: @RealBigRedBeard @robschaaf @EricGreitens The allegations are fraudelent!
I'm sorry but this is America. What he does in…</t>
  </si>
  <si>
    <t>RT @YearOfZero: @cjillian0709 He said, she said. I’m sorry but women do lie, as much as men. 
U have things that point to this being suspe…</t>
  </si>
  <si>
    <t>RT @JW1057: Rob Schaff accuses KS of committing perjury before committee!
Schaff says there were no consensual acts between KS and EG afte…</t>
  </si>
  <si>
    <t>RT @JW1057: This is that moment you realize that you have screwed up, but you are not smart enough to self-correct before going over the cl…</t>
  </si>
  <si>
    <t>RT @yoalexrapz: In case you didn’t think there was an effort going on in public schools to indoctrinate kids with an anti-conservative agen…</t>
  </si>
  <si>
    <t>RT @johncardillo: .@Comey is a 6'7" man in his 50s who wrote and published the diary of an angst ridden unpopular 13 year old girl. 
#Untr…</t>
  </si>
  <si>
    <t>RT @AP4Liberty: It wouldn't matter if 99.9% of Americans supported an "assault weapons" ban since our natural rights aren't subject to your…</t>
  </si>
  <si>
    <t>RT @DineshDSouza: Media portrays @realDonaldTrump as “seething” over Comey but it’s obvious he just enjoys kicking that pompous dude in the…</t>
  </si>
  <si>
    <t>RT @Sticknstones4: Me thinks the House Committee FAILED to Cross Examine 
The witness 🤔
Why did they not cross examine that salacious test…</t>
  </si>
  <si>
    <t>RT @DuckDuckGo: Please keep in mind that if you #deletefacebook or disengage or reduce usage (the more the better), FB trackers still lurk…</t>
  </si>
  <si>
    <t>RT @VisioDeiFromLA: (22) I have Long suspected entire #GreitensIndictment was bogus but have long been open for anybody to silence my skept…</t>
  </si>
  <si>
    <t>@joel_capizzi @BigLeague2020 @codeofvets @RussellJirik @AP4Liberty @realDonaldTrump This is some solid meme work! Thought Austin's team was doing well but Cortland stepping up!</t>
  </si>
  <si>
    <t>RT @deenie7940: Manufacturing hiring rises to highest level since before the recession https://t.co/o9ms7E0U75</t>
  </si>
  <si>
    <t>RT @kelliwardaz: Tune into @Varneyco @FoxBusiness at 8:10 a.m. AZ (11:10 a.m. EST). We'll be talking about the #NationalGuard deploying to…</t>
  </si>
  <si>
    <t>RT @VisioDeiFromLA: (26) oh, and this just happened. Another fake sexual allegation for money. Now, Cosby got lot more problems than that,…</t>
  </si>
  <si>
    <t>RT @VisioDeiFromLA: (24) specifically this:
✔Somebody Contacted Watkins to help out with legal fees?
✔And his lawyer had a trust fund for…</t>
  </si>
  <si>
    <t>RT @VisioDeiFromLA: (21) Here’s some choice quotes from the @jallman971 story. 
https://t.co/z5ClcaUaag
So almost unanimous that affair h…</t>
  </si>
  <si>
    <t>RT @VisioDeiFromLA: (20) oh wait Sinclair moved fast. They just had to delete all those stories that @jallman971 did QUICK. 
That’s ok. Th…</t>
  </si>
  <si>
    <t>RT @VisioDeiFromLA: (19) So put that in your back pocket for later but keep that in mind. My point is, everybody seemed to know about this…</t>
  </si>
  <si>
    <t>RT @VisioDeiFromLA: (17) Hey @ChrisHayesTV I’m tagging you on this. I’ve been following this case for few months now and speculating. I thi…</t>
  </si>
  <si>
    <t>RT @VisioDeiFromLA: (14) U see Newman has vested interest in case. Not only has she been one of leading people calling for @EricGreitens 2…</t>
  </si>
  <si>
    <t>RT @VisioDeiFromLA: (12) Then he was targeted by Stacey Newman over stupid tweet that was a figure of speech and aided by I can only assume…</t>
  </si>
  <si>
    <t>RT @VisioDeiFromLA: (3) ”But you will be a member of the club and you will get promoted and you will get good assignments.”
#MOLeg #Greite…</t>
  </si>
  <si>
    <t>@N_S_Dolkart Actually she kept coming back. Sounds like she was well, they might have both been into that type of thing.
Not my business just saying</t>
  </si>
  <si>
    <t>RT @VisioDeiFromLA: @staceynewman what u mean when u called alleged victim “an activist” on ur Facebook page?  She was close friend accordi…</t>
  </si>
  <si>
    <t>RT @Sticknstones4: @Str8DonLemon Maybe she knows who’s been lining everybody’s pockets in #moleg &amp;amp; who is paying Al Watkins 💵💵💵💵💵 fees
Afte…</t>
  </si>
  <si>
    <t>RT @SuzaSusza: This is why we need our border protected by our military https://t.co/XBYBLUEMHU</t>
  </si>
  <si>
    <t>@ronaldpeterson3 @Sticknstones4 Nice gun!</t>
  </si>
  <si>
    <t>RT @Goz_1911: Should Welfare and All Government Entitlements be Abolished to Illegal aliens? Vote And RT</t>
  </si>
  <si>
    <t>RT @NathanDWilsonFL: FOX NEWS FIRST: POS Comey gets personal with Trump; Liar Liar Totally, He was another plant in Clinton Obama Disinform…</t>
  </si>
  <si>
    <t>RT @RealJamesWoods: Jimmy Kimmel doing his best Al Franken imitation... # https://t.co/ppkb1Tmq5E</t>
  </si>
  <si>
    <t>RT @Boyd_2650: Since the Mueller Investigation has gone way outside its scope &amp;amp; Rosenstein is signing off on EVERYTHING including the raid…</t>
  </si>
  <si>
    <t>RT @VisioDeiFromLA: (13) consequently he was fired from @971FMTalk &amp;amp; his TV show as well. Over a tweet. A figure of speech? Was it really t…</t>
  </si>
  <si>
    <t>RT @sigi_hill: Now we know that the Report by the MO House from Jay Barnes about the Greitens witch hunt is a fake investigation as the fak…</t>
  </si>
  <si>
    <t>RT @VisioDeiFromLA: (23) and I have long suspected money could be a motivator to weaponize a consensual affair, but it was just speculation…</t>
  </si>
  <si>
    <t>RT @VisioDeiFromLA: (25) AND SPECIFICALLY — was any other money offered before that time 2 either ex husband or woman at center of this?
S…</t>
  </si>
  <si>
    <t>RT @VisioDeiFromLA: (39) “If you decide you want to do something, you may not get promoted and you may not get the good assignments and you…</t>
  </si>
  <si>
    <t>RT @VisioDeiFromLA: (42) To Be Or To Do:
⚡️TO DO SOMETHING &amp;amp; STAND UP for TRUTH &amp;amp; JUSTICE &amp;amp; get all the facts?
⚡️TO BE SOMEBODY &amp;amp; SCREW O…</t>
  </si>
  <si>
    <t>RT @VisioDeiFromLA: (28) @EricGreitens also wanted TO DO something he promised.
Then out of nowhere, the affair that #MOLeg all knew about…</t>
  </si>
  <si>
    <t>RT @VisioDeiFromLA: (27) Back 2 Boyd
To be or to do. 
@jallman971 wanted to do right thing &amp;amp; tell truth &amp;amp; look at all angles of this stor…</t>
  </si>
  <si>
    <t>RT @VisioDeiFromLA: (8) In a very similar fashion, @EricGreitens is an outsider.
Flawed, as we know. But he had that roll call, too. 
To…</t>
  </si>
  <si>
    <t>@michaelsnarky Lol</t>
  </si>
  <si>
    <t>@toadtws @MIZCRB @sarahfelts What is this?
A money trail!!!!
Follow the money! 
#missouri #Greitens https://t.co/zjMyy8efcX</t>
  </si>
  <si>
    <t>RT @toadtws: @MIZCRB @sarahfelts Yo, dude, chill a bit and take a look at the Missouri constitution's provision on when the #moleg can impe…</t>
  </si>
  <si>
    <t>RT @Lautergeist: @politico The "missing" video taped deposition was "suddenly found" after #moleg wrote up their salacious findings-not fin…</t>
  </si>
  <si>
    <t>RT @toadtws: @MIZCRB @sarahfelts But the way, if we set the bar for elected office in Missouri at "offenses of moral turpitude" equating wi…</t>
  </si>
  <si>
    <t>Have you been following this case? 
I'll fill you in!
✔Shady prosecution 
✔Consensual affair 
✔Prosecution lied under oath
✔Deposition inconsistent
✔Lack of probable cause 
And MORE! 
#MoLeg #Greitens #StLouis
#GreitensReport #mogov #STL
@MOHouseGOP @EricGreitens https://t.co/IOMwNuO3cx</t>
  </si>
  <si>
    <t>RT @DeplorableGoldn: Visio is right! #moleg #GreitensReport https://t.co/4QEAgy5YJM</t>
  </si>
  <si>
    <t>RT @VisioDeiFromLA: @robschaaf Sorry rob. You impeach @EricGreitens before he presents his side of the story and this criminal trial we wil…</t>
  </si>
  <si>
    <t>RT @VisioDeiFromLA: @GraemeCrews @ClaireMKopsky @robschaaf Can you ask him why he would demand he step down when everybody in Jefferson Cit…</t>
  </si>
  <si>
    <t>RT @VisioDeiFromLA: @GraemeCrews @ClaireMKopsky @robschaaf Or why nobody went to police or why this transcript has so many holes that you c…</t>
  </si>
  <si>
    <t>@jimbo4real @tonymess Didnt he say there was no notes?
#MoLeg #mogov https://t.co/Lov1FHSW73</t>
  </si>
  <si>
    <t>RT @jimbo4real: What @tonymess fails to convey is the amateur antics of prosecuting attorney #KimGardiner with evidence not submitted pre-t…</t>
  </si>
  <si>
    <t>RT @Str8DonLemon: Good Morning #MoLeg
It appears one of #Cosby accusers made the entire story up for money! 
This should serve as a warni…</t>
  </si>
  <si>
    <t>RT @Str8DonLemon: @BigJShoota Cosby accuser lied?
This is what I'm talking about!
So many false allegations going on!
#GreitensReport
#G…</t>
  </si>
  <si>
    <t>RT @DeplorableGoldn: RT-ing
#Moleg "Investigative" Comm disregarded Judges warning that it would be reckless to publish their report before…</t>
  </si>
  <si>
    <t>RT @VisioDeiFromLA: @ads302s @StefanMolyneux Sorry but he is duly elected. You steal people’s vote and your declaring war on the voters. Pe…</t>
  </si>
  <si>
    <t>RT @DeplorableGoldn: This is falling apart!  #moleg #Greitens https://t.co/9zpt5w78CC</t>
  </si>
  <si>
    <t>RT @DeplorableGoldn: RT-ING 🚨
if u don't support allowing @EricGreitens to have his day in court we dont support you and we are coming for…</t>
  </si>
  <si>
    <t>RT @DeplorableGoldn: RT 🚨
When U begin 2 realize why #MoLeg &amp;amp; #MoGov are pushing for @EricGreitens 2 resign before ALL FACTS presented, U b…</t>
  </si>
  <si>
    <t>@Blackboxhalo @tonymess @EricGreitens Amen
#GreitensReport #Greitens https://t.co/dHgCHlUmcP</t>
  </si>
  <si>
    <t>@ws_missouri Investigate this. Dont resign @EricGreitens 
There is a money trail!!!
#MoLeg #Greitens #GreitensIndictment #GreitensReport https://t.co/pN7llmYEXE</t>
  </si>
  <si>
    <t>RT @Sticknstones4: @Kip_Kendrick Let’s look at the real scum, those who assault the Missouri tax payers with ineffective tax credits. 
#mo…</t>
  </si>
  <si>
    <t>RT @Blackboxhalo: @tonymess @EricGreitens Innocent until proven guilty -- No case Kim up next....LOL, Tony crying</t>
  </si>
  <si>
    <t>Hey @tonymess you gonna cover how Tisaby lied under oath in his March 19th deposition or you going to continue pushing your screitens agenda, regardless if the facts? Love ya 😘😘
#MoLeg #Greitens #GreitensReport #mogov https://t.co/zDgcTVGAWN</t>
  </si>
  <si>
    <t>RT @DeplorableGoldn: You can say that again!  #moleg #mogov #GreitensReport https://t.co/dUxYNhSzLk</t>
  </si>
  <si>
    <t>RT @toadtws: As long as we're talking about MO politicians' "offenses involving moral turpitude" I'm looking forward to an investigation of…</t>
  </si>
  <si>
    <t>RT @SKOLBLUE1: @JaneDueker @ScottCharton @CNN @jaketapper I am confused?  Why would you have thought he would step down? I know you were ea…</t>
  </si>
  <si>
    <t>RT @JW1057: @ksdknews Why should he? Committee failed cross-examination 101. There are holes to fly a 747 through.
#moleg #mogov #greitens…</t>
  </si>
  <si>
    <t>RT @DeplorableGoldn: Me too #istandwithgreitens #Greitens #moleg #mogov https://t.co/88emNqwkjE</t>
  </si>
  <si>
    <t>RT @VisioDeiFromLA: @EricGreitens DO NOT RESIGN if You are innocent. If your guilty, then of course resign. But if your innocent don’t and…</t>
  </si>
  <si>
    <t>RT @VisioDeiFromLA: @mkwntrs @GOPisISIS @amyinthelou @EricGreitens I’m standing by @EricGreitens until he is proven guilty. But the prosecu…</t>
  </si>
  <si>
    <t>@KMOV The case is bogus! 
Cover this!
A trust fund? Who was paging Bills!
This is a scam perpetrated by #KimShady and the swamp down in #MoLeg #Greitens #GreitensReport https://t.co/flFI4TjyWr</t>
  </si>
  <si>
    <t>@BigJShoota Amen</t>
  </si>
  <si>
    <t>RT @BigJShoota: #LifeGoals
The best way to grow in evangelism is not to listen to more sermons about evangelism, but to fall more in love…</t>
  </si>
  <si>
    <t>RT @BigJShoota: This is just unbelievable......... 
#GreitensIndictment #GreitensReport https://t.co/QO6atvKhFf</t>
  </si>
  <si>
    <t>@BigJShoota I dont agree but the man does have free speech.</t>
  </si>
  <si>
    <t>RT @BigJShoota: #AsExpected The previously unavailable and inoperative deposition tape is now available and operating.
#KimShady #Greitens…</t>
  </si>
  <si>
    <t>RT @VisioDeiFromLA: Everybody in national media needs to follow @BigJShoota 
He’s not a Republican but he’s a Democrat and he ain’t a fan…</t>
  </si>
  <si>
    <t>RT @JW1057: @TeamGreitens @EricGreitens @SheenaGreitens @rossgarber @StLCountyRepub @CStamper
Tip: If you're prosecuting a case and have t…</t>
  </si>
  <si>
    <t>RT @VisioDeiFromLA: @EricGreitens This basically sums up the situation.
#moleg #KimShady #mogov #Greitens #GreitensReport #GreitensMustFig…</t>
  </si>
  <si>
    <t>RT @VisioDeiFromLA: Sarah I’ve been following you since before the election. You are a straight up Partisan and you don’t care about the fa…</t>
  </si>
  <si>
    <t>RT @Hope4Hopeless1: @EricGreitens Gov .@EricGreitens I've dug in to every aspect of this case &amp;amp; I support you 100%. The fact that "these" p…</t>
  </si>
  <si>
    <t>RT @VisioDeiFromLA: WTF DISBAR #KIMSHADY
#Greitens #MoLeg #MoGov #GreitensReport https://t.co/Y0JoTa6Tke</t>
  </si>
  <si>
    <t>RT @Sticknstones4: @cenasby @kendylei @EricGreitens Purely consensual NOT Coerced 
#Greitens #moleg #kimshady https://t.co/xSeTEyxDf9</t>
  </si>
  <si>
    <t>RT @Markknight45: @BigJShoota @kendylei The RINO Repubs in MO want @EricGreitens gone, doesn’t matter if he’s innocent of a crime. They don…</t>
  </si>
  <si>
    <t>RT @DaynaGould: @BigJShoota Why Are We Allowing This Sham Of An Indictment To Continue ! We Ned Our Tax Dollars To Go Toward Our Police Chi…</t>
  </si>
  <si>
    <t>@BigJShoota Cosby accuser lied?
This is what I'm talking about!
So many false allegations going on!
#GreitensReport
#Greitens
#MoLeg
https://t.co/ZeSwI6z7Fv</t>
  </si>
  <si>
    <t>@connielerb @41actionnews https://t.co/ZeSwI6z7Fv</t>
  </si>
  <si>
    <t>RT @connielerb: @41actionnews He should stay!  The woman says now she may have dreamed about the picture!!  Are you kidding me?  She has ze…</t>
  </si>
  <si>
    <t>RT @strmsptr: @jcavaiani @robschaaf @realDonaldTrump Very disappointed in Gary Romine.  He is not representing his district well on this ma…</t>
  </si>
  <si>
    <t>@Tom_Wright12 https://t.co/ZeSwI6z7Fv
Maybe we better wait for facts?</t>
  </si>
  <si>
    <t>Good Morning #MoLeg
It appears one of #Cosby accusers made the entire story up for money! 
This should serve as a warning to anybody who wants to convict a man in the public square without evidence. It also means we should wait 4 all  FACTS
#mogov #STL
https://t.co/ZeSwI6z7Fv</t>
  </si>
  <si>
    <t>RT @ScottPresler: I want to know why Zuckerberg, a white democrat, is censoring Diamond and Silk, two amazing black women. 
#Zuckerberg #W…</t>
  </si>
  <si>
    <t>RT @ScottPresler: You know something's wrong when the FBI raids an office for an Access Hollywood tape, 
but fails to indict Omar Mateen f…</t>
  </si>
  <si>
    <t>RT @ScottPresler: OPERATION #RedWave2018: Out of the 26 Senate seats up for election in November, Republicans only have to defend 9.
Now i…</t>
  </si>
  <si>
    <t>RT @ScottPresler: In other news, "Pee Tape" is trending, which means that -- over a year later -- the democrats still have NO evidence of R…</t>
  </si>
  <si>
    <t>RT @ScottPresler: For once, I agree with mad Maxine Waters.
Comey has absolutely no credibility.
#Comey https://t.co/QyVLjVZHcQ</t>
  </si>
  <si>
    <t>RT @ScottPresler: MAKE THIS GO VIRAL:
The democrats have to defend 26 Senate seats in November. Of those, 10 are in states Trump won.
We'…</t>
  </si>
  <si>
    <t>@ScottPresler How do I get on your list??</t>
  </si>
  <si>
    <t>RT @ScottPresler: I just sent out an email to 69 volunteers in IN, MO, MT, ND, &amp;amp; WV with instructions on registering voters and organizing.…</t>
  </si>
  <si>
    <t>RT @Str8DonLemon: How is it that the #moleg committee ignored that somebody offered to pay legal fees in the #GreitensIndictment for the ex…</t>
  </si>
  <si>
    <t>RT @Str8DonLemon: Wise man.
#liberty
#FreeSpeech 
#censorship 
#CensorshipKills https://t.co/Xf6P9tVTGq</t>
  </si>
  <si>
    <t>@LynnMcGraw3 @FOX2now Yup call your rep and tell them to stand by @EricGreitens</t>
  </si>
  <si>
    <t>RT @AnthonyBauman5: @FOX2now That Video is going to get the prosecutor debarred. She flat out lied that it did not exist. Then said it was…</t>
  </si>
  <si>
    <t>How is it that the #moleg committee ignored that somebody offered to pay legal fees in the #GreitensIndictment for the ex husband?
Somebody needs 2 find out who person is! Suggests money is motive and peeps lying! Also lawyer had a trust fund set up?
#GreitensReport #mogov https://t.co/ZiCMYHfWnX</t>
  </si>
  <si>
    <t>RT @GIJoeOPS: #ThursdayThoughts
Tragically In America, #Democrats Proudly &amp;amp; Militantly March &amp;amp; Fight 4 The Continual "Legal" Murder of Unb…</t>
  </si>
  <si>
    <t>RT @VisioDeiFromLA: Standing with @EricGreitens until he has his day in court
#MoLeg needs to 2 recognize fundamental rule of politics
DA…</t>
  </si>
  <si>
    <t>RT @SykesforSenate: https://t.co/fJY79Sz0gJ</t>
  </si>
  <si>
    <t>RT @VisioDeiFromLA: Hey Caleb.
Not how it works.
@EricGreitens gets to present his side of the story. We know you in #moleg have a vendet…</t>
  </si>
  <si>
    <t>RT @therealdanlear: @johnpodesta  https://t.co/bHsckVd4ty</t>
  </si>
  <si>
    <t>RT @CHIZMAGA: Exactly! 🔽
Rosenstein must recuse himself!
https://t.co/duDFYxIB1I</t>
  </si>
  <si>
    <t>Shut up Chris. No body cares that your Obama boner is gone.
And for the record, he was nothing like Kennedy and Favreu isnt mo Sorenson. https://t.co/begLWjcbvW</t>
  </si>
  <si>
    <t>RT @charliekirk11: Open borders are inhumane borders
Open borders are a sign of a weak country 
Open borders create political and societal…</t>
  </si>
  <si>
    <t>RT @2Chron169: First panels of Santa Teresa Border Wall Replacement Project installed on the U.S.-Mexico border in New Mexico https://t.co/…</t>
  </si>
  <si>
    <t>RT @joel_capizzi: No doubt about it, Mitch and the Republican establishment would rather have a Democrat seated in the US Senate than have…</t>
  </si>
  <si>
    <t>I think both @AP4Liberty and @SykesforSenate can agree that nobody should be convicted legally or in the public square without evidence or his day in court. Remember how Roy's accusers fell off the face off the earth? 
Did #LadderBoy turn into #TurncoatBoy ???
@Steffi_Cole https://t.co/z0TYdPZHYG</t>
  </si>
  <si>
    <t>Que Bueno! https://t.co/Tdg2dlmG8x</t>
  </si>
  <si>
    <t>RT @alozras411: Yes Kamala,  just what America wants, another California angry ultra liberal mini crooked Hillary that will open our boarde…</t>
  </si>
  <si>
    <t>Wise man.
#liberty
#FreeSpeech 
#censorship 
#CensorshipKills https://t.co/Xf6P9tVTGq</t>
  </si>
  <si>
    <t>RT @tedcruz: .@facebook rejects GOP candidate ad as “shocking &amp;amp; offensive,” because ad says he’s “pro-life and pro Second Amendment.”  How…</t>
  </si>
  <si>
    <t>RT @inittowinit007: @_America_First 🔥☝️☝️IMPORTANT☝️☝️🔥
☝️☝️💥READ THIS💥☝️☝️
.@realDonaldTrump  .@POTUS .@_America_First #QAnon https://t.co…</t>
  </si>
  <si>
    <t>Hey @Comey 
You are a dirty cop</t>
  </si>
  <si>
    <t>RT @sweetatertot2: Traitor &amp;amp; Dirty Cop Comey exonerated Hillary before even interviewing her. He found "no intent" after she deleted 33k SU…</t>
  </si>
  <si>
    <t>@inittowinit007 @_America_First @realDonaldTrump @POTUS Yup</t>
  </si>
  <si>
    <t>RT @inittowinit007: @_America_First 🔥☝️☝️IMPORTANT☝️☝️🔥
☝️☝️💥READ THIS💥☝️☝️
.@realDonaldTrump  .@POTUS .@_America_First  #QAnon https://t.c…</t>
  </si>
  <si>
    <t>RT @inittowinit007: @_America_First @POTUS @BarackObama 🔥☝️☝️IMPORTANT☝️☝️🔥
☝️☝️💥READ THIS💥☝️☝️
.@realDonaldTrump  .@POTUS .@_America_First…</t>
  </si>
  <si>
    <t>RT @brandongroeny: Facebook is right. Diamond and Silk are a danger to the “community.” The Democratic plantation community.
They’re not a…</t>
  </si>
  <si>
    <t>RT @StephenMilIer: Out with the old rights:
⚬ 1st amendment
⚬ 2nd amendment 
⚬ Attorney-client privledge
⚬ Presidential elections matter…</t>
  </si>
  <si>
    <t>RT @RobertMueIIer: I wanted to see a *real* mob boss - so I bought myself a big beautiful mirror.</t>
  </si>
  <si>
    <t>RT @StephenMilIer: James Comey has a story to tell, and I have a bridge to sell.</t>
  </si>
  <si>
    <t>RT @FiredFBIBoss: Trump's hands were big enough to drag me by my balls out of FBI headquarters.</t>
  </si>
  <si>
    <t>RT @StephenMilIer: I'm impressed by Comey's chutzpah to call Donald Trump a 'mob boss' just days after Robert Mueller's thugs raided Michae…</t>
  </si>
  <si>
    <t>RT @toadtws: These dirtball Republicans in #moleg step up their attempts to oust Governor Eric Greitens before the rest of the prosecutoria…</t>
  </si>
  <si>
    <t>RT @LindaDono: Not all Missouri politicians say Gov. Eric Greitens should resign after revelations in legislators' report, https://t.co/fQW…</t>
  </si>
  <si>
    <t>RT @VisioDeiFromLA: @bobdixon2018 sorry but we are standing by greitens until he is proven guilty in a court of law.
#MOleg #mogov #Greite…</t>
  </si>
  <si>
    <t>RT @Str8DonLemon: @SebMistretta @mariahcjones25 @EricGreitens @SheenaGreitens Dude. I'm simply saying.
Stop the witch hunt. If hes guilty,…</t>
  </si>
  <si>
    <t>Pay attention peeps https://t.co/GZByAf6OFD</t>
  </si>
  <si>
    <t>I love this man. Looking good Tom 
😘😘😘😘😍😍😍😍 https://t.co/nvKGBPJkgc</t>
  </si>
  <si>
    <t>RT @DiamondandSilk: If you are experiencing Censorship on Social Media Platforms, please tell us your story at freespeechrightnow@gmail.com…</t>
  </si>
  <si>
    <t>RT @Barnes_Law: Didn't @Comey testify under oath before Congress that he never met with Obama alone? Maybe he should have gone back over hi…</t>
  </si>
  <si>
    <t>RT @grant_freedom: @CNN #QAnon https://t.co/VoWyEePP6s</t>
  </si>
  <si>
    <t>RT @ByronYork: Rs &amp;amp; Ds on Senate Judiciary Committee had lots of questions for James Comey after he was fired. He refused to talk. Now, spe…</t>
  </si>
  <si>
    <t>RT @RealFrankFromFL: I would like to send a clear message around the world
just how many people actually support @realDonaldTrump 🌎
Please…</t>
  </si>
  <si>
    <t>RT @Barnes_Law: If hush payments to ex-mistresses was a federal crime, most of the Kennedy family and Bill Clinton would have served multip…</t>
  </si>
  <si>
    <t>RT @philip_saulter: Further evidence of the political hit job that Kim Gardner is attempting to pull on our Governor.  Attention Mo. GOP, t…</t>
  </si>
  <si>
    <t>RT @Education4Libs: When Al Gore was born there were 7,000 polar bears alive. 
Of those 7,000, only 30,000 are alive today. That is right…</t>
  </si>
  <si>
    <t>Guys I'm working on some fantastic memes for all seasons!</t>
  </si>
  <si>
    <t>@Hope4Hopeless1 @EricGreitens Same here... while I only know what's public and the rumors floating around on Facebook (which are just rumors at this point) it seems like a pile of garbage and a total witch hunt!</t>
  </si>
  <si>
    <t>@philip_saulter @NSFMill @DeplorableGoldn @johnniebino1 @RepAnnWagner @EricGreitens Do it! Time to do some good old fashion swamp draining. Vote em all out!</t>
  </si>
  <si>
    <t>@Char1ieHa11 @FritzCarltonSTL @KathieConway @JenEnnenbach @EricGreitens @willscharf @GovGreitensMO @scottfaughn @sarahfenske So let me guess, i cant state my opinion? Your mad I'm using free speech?</t>
  </si>
  <si>
    <t>Doesnt Dem party support due process? You always scream when black men are unfairly charged? Why are you doing that to @EricGreitens 
Do you ... hate black people? Because if you dont support presumption of innocence until proven guilty, you are a racist
 #moleg #GreitensReport https://t.co/2UcF3dSyCH</t>
  </si>
  <si>
    <t>RT @Str8DonLemon: @eddie_kedge She kept seeing him. I'm waiting for all the facts to come out. Women do lie.
Read the transcript #moleg</t>
  </si>
  <si>
    <t>@eddie_kedge A consensual affair isnt rape.
She kept seeing him. Read the transcript. It sounded like she was in love with @EricGreitens</t>
  </si>
  <si>
    <t>@accordingtoame @PDBeth @tonymess @stltoday @EricGreitens She also admits she was dreaming things! We have no idea who this person is so this cant determine credibility! @EricGreitens</t>
  </si>
  <si>
    <t>@BoojaneyJane @AllenTruitt1 @PDBeth @tonymess @stltoday The fact is she kept seeing him. Sk she didnt have the strength to report this but had the strength to keep seeing him? Give me a break 
#moleg #GreitensReport #Greitens #MoGov</t>
  </si>
  <si>
    <t>RT @VisioDeiFromLA: When U begin 2 realize why #MoLeg &amp;amp; #MoGov are pushing for @EricGreitens 2 resign before ALL FACTS presented, U begin 2…</t>
  </si>
  <si>
    <t>RT @sigi_hill: @EricGreitens DO NOT RESIGN ! KEEP FIGHTING @EricGreitens WE HAVE YOUR BACK ! 
I WANT ANSWERS FROM THE 'INVESTIGATIVE COMMI…</t>
  </si>
  <si>
    <t>RT @ChrisHayesTV: A Gov Greitens related hearing just ended. The Judge said the former mistresses ex-husband can answer questions about a p…</t>
  </si>
  <si>
    <t>RT @Hope4Hopeless1: @ChrisHayesTV YES! #Moleg OFFICIAL STATE  DOCUMENT of #Greitens "investigation" HEAVY on the Jerry Springer-like VULGAR…</t>
  </si>
  <si>
    <t>Everybody needs to retweet this guy.
The reason I have always suspected fowl play is because the ex husband went to the media KMOV and didnt go to police. 
Maybe it's nothing but it's worth a follow at least. 
#moleg #Greitens #GreitensIndictment #GreitensReport @EricGreitens https://t.co/InQEGqmBZF</t>
  </si>
  <si>
    <t>RT @EricGreitens: Circuit Attorney Kim Gardner hid a video that she knew directly contradicted allegations in the House report, and she all…</t>
  </si>
  <si>
    <t>RT @Str8DonLemon: Or taking people over party and allowing @EricGreitens to present his case before making a judgement?
I stand with @Eric…</t>
  </si>
  <si>
    <t>@timgolden92 Still standing by him until gets his day in court. Who knows the court may convict him. But the indictment has been shady to begin with #moleg</t>
  </si>
  <si>
    <t>Hey Bob. He's innocent until proven guilty.  I read through it.  Whole thing is what.  @EricGreitens gets his day in court or we revolt at the ballot box
#moleg https://t.co/q5Znu3uZQu</t>
  </si>
  <si>
    <t>@Sticknstones4 Bingo</t>
  </si>
  <si>
    <t>RT @Sticknstones4: A slimeball Jealous Stalking Ex Husband 
With a money trail  
💵💰💵💰💵💰💵💰💵
A Lawyer that says Hush 🤫 🤫🤫🤫
What a dynamic d…</t>
  </si>
  <si>
    <t>RT @Hope4Hopeless1: @jcavaiani @robschaaf @realDonaldTrump These idiot traitors at #Moleg like @robschaaf &amp;amp; the "Investigative" Committee s…</t>
  </si>
  <si>
    <t>RT @YearOfZero: Sorry but I’m sticking by @EricGreitens until we have the facts.
#moleg https://t.co/siMM5Jh5dx</t>
  </si>
  <si>
    <t>RT @Str8DonLemon: @wrap02 @EdwardsMD77 @ws_missouri @EricGreitens Lol. So why are you worried about arguing with people like me? If the fac…</t>
  </si>
  <si>
    <t>@connielerb @RepAnnWagner Amen!</t>
  </si>
  <si>
    <t>RT @connielerb: @RepAnnWagner Hey Ann- where is your district?  Obviously not in America where people are innocent until proven otherwise.…</t>
  </si>
  <si>
    <t>@eddie_kedge She kept seeing him. I'm waiting for all the facts to come out. Women do lie.
Read the transcript #moleg</t>
  </si>
  <si>
    <t>RT @jojoh888: 11 California counties have more registered voters than eligible citizens in California, Los Angeles being one of them. This…</t>
  </si>
  <si>
    <t>@JSCarterGilson @EricGreitens @GreekSTL @SKOLBLUE1 @Sticknstones4 @DRUDGE @DaynaGould @AllenTruitt1 @JohnCena All women have complex emotions about men they like. Sorry I didn't fall off the vegetable truck yesterday. You dont keep seeing a man. You got to the police.
I dont believe this.</t>
  </si>
  <si>
    <t>@wrap02 @EdwardsMD77 @ws_missouri @EricGreitens Lol. So why are you worried about arguing with people like me? If the facts speak for themselves they would be incontrovertible. Instead many questions to be asked 
#moleg</t>
  </si>
  <si>
    <t>@WillSchamper_ @FritzCarltonSTL @JenEnnenbach @EricGreitens @willscharf @GovGreitensMO @scottfaughn These guys you are talking about are laughing at you. I stood by trump and I'll stand by greirens until it is proven he is guilty</t>
  </si>
  <si>
    <t>@JSCarterGilson @EricGreitens @GreekSTL @SKOLBLUE1 @Sticknstones4 @DRUDGE @DaynaGould @AllenTruitt1 @JohnCena And yes the relationship was consensual. Read it and check your facts... if they can prove all this, why did they drop the blackmail charges. You haven't been following this closely</t>
  </si>
  <si>
    <t>@JSCarterGilson @EricGreitens @GreekSTL @SKOLBLUE1 @Sticknstones4 @DRUDGE @DaynaGould @AllenTruitt1 @JohnCena Please. Did you actually read it? She was clearly conflicted. It seems like she wanted more of a relationship and was holding out hope for one... go ahead read it champ</t>
  </si>
  <si>
    <t>Or taking people over party and allowing @EricGreitens to present his case before making a judgement?
I stand with @EricGreitens until he is proven guilty. The whole thing seems suspect anyway 
Sorry.
#moleg #MoGov #GreitensReport @MOHouseGOP https://t.co/zxSAEGTjH8</t>
  </si>
  <si>
    <t>Voters are anti witch hunt. If hes guilty, the court will decide. 
Voters are against stealing duly elected reps over unproven allegations. If court proves hes guilty, I agree. But these are allegations at this point. 
He deserves his day.
#moleg #Greitens #GreitensIndictment https://t.co/uy88HXOb7f</t>
  </si>
  <si>
    <t>Hey @tonymess did you read the transcript. She was in love with him and wanted a relationship. She kept seeing him. Anybody who reads it and has street smarts knows whats up 
#moleg #GreitensIndictment https://t.co/733tyhi4dv</t>
  </si>
  <si>
    <t>#KimShady also doesnt seem to care about losing evidence either.
#Greitens #GreitensIndictment #moleg #GreitensReport #stlouis https://t.co/waj1sO8k6l</t>
  </si>
  <si>
    <t>RT @JoeBReporter: Today's dispatch from St. Louis on the #GreitensIndictment #moleg #greitens #greitenscase https://t.co/1F8YRqcu25</t>
  </si>
  <si>
    <t>@ws_missouri He shouldn't 
Until he is convicted in a court of law.
If he is convicted 
#moleg</t>
  </si>
  <si>
    <t>RT @Str8DonLemon: @JSCarterGilson @EricGreitens @GreekSTL @SKOLBLUE1 @Sticknstones4 @DRUDGE @DaynaGould @AllenTruitt1 @JohnCena Sorry it's…</t>
  </si>
  <si>
    <t>@accordingtoame @PDBeth @tonymess @stltoday She kept seeing him. Read the transcript. It reads like a women who was in love with @EricGreitens 
#moleg</t>
  </si>
  <si>
    <t>Blame the ex husband.  She also didnt want to bring this suit. Her husband did. That is why we dont believe this.
#GreitensReport https://t.co/lDluyVPSJe</t>
  </si>
  <si>
    <t>@AllenTruitt1 @JSCarterGilson @EricGreitens @GreekSTL @SKOLBLUE1 @Sticknstones4 @DRUDGE @DaynaGould @JohnCena Well I dont know but is sure js funny how #moleg doesnt care about this but they do care about some  allegations made 3 years after the fact #Greitens</t>
  </si>
  <si>
    <t>RT @Hope4Hopeless1: @CStamper_ .@POTUS There's a lot of Communist $$$ at play here in #MO w/ this politically motivated #GreitensIndictment…</t>
  </si>
  <si>
    <t>RT @Hope4Hopeless1: #Moleg "Investigative" Committee disregarded Judges warning that it would be reckless to publish their report before Go…</t>
  </si>
  <si>
    <t>@FritzCarltonSTL @JenEnnenbach @EricGreitens @willscharf @GovGreitensMO @scottfaughn Ok....</t>
  </si>
  <si>
    <t>@mariahcjones25 @FritzCarltonSTL @SebMistretta @EricGreitens @willscharf @GovGreitensMO @scottfaughn People are delusional. Why dont you just block me if you dont like my opinion yet here you are writing stories about me? Good grief. Just shows these allegations cant stand up against scrutiny 
#moleg</t>
  </si>
  <si>
    <t>@FritzCarltonSTL @JenEnnenbach @EricGreitens @willscharf @GovGreitensMO @scottfaughn She kept seeing him long after. Check your dates. 
And actually read it. And what about that? https://t.co/QtB4XMCckM</t>
  </si>
  <si>
    <t>@accordingtoame @PDBeth @tonymess @stltoday No they go to the cops. Sorry I read the report. Did you?</t>
  </si>
  <si>
    <t>@JSCarterGilson @EricGreitens @GreekSTL @SKOLBLUE1 @Sticknstones4 @DRUDGE @DaynaGould @AllenTruitt1 @JohnCena Sorry it's called fair use idiot.
Second she kept seeing him.
Third I have a right to my opinion 
Also did you read it? I did. Whays with this payment?
#moleg #GreitensIndictment https://t.co/OdJLZY6CHF</t>
  </si>
  <si>
    <t>RT @kodacohen: Man who exposed #Greitens' affair hasn't explained who paid his $15k legal bill https://t.co/E6zK3D7Iss via @stltoday</t>
  </si>
  <si>
    <t>@katehanch Innocent until proven guilty</t>
  </si>
  <si>
    <t>RT @Str8DonLemon: @FritzCarltonSTL @JenEnnenbach @EricGreitens @willscharf @GovGreitensMO @scottfaughn Also go on Facebook. Plenty of peopl…</t>
  </si>
  <si>
    <t>@jdavidsonlawyer @BradleyDaHarmon @EricGreitens So why dont to block me? 
You people are funny. Do I not have a right to Express my opinion? Must be having an affect if your wasting your time with me</t>
  </si>
  <si>
    <t>@FritzCarltonSTL @JenEnnenbach @EricGreitens @willscharf @GovGreitensMO @scottfaughn Also go on Facebook. Plenty of people defending him. Normie are on Facebook. Mainly liberals on here.
Sorry safespace is gone buddy
#moleg #Greitens #GreitensReport https://t.co/dpnqYpGjpr</t>
  </si>
  <si>
    <t>@FritzCarltonSTL @JenEnnenbach @EricGreitens @willscharf @GovGreitensMO @scottfaughn Missouri went 20+ R because of missourians like me. Keep engaging with me. It makes more people see my tweets and gets my opinion out to a wider audience. And I would love to meet this guy your talking about</t>
  </si>
  <si>
    <t>@FritzCarltonSTL @BradleyDaHarmon @EricGreitens @willscharf @GovGreitensMO @scottfaughn @TeamGreitens @marcorubio If I'm just some random idiot. Why spend so much time trying to argue with me? If my opinions dont matter, why waste your time. If I am a troll, why are you breaking rule number 1 of the internet? You dont feed  the trolls
Why worry about me?</t>
  </si>
  <si>
    <t>@FritzCarltonSTL @BradleyDaHarmon @EricGreitens @willscharf @GovGreitensMO @scottfaughn @TeamGreitens @marcorubio Lol. You people are so funny.  U know why trump won? Because people like me. Dedicated people who will put energy into something we believe in. I believe in justice. Until there is evidence, witch hunt. Ur accusations are laughable and wont stop me from expressing my opinon</t>
  </si>
  <si>
    <t>@JackSuntrup @stltoday Must be that tax credit guy</t>
  </si>
  <si>
    <t>RT @JackSuntrup: Did a mysterious benefactor anonymously put up $15,000 to cover the legal fees of the man who exposed Missouri Gov. Eric G…</t>
  </si>
  <si>
    <t>@awful_father @BradleyDaHarmon @EricGreitens They can do that but there will be a blood bath at the ballot box.</t>
  </si>
  <si>
    <t>@FritzCarltonSTL @JenEnnenbach @EricGreitens @willscharf @GovGreitensMO @scottfaughn Not a bit. Sorry but that wont work. And this article just complains that greirens has defenders.
Because it's a witch hunt</t>
  </si>
  <si>
    <t>@doc_next @EricGreitens Thanks professor. Your a true help</t>
  </si>
  <si>
    <t>@FritzCarltonSTL @BradleyDaHarmon @EricGreitens @willscharf @GovGreitensMO @scottfaughn But I tell you what. Meet me down in Ucity and I'll debate you in person but i bet your too much of coward to do that. I'm game. dm line is open. Let's do it.</t>
  </si>
  <si>
    <t>@FritzCarltonSTL @BradleyDaHarmon @EricGreitens @willscharf @GovGreitensMO @scottfaughn Go look on on Facebook people saying same crap as me. Your just mad that people see through this charade</t>
  </si>
  <si>
    <t>@FritzCarltonSTL @BradleyDaHarmon @EricGreitens @willscharf @GovGreitensMO @scottfaughn Lol ... no I dont. And this article isnt a confirmation. Its Missouri times complaining that they dont rule #moleg 
Sorry but I have an absolute right to Express my opinion. Just because your safespace is popped does not make me a troll.</t>
  </si>
  <si>
    <t>@Norasmith1000 @JPRadioMofo @EricGreitens Bingo #Greitens #GreitensReport</t>
  </si>
  <si>
    <t>Just dreamed it?
Sounded like she wanted a relationship and he didn't. Teanxript told me she was very much in love with greitens.
I didnt fall off the vegetable truck yesterday. We dont believe thjs. If facts cant convince everybody, it's not convincing 
#moleg #Greitens https://t.co/oSxtUPnV0R</t>
  </si>
  <si>
    <t>Media didn't pull the story. he shopped it around with the help of his lawyer.
Thays per the reporting. 
And probably got paid for it.
Dont lie to us. How much did he get paid. And police dont investigate without a report filed. How would the media know? 
#Moleg #Greitens https://t.co/ZLr3V6U71I</t>
  </si>
  <si>
    <t>Break out the alert!
Update on #KimShady 
#moleg #mogov #Greitens #GreitensReport https://t.co/mAzRRkb4YF</t>
  </si>
  <si>
    <t>@JenEnnenbach Uh huh. I read the high it and annotated ... so many holes...
Also she may have dreamed it? Come on
#moleg #Greitens https://t.co/otQByuvOzo</t>
  </si>
  <si>
    <t>Not if she is not credible and it doesnt like she is
#moleg #Greitens https://t.co/m5cDWdd90j</t>
  </si>
  <si>
    <t>RT @Norasmith1000: @JPRadioMofo @Str8DonLemon @EricGreitens Thats exactly how I see this whole thing played out, she got busted and her Ex…</t>
  </si>
  <si>
    <t>The testimony was garbage. I read it. She sounded like she was in love with him. Do you know the witness? Sounds like your too close to this to be unbiased. https://t.co/cvkh8qcizj</t>
  </si>
  <si>
    <t>1. Reporters dont advocate. They report. Your not reporting right now, your trying to make me believe a story has more holes in it then swiss cheese. The facts should speak, not your OPINION. 
She waited 3 years and didn't go to the police. Sorry i dont believe that. 
#moleg https://t.co/FiUtoSbOBS</t>
  </si>
  <si>
    <t>Yet your making an assumption without complete evidence.
Hypocrite.
#moleg #greitens 
#mogov https://t.co/1d1VAPD9J1</t>
  </si>
  <si>
    <t>@MarriedManTalk @joelcurrier @stltoday @EricGreitens @StLouisCityCA We will also have to go back and look at other cases... #kimshady needs to be disbarred 
#moleg</t>
  </si>
  <si>
    <t>RT @Sticknstones4: @joelcurrier @EricGreitens @StLouisCityCA @stltoday Well that’s amazing 🔮✨ I never knew #kimshady was a magician of evid…</t>
  </si>
  <si>
    <t>Oh look while all the liberals and traitors in the @MOHouseGOP are trying to punish a man who has been convicted of no crime... new developments on the #kimshady case!
Total witch hunt.
We stand by @EricGreitens 
#moleg #mogov #GreitensIndictment #Greitens https://t.co/WcVkmt6L87</t>
  </si>
  <si>
    <t>RT @blackwidow07: @joelcurrier @EricGreitens @StLouisCityCA @stltoday Gardner needs to be DISBARRED. Some of her behavior may be genetic.</t>
  </si>
  <si>
    <t>@lianemarieK @EricGreitens Alleged. She kept seeing him. We don't believe this</t>
  </si>
  <si>
    <t>What's baffling to me is that if you actually read the report, it clearly shows that this is hogwash and this Missourian will be standing by the gov until he is proven guilty. #GreitensReport https://t.co/Aox1XvXP7p</t>
  </si>
  <si>
    <t>RT @Str8DonLemon: @PDBeth @tonymess @stltoday Not believable. So you keep seeing him and keep sleeping with him.  using that as an excuse,…</t>
  </si>
  <si>
    <t>The testimony shows that she was in love with @EricGreitens and wanted a relationship and it seemed like he didn't .
Read between the lines.
#MOleg should be absolutely ASHAMED of themselves for allowing this farce to go on.
#GreitensReport https://t.co/TyNMam2AFT</t>
  </si>
  <si>
    <t>@JPRadioMofo @EricGreitens Right. Did you see the part of the transcripts that read like 50 shades of Gray? I kid you not! #GreitensReport</t>
  </si>
  <si>
    <t>BINGO!!!!!
#moleg #GreitensReport #MoGov 
We are standing by @EricGreitens 
He gets his day in court.
@MOHouseGOP @RepAnnWagner https://t.co/f74Diq8UhW</t>
  </si>
  <si>
    <t>Can't refute my argument, so attack me.
Not gonna work.
She kept seeing him
Waited 3 years
Everybody knew about it
Husband goes to KMOV not police.
MISSOURI doesn't believe this. only people that hate conservatives/greitens do.
Confirmation bias 
#MOleg #GreitensReport https://t.co/TyNMam2AFT</t>
  </si>
  <si>
    <t>RT @Str8DonLemon: Lol. So go to the police!
We don't believe this. Sorry.
Also if you read through the transcripts she is clearly in love…</t>
  </si>
  <si>
    <t>Total bullshit****
He kept threatening her yet didn't go to the police?
We don't believe that. Police would have arrested him and RO would have been issued.
Did you read it?
I did. Sounded like she was in love with him.
#moleg #GreitensReport https://t.co/fa9ijNGfzU</t>
  </si>
  <si>
    <t>@PDBeth @tonymess @stltoday Not believable. So you keep seeing him and keep sleeping with him.  using that as an excuse, that just tells me that you think we are all stupid. Women R strong&amp;amp; can make up their own minds, &amp;amp; we don't believe that. #GreitensReport
KEPT SEEING HIM, over that? 
Give me a break</t>
  </si>
  <si>
    <t>@BradleyDaHarmon @EricGreitens I read it. She was clearly in love with him</t>
  </si>
  <si>
    <t>@awful_father @BradleyDaHarmon @EricGreitens Roy was never proven guilty. Until he is a proven guilty in court of law, get back with me
Tell Mitch I said hi https://t.co/ji6E0fUUaS</t>
  </si>
  <si>
    <t>@Nanci2GH @PamSchep @EricGreitens @MOHouseGOP Anybody saying blackmail is full of you know what. It's absurd.</t>
  </si>
  <si>
    <t>RT @Nanci2GH: @PamSchep @Str8DonLemon @EricGreitens @MOHouseGOP He blackmailed her with a picture that would have hurt him way more than it…</t>
  </si>
  <si>
    <t>@Nanci2GH @PamSchep @EricGreitens @MOHouseGOP So she kept seeing him? If she went to the police they could have arrested him.
Sorry your story does not make sense and we don't not believe it.
#moleg #GreitensReport #greitens</t>
  </si>
  <si>
    <t>Lol. So go to the police!
We don't believe this. Sorry.
Also if you read through the transcripts she is clearly in love with @EricGreitens 
#MOleg  #mogov #GreitensReport https://t.co/fa9ijNGfzU</t>
  </si>
  <si>
    <t>@JenEnnenbach @EricGreitens SHE KEPT SEEING HIM.
sorry but we don't believe this #MOleg</t>
  </si>
  <si>
    <t>@J_Hancock @MariaChappelleN I am appalled by Maria's record</t>
  </si>
  <si>
    <t>RT @Str8DonLemon: The transcripts paint a picture of a woman who kept seeing the man and was clearly in love with him and had emotions abou…</t>
  </si>
  <si>
    <t>@J_Hancock @robschaaf @EricGreitens I'm standing by him. This is bs</t>
  </si>
  <si>
    <t>The transcripts paint a picture of a woman who kept seeing the man and was clearly in love with him and had emotions about him.
We aren't stupid Ann. 
You take @EricGreitens out your taking from the voters. Until he is convicted, we are standing by him
#moleg #mogov #Greitens https://t.co/eQ6DGt5OM6</t>
  </si>
  <si>
    <t>RT @Lautergeist: @davidsonmark650 @RepAnnWagner @tonymess The ex-husband brought this case, based on a taped "confession" of his ex-wife of…</t>
  </si>
  <si>
    <t>@RepAnnWagner  https://t.co/l4aaa62rdz</t>
  </si>
  <si>
    <t>@gravytrainer11 @strmsptr @RepAnnWagner Cheatin ain't a crime.</t>
  </si>
  <si>
    <t>RT @Str8DonLemon: The people dont.
@MOHouseGOP better wake up and stop sticking the middle finger at us the voter.
#Moleg https://t.co/pu…</t>
  </si>
  <si>
    <t>@EdwardsMD77 @ws_missouri @EricGreitens Sorry but did you read the entire thing? She was clearly in love with him</t>
  </si>
  <si>
    <t>@EdwardsMD77 @ws_missouri @EricGreitens She kept seeing him dummy.
Consensual affair</t>
  </si>
  <si>
    <t>RT @Str8DonLemon: Dear Michael,
He hasn't had his day in court. 
Sorry, Missouri doesnt get bullied.
She kept seeing the man. He gets hi…</t>
  </si>
  <si>
    <t>The people dont.
@MOHouseGOP better wake up and stop sticking the middle finger at us the voter.
#Moleg https://t.co/pu68b2H6rK</t>
  </si>
  <si>
    <t>RT @TrumpChess: @mikeparson @POTUS .@POTUS Go ahead and block me Mike Parsons - YOU won't become Governor - keep dreamin! I'm taking names…</t>
  </si>
  <si>
    <t>RT @Str8DonLemon: Who would have thought college educated idiots wouldn't understand common sense?
✔She kept seeing him
✔Didn't report the…</t>
  </si>
  <si>
    <t>RT @Str8DonLemon: Can you answer why this woman kept seeing @EricGreitens ??
He gets his day in court and if the @MOHouseGOP tries to impe…</t>
  </si>
  <si>
    <t>RT @Str8DonLemon: Give me a break. The only reason chaos is because it's made up in your mind
You have a witness who seems NOT CREDIBLE…</t>
  </si>
  <si>
    <t>Who would have thought college educated idiots wouldn't understand common sense?
✔She kept seeing him
✔Didn't report the crime 
✔All these lawmakers knew about the affair. How come they didn't report it?
✔3 years after the fact?
It's also people on Facebook too.
#Moleg https://t.co/8hQRqdLAf4</t>
  </si>
  <si>
    <t>RT @Str8DonLemon: Hey @RepAnnWagner you are unfit to be a law maker in DC if you are abandoning due process..
@EricGreitens allowed his da…</t>
  </si>
  <si>
    <t>RT @Str8DonLemon: @mhtalbut @ws_missouri No. It's because people dont believe this nonsense.
She kept seeing him. Sorry but how do you for…</t>
  </si>
  <si>
    <t>@mikebartmess @BryanLowry3 @GovGreitensMO Yet she kept seeing him... takes to tango and this affair was consensual ...</t>
  </si>
  <si>
    <t>RT @Str8DonLemon: @RepAnnWagner if u don't support allowing @EricGreitens to have his day in court we dont support you and we are coming fo…</t>
  </si>
  <si>
    <t>RT @TrumpChess: @mikeparson Sometimes certain people give up their organs without a choice don't they #HRCvideo its called organ harvesting…</t>
  </si>
  <si>
    <t>RT @AllenTruitt1: Perplexed: we live in a country where 50 Shades of Grey was a smash hit, but are offended that #greitens and a woman had…</t>
  </si>
  <si>
    <t>@molly_doc Yup. Women is making up nonsense</t>
  </si>
  <si>
    <t>@ws_missouri Greitens didn't refuse....</t>
  </si>
  <si>
    <t>@ShannonBrecks That doesnt make it right.
She kept seeing the man
Did you read the testimony
Sorry I dont find this woman credible at all. Sounded like she was in love with him</t>
  </si>
  <si>
    <t>RT @Str8DonLemon: Good morning #moleg 
Just wanted 2 give a shout out 2 all who are trying to convict @EricGreitens without his day in cou…</t>
  </si>
  <si>
    <t>@RepAnnWagner if u don't support allowing @EricGreitens to have his day in court we dont support you and we are coming for you at the ballot box. the fact is the entire testimony is suspect and she may have dreamed it up.
Sorry but your are giving missourians the middle finger here 
#moleg</t>
  </si>
  <si>
    <t>@IAmKrishanPatel @EricGreitens Sorry but no.
She kept seeing @EricGreitens 
After alleged incident. 
Waited 3 years 
Something is fishy here</t>
  </si>
  <si>
    <t>@MissouriTimes @RepAnnWagner @clairecmc Sorrry im sticking by @EricGreitens until he has his day in court.</t>
  </si>
  <si>
    <t>@lindsaywise @RoyBlunt @EricGreitens Why would he? He hadn't been convicted or anything and the story is suspect.</t>
  </si>
  <si>
    <t>@GodinezMona @lindsaytharp @moonbeam0811 @MichaelSkolnik @EricGreitens I stand by @EricGreitens until it is proven. Sorry but the women kept seeing him</t>
  </si>
  <si>
    <t>Dear Michael,
He hasn't had his day in court. 
Sorry, Missouri doesnt get bullied.
She kept seeing the man. He gets his day in court.
#moleg https://t.co/QtlQmZ9lmo</t>
  </si>
  <si>
    <t>@EdwardsMD77 @ws_missouri Sorry but you dont automatically believed... she doesn't seem credible at all and @EricGreitens deserves his day in court 
#moleg</t>
  </si>
  <si>
    <t>@mhtalbut @ws_missouri No. It's because people dont believe this nonsense.
She kept seeing him. Sorry but how do you force a BJ and then keep coming back and seeing him?
We dont believe this.
Also comments are overwhelmingly for @EricGreitens 
#moleg</t>
  </si>
  <si>
    <t>Hey @RepAnnWagner you are unfit to be a law maker in DC if you are abandoning due process..
@EricGreitens allowed his day in court. Before then, he was duly elected and if you all impeach him there will be a blood bath at the polls.
Remember why MO went +20
#moleg #mogov https://t.co/vkNjhgbLym</t>
  </si>
  <si>
    <t>Good morning #moleg 
Just wanted 2 give a shout out 2 all who are trying to convict @EricGreitens without his day in court 
✔Kept seeing man after incident 
✔Waited 3 years
✔Didn't go to police?
NOT CREDIBLE
He gets his day in court or we come for you at the ballot box https://t.co/UxDXCntRf6</t>
  </si>
  <si>
    <t>Give me a break. The only reason chaos is because it's made up in your mind
You have a witness who seems NOT CREDIBLE 
And he said/she said
We are standing by @EricGreitens until he is convicted in a court of law.
You are a lawmaker. Why are you abandoning the law?
#moleg https://t.co/xaYrm7ZMBV</t>
  </si>
  <si>
    <t>Can you answer why this woman kept seeing @EricGreitens ??
He gets his day in court and if the @MOHouseGOP tries to impeach we are coming for them at the ballot box. Innocent until guilty 
I smell swamp draining time.
#Moleg #Greitens #GreitensIndictment https://t.co/FW6hBPCnwk</t>
  </si>
  <si>
    <t>@ShannonBrecks @EricGreitens Its alleged</t>
  </si>
  <si>
    <t>What is wrong with you? Its alleged. https://t.co/VilXkxwYoE</t>
  </si>
  <si>
    <t>@tonymess @stltoday She kept seeing him.... #moleg</t>
  </si>
  <si>
    <t>RT @PhxKen: 11 TEENS DIE EVERY DAY IN ACCIDENTS CAUSED BY TEXTING WHILE DRIVING...TIME TO RAISE THE AGE FOR OWNING A SMARTPHONE TO 21. http…</t>
  </si>
  <si>
    <t>RT @GoboMontaco: https://t.co/VxvrJF7yDv</t>
  </si>
  <si>
    <t>RT @1ambecauseweare: #FacebookIsLifelog #fakebook #QAnon @POTUS @realDonaldTrump @RealJamesWoods @elenochle @SOLID_MAGA @poli_tech_al_87 @G…</t>
  </si>
  <si>
    <t>@sgbbrand Academia has no credibitly right now. Sorry I dont subscribe to your post modernist garbage. I live in the real world</t>
  </si>
  <si>
    <t>@sgbbrand She kept seeing him. Sorry but instead of psychology you need to study evolutionary psychology.</t>
  </si>
  <si>
    <t>RT @starcrosswolf: A warning &amp;amp; you better heed my words. If liberals take control of the House &amp;amp; or Senate WE ARE DONE. Free speech GONE. T…</t>
  </si>
  <si>
    <t>@Adj_Hinson @SebMistretta @mariahcjones25 @EricGreitens @SheenaGreitens Sorry I dont subscribe to postermoden theory on what is common sense.
Your teachers lied to you. You know that right? 
She kept seeing him. No post modern theory will change that outside the halls of academia</t>
  </si>
  <si>
    <t>@wilde_dylan @jbarrchicago @Shayndi @EricGreitens Unfortunately too since he has a criminal trial he can't tell his side think hes gagged so this is playing out in the media exactly like you would expect</t>
  </si>
  <si>
    <t>@sgbbrand She kept seeing him. She said in the transcript, page 32, she might have dreamed some things up. We dont even know this woman so we have no idea if she's credible or not. Ever think about that?</t>
  </si>
  <si>
    <t>@cturtle31 @TheCuriousTweep @JamilSmith @EricGreitens How is she creidble if we don't even know who she is?</t>
  </si>
  <si>
    <t>RT @cturtle31: @TheCuriousTweep @JamilSmith @EricGreitens Alleged, all the way through. It wasn't a court room. She lied to her husband abo…</t>
  </si>
  <si>
    <t>RT @PoliticalShort: Is Mueller more powerful than the President? If so, then why bother with elections? https://t.co/25bcnDNuRF</t>
  </si>
  <si>
    <t>RT @realDonaldTrump: “Trump just took a giant step towards actual welfare reform” https://t.co/LQlACDDLug</t>
  </si>
  <si>
    <t>RT @chuckwoolery: Rep Gohmert: Mueller Needs to be Fired and Investigated For His Part in Helping Clinton Foundation Make $145 Million in U…</t>
  </si>
  <si>
    <t>RT @Jamierodr10: ABC is airing a interview with #Traitor Comey this Sunday. Comey compares Trump to a mob boss. Are you kidding me? Comey c…</t>
  </si>
  <si>
    <t>RT @KAGHarleyQuinn: But when Facebook worked closely with the Obama campaign to help him win both elections, that was fine right? No mea cu…</t>
  </si>
  <si>
    <t>RT @BackThePolice: This is what we call a true hero!! https://t.co/DvoqJ2YbbP</t>
  </si>
  <si>
    <t>RT @KyleKashuv: Just to clarify: I took a fatal shooting....fought 2 show America that law enforcement isn't perfect and how gun control is…</t>
  </si>
  <si>
    <t>RT @Ptsbrian: Nice summary here of the governor’s “presponse” to the committee’s report. He repeatedly pointed to his upcoming criminal tri…</t>
  </si>
  <si>
    <t>@wilde_dylan @jbarrchicago @Shayndi @EricGreitens Dude yes, and the #MOleg here doesn't like him because he isn't doing their way and despite knowing about this affair and it's consensual nature they are all acting like they just found out. It's such a scam</t>
  </si>
  <si>
    <t>@Adj_Hinson @SebMistretta @mariahcjones25 @EricGreitens @SheenaGreitens Ok she didn't speak up. Because she didn't have the strength.
Ok. I'll give you that.
But she CONTINUED to have the strength to carry on the affair after the incident?
Doesn't a make a lot of sense 
🤔
#moleg #Greitens</t>
  </si>
  <si>
    <t>@sgbbrand Oh please. She kept seeing the man. We aren't dumb and Twitter and YouTube isn't real life</t>
  </si>
  <si>
    <t>RT @DeplorableGoldn: I agree with this completely!  #moleg #mogov #GreitensIndictment #Greitens #istandwithgreitens https://t.co/G9uthIhpIA</t>
  </si>
  <si>
    <t>RT @DeplorableGoldn: RT-ING 🚨👇 #moleg #mogov #istandwithgreitens #Greitens https://t.co/83KwDYtBkc</t>
  </si>
  <si>
    <t>RT @DeplorableGoldn: #IStandWithGreitens #Greitens #MOLeg https://t.co/EEkVz8Ru6C</t>
  </si>
  <si>
    <t>RT @Str8DonLemon: @mariahcjones25 @SebMistretta @EricGreitens Since u stand for women, I'm going to need you to stand 4 @SheenaGreitens 
S…</t>
  </si>
  <si>
    <t>RT @Str8DonLemon: @mariahcjones25 @SebMistretta @EricGreitens @SheenaGreitens @SheenaGreitens was VICTIM of this terrible act at the hands…</t>
  </si>
  <si>
    <t>RT @Str8DonLemon: @mariahcjones25 @SebMistretta @EricGreitens @SheenaGreitens Now dont be a hypocrite now. I want to see protests, I want y…</t>
  </si>
  <si>
    <t>@Adj_Hinson @SebMistretta @mariahcjones25 @EricGreitens @SheenaGreitens I'm sorry but some post modernist video on consent isnt authority on it. She kept going back and seeing him and the affair didn't end for a while</t>
  </si>
  <si>
    <t>RT @Str8DonLemon: Everybody deserves justice.
That means we treat people as INNOCENT UNTIL
PROVEN GUILTY
What in the heck is wrong with y…</t>
  </si>
  <si>
    <t>@SebMistretta @mariahcjones25 @EricGreitens @SheenaGreitens Stop attacking justice and the fairness under the law</t>
  </si>
  <si>
    <t>RT @Hope4Hopeless1: @robschaaf @philip_saulter @DaynaGould @mcbridetd #Moleg an ethical &amp;amp; responsible Lawmaker would never ACTIVELY work to…</t>
  </si>
  <si>
    <t>RT @DeplorableGoldn: You are exactly right!  It's an absolute witch-hunt! #moleg #mogov #Greitens #GreitensIndictment https://t.co/RG8PXfk7…</t>
  </si>
  <si>
    <t>RT @Sticknstones4: 🚨When you ask your elected #moleg real questions 
They block you 
It’s a witch hunt 
Start answering about Stacey Newm…</t>
  </si>
  <si>
    <t>RT @DeplorableGoldn: Wow.  I have never seen a politician act like this, nor do I like it.  #Greitens #GreitensIndictment #moleg #MOGov htt…</t>
  </si>
  <si>
    <t>RT @DeplorableGoldn: So true #moleg https://t.co/M9SzDH3vMe</t>
  </si>
  <si>
    <t>RT @DeplorableGoldn: RT 🚨 #MOLEG https://t.co/bURMoTfBCW</t>
  </si>
  <si>
    <t>@brflux @EricGreitens It's a witch hunt. I agree with the gov.</t>
  </si>
  <si>
    <t>RT @TrumpChess: @philip_saulter @robschaaf @DaynaGould @mcbridetd Philip PLEASE copy this and repost it to (R) Sen Rob Schaaf  who has alre…</t>
  </si>
  <si>
    <t>RT @Sticknstones4: @gocrazy4cards @EricGreitens @MissouriGOP @robschaaf Paul they’re crooks, they don’t want to loose their gravy train 🚂 o…</t>
  </si>
  <si>
    <t>RT @Str8DonLemon: Principled people dont abandon innocent until proven guilty. Please spare me the burke until he has his day in court.
Sh…</t>
  </si>
  <si>
    <t>RT @DeplorableGoldn: RT 🚨 #moleg https://t.co/3m51EElLfs</t>
  </si>
  <si>
    <t>RT @Hope4Hopeless1: @gocrazy4cards @EricGreitens @MissouriGOP @robschaaf Sadly, there are a lot at #Moleg like .@robschaaf that are proovin…</t>
  </si>
  <si>
    <t>@SebMistretta @mariahcjones25 @EricGreitens @SheenaGreitens Uh huh. You must be young. I knew about bill Clinton's stuff since the the mid 80s yet he was constantly given a pass.</t>
  </si>
  <si>
    <t>@BigJoos @jgronek2 @J_L_Forrester @clairecmc Yet she kept seeing him?</t>
  </si>
  <si>
    <t>RT @TrumpChess: @Hope4Hopeless1 @gocrazy4cards @robschaaf @philip_saulter @DaynaGould @mcbridetd Well Sen Rob Schaaf AND Rep Nadal Chapelle…</t>
  </si>
  <si>
    <t>Principled people dont abandon innocent until proven guilty. Please spare me the burke until he has his day in court.
She kept seeing him after the incident. As of now unless some evidence comes up, its he said/she said.
#moleg #Greitens https://t.co/iUdqOzLRub</t>
  </si>
  <si>
    <t>@wilde_dylan @jbarrchicago @Shayndi Its bs. I'll fill you in. Greitens is an outsider... he can be arrogant. So hes not well liked by #moleg 
Everybody in state knew about affair and yet did nothing until the subject of #taxcredits came up and @EricGreitens cut them. The media and mang are lying. Total witch hunt</t>
  </si>
  <si>
    <t>RT @wilde_dylan: @jbarrchicago @shayndi So after going to Gov. Greitens’ house where she claims she was raped in his basement, she engaged…</t>
  </si>
  <si>
    <t>RT @CindyHickerson9: Hear that MEN? A woman can accuse you with no evidence and ruin your life. Let that sink in. If it happens to him it c…</t>
  </si>
  <si>
    <t>#moleg
You hear that @MOHouseGOP 
You are pissing off Missouri by caving to these bullies
#Moleg #Greitens https://t.co/UKHpiKlvUP</t>
  </si>
  <si>
    <t>@cturtle31 @staceynewman Bingo. Also stacey is a liar. She knew about this affair too and did nothing</t>
  </si>
  <si>
    <t>RT @cturtle31: @staceynewman So a lying cheater, carries on a sexual relationship for months, doesn't seek help from law enforcement - ever…</t>
  </si>
  <si>
    <t>@mariahcjones25 @SebMistretta @EricGreitens @SheenaGreitens Funny how you totally dont about this because I'm talking about conservative women. Bigots</t>
  </si>
  <si>
    <t>@SebMistretta @mariahcjones25 @EricGreitens @SheenaGreitens Dude. I'm simply saying.
Stop the witch hunt. If hes guilty, he will be proven that. But his life shouldn't be ruined because of some he said/she said allegation 3 years after the fact.
Also she kept seeing him after the alleged incident
Got an answer for that?
#moleg</t>
  </si>
  <si>
    <t>@mariahcjones25 @SebMistretta @EricGreitens @SheenaGreitens I see you run away when I prove your hypocrisy.
But thanks for playing</t>
  </si>
  <si>
    <t>@SebMistretta @mariahcjones25 @EricGreitens @SheenaGreitens You do. Your going after a man because hes a) conservative and b) the media is convicting in the court or public opinion while the accuser doesnt get any tough questions.
Yes I consider what you are doing morally wrong and reprehensible 
#moleg</t>
  </si>
  <si>
    <t>@mariahcjones25 @SebMistretta @EricGreitens @SheenaGreitens Now dont be a hypocrite we gotta demand this guys life be ruined over an ALLEGATION. Because apparently per your logic the only way to support women is by taking away presumption of innocence, right?
Or you can get off your high horse and use common sense and facts.
#moleg</t>
  </si>
  <si>
    <t>@mariahcjones25 @SebMistretta @EricGreitens @SheenaGreitens Now dont be a hypocrite now. I want to see protests, I want you to find out who this guy is, demand that he be unfairly slandered like your doing to eric greirens right now... and....
All before it's actually proven.
Because @SheenaGreitens made an allegation. #moleg</t>
  </si>
  <si>
    <t>@mariahcjones25 @SebMistretta @EricGreitens @SheenaGreitens @SheenaGreitens was VICTIM of this terrible act at the hands of this ex husband who is used to be married to the woman who had an affair with #Greitens 
Who we are arguing about ... sure makes you wonder... but you said stand for women, right?
#moleg 
https://t.co/dmxUB4Oq1n</t>
  </si>
  <si>
    <t>@mariahcjones25 @SebMistretta @EricGreitens Since u stand for women, I'm going to need you to stand 4 @SheenaGreitens 
She was victim of a stalker.
Who was that stalker? Well that would be the ex husband of the same person that is accusing @EricGreitens 
U said you stand for women?
#moleg
https://t.co/2yam6tC9Zc</t>
  </si>
  <si>
    <t>@mariahcjones25 @SebMistretta @EricGreitens Note you totally ignored my point. Monsters ruin people's lives over allegations. If Eric guilty, ok. But it hasn't been proven. But ok, I'm so glad you stand up for women. I do too. We agree. And you know what?</t>
  </si>
  <si>
    <t>@mariahcjones25 @SebMistretta @EricGreitens @MOHouseGOP I'm against witch hunts. This is one</t>
  </si>
  <si>
    <t>@mariahcjones25 @SebMistretta @EricGreitens Just ruining his life over an unproven  allegation. Monsters do that... your not a monster are you?</t>
  </si>
  <si>
    <t>@SebMistretta @mariahcjones25 @EricGreitens @MOHouseGOP Nobody should trust government</t>
  </si>
  <si>
    <t>@mariahcjones25 @SebMistretta @EricGreitens @MOHouseGOP No we actually aren't</t>
  </si>
  <si>
    <t>@SebMistretta @mariahcjones25 @EricGreitens Appeal to authority. A title does not mean we discard with innocent until proven guilty. Many women who go through a lot and suffer and I can appreciate that. However you are trying to convict a man who hasn't been convicted yet. 
His life should not be changed until its proven</t>
  </si>
  <si>
    <t>This means nothing.  Hes innocent until proven guilty. https://t.co/eEb0HbBLwx</t>
  </si>
  <si>
    <t>@SebMistretta @mariahcjones25 @EricGreitens Exactly... he hasn't proven guilty. He said/she said isnt guilt. And I dont trust the @MOHouseGOP because a lot of them dolt like greitens because hes doing things differently.
Also, no mention of the PA and how they indicted him in a shady way</t>
  </si>
  <si>
    <t>@SebMistretta @EricGreitens Thay is true but if @MOHouseGOP impeaches they will be stripping the voice or the people over some alleged bs and would be acting on alleged incident. 
Let the criminal trial play out if hes guilty impeach. My opinion</t>
  </si>
  <si>
    <t>@SebMistretta @EricGreitens Do you know anything about this case? 
The women kept seeing the guy after this alleged incident. The transcript sounds like a bunch of bs and yet she gets to be anonymous? And a state house that knew about this affair for a long time but said nothing now cares? 
This is fishy</t>
  </si>
  <si>
    <t>RT @AllenTruitt1: @SKOLBLUE1  @Str8DonLemon 
#IStandWithJamieAllman https://t.co/zClZFKlImm</t>
  </si>
  <si>
    <t>RT @RealSaavedra: .@MarshaBlackburn: "If they are subjectively manipulating their algorithm to go in and censor free speech or to prioritiz…</t>
  </si>
  <si>
    <t>@mariahcjones25 @EricGreitens PRESUMPTION OF INNOCENCE 
What does that mean to you?</t>
  </si>
  <si>
    <t>Sorry but trump is innocent. 
I know in twitter land where every body has a twitter JD and is all about post modernism that might be the case, but you clearly dont convict somebody without first proving it beyond a reasonable doubt. 
Back to twitter law school you go
#moleg https://t.co/NxfsEQ7NoM</t>
  </si>
  <si>
    <t>Everybody deserves justice.
That means we treat people as INNOCENT UNTIL
PROVEN GUILTY
What in the heck is wrong with you people?
There's quite a few reasons to question these accusations and a lot of people are asking them.
So give @EricGreitens his day in court
#moleg https://t.co/xVQ7JT1si8</t>
  </si>
  <si>
    <t>Uh NO.
You failed to address my point. 
We have a presumption of innocence in this country. 
Dont we?
#moleg https://t.co/Ml8thHCLoK</t>
  </si>
  <si>
    <t>@FOX2now @AGJoshHawley Sorry but innocent until proven guilty</t>
  </si>
  <si>
    <t>@pistolgrippimps @FOX2now @AGJoshHawley Bingo. I want vote for Hawley if he does this. Not that I really wanted to anyway. All 3 other candidates are better anyway</t>
  </si>
  <si>
    <t>@andykopsa @JohnHoltNews @EricGreitens Um she did keep seeing him. Nobody can explain that. And he said/she said still isnt good enough. What makes her credible?  Why doesnt the public get to make that decision ?</t>
  </si>
  <si>
    <t>@SummerNight1973 @JohnHoltNews @EricGreitens Exactly. How is she credible if she is anonymous. We are supposed to trust a bunch of people that already hate greitens?</t>
  </si>
  <si>
    <t>RT @mike_Zollo: So basically Mueller is using the FBI to go after President Trump because he used foul language in the Access Hollywood tap…</t>
  </si>
  <si>
    <t>RT @Str8DonLemon: @strmsptr Now that the national media is paying attention to #moleg Can you look into this whole #taxcredit thing? I have…</t>
  </si>
  <si>
    <t>RT @Str8DonLemon: Now national media is paying attention to #moleg 
U have to ask why so many people in Jeff City knew about this affair o…</t>
  </si>
  <si>
    <t>RT @Str8DonLemon: ✔UVA
✔Mattress girl
✔Duke
Not all women should be believed
Nor should all men
He said/she said isnt a case
Treat both…</t>
  </si>
  <si>
    <t>RT @TrumpChess: @gocrazy4cards @philip_saulter @robschaaf @DaynaGould @mcbridetd @EricGreitens @MOGOP_Chairman @MissouriGOP @MOHouseGOP NON…</t>
  </si>
  <si>
    <t>@toadtws @philip_saulter @mcbridetd @robschaaf Also apparently cant handle debate either. Gutless. https://t.co/goATgMY4Rz</t>
  </si>
  <si>
    <t>RT @philip_saulter: @mcbridetd @robschaaf Going after Greitens based on unsubtantiated claims and zero physical evidence will cost you my v…</t>
  </si>
  <si>
    <t>RT @toadtws: @philip_saulter @mcbridetd @robschaaf The MO GOP will never hold power and make real change with gutless politicians like @rob…</t>
  </si>
  <si>
    <t>@ScottCharton @AP Let's see what the court says Scott</t>
  </si>
  <si>
    <t>@ScottCharton @AP This merely alleged</t>
  </si>
  <si>
    <t>✔UVA
✔Mattress girl
✔Duke
Not all women should be believed
Nor should all men
He said/she said isnt a case
Treat both with skepticism
Allegations aren't fact
@EricGreitens deserves day in court
Further we can't ascertain if witness is credible if she's anonymous
#moleg https://t.co/XZUMbmQInm</t>
  </si>
  <si>
    <t>RT @Sticknstones4: @Str8DonLemon @strmsptr Who is the guy they call the Missouri king of tax credits 
Follow the money 💰 And follow the one…</t>
  </si>
  <si>
    <t>Now national media is paying attention to #moleg 
U have to ask why so many people in Jeff City knew about this affair on @EricGreitens &amp;amp; didn't care until  #taxcredit thing came up. Were they ignoring a crime or didn't know the extent of it? Ask them. Thats the rumor 
#mogov</t>
  </si>
  <si>
    <t>@Sticknstones4 @robschaaf @philip_saulter @DaynaGould @mcbridetd Dude everybody knows hes been talking snack about greitens for a while now. He hates greitens and hes wants him impeached. He isnt listening to the people of Missouri</t>
  </si>
  <si>
    <t>RT @Sticknstones4: @robschaaf @philip_saulter @DaynaGould @mcbridetd If greitens was such a monster per your definition rob , why would the…</t>
  </si>
  <si>
    <t>RT @DaynaGould: @robschaaf @philip_saulter @mcbridetd How about interviewing Couples Who Have Had Affaires &amp;amp; See How Many Tell You She Is L…</t>
  </si>
  <si>
    <t>RT @DeplorableGoldn: Tell 'em! #moleg #mogov #Greitens #greitensindictment #istandwithgreitens https://t.co/GzwPrCQY5i</t>
  </si>
  <si>
    <t>RT @TrumpChess: @DeplorableGoldn #MO voters should storm the capitol in jeff city and protest these deep state swamp monsters. @EricGreiten…</t>
  </si>
  <si>
    <t>@QueenJavaVader @EricGreitens @KMOV @ksdknews @MoDemParty Why. What if hes innocent?</t>
  </si>
  <si>
    <t>RT @gocrazy4cards: Can't he considered credible unless we know her background &amp;amp; character but we dont. She's anonymous remember?
Your hate…</t>
  </si>
  <si>
    <t>@strmsptr Now that the national media is paying attention to #moleg Can you look into this whole #taxcredit thing? I have no proof but the rumors wont die!
Everybody on here knew about this affair but didn't report the crime, but now they are SO CONCERNED? 
Give me a break.</t>
  </si>
  <si>
    <t>RT @strmsptr: It is all about corporate tax credit and  the Dem's inability to accept a loss. A three year old allegation with no physical…</t>
  </si>
  <si>
    <t>RT @gocrazy4cards: You don't represent Missouri if you plan on stealing OUR VOICE which is @EricGreitens without his day in court 
And tha…</t>
  </si>
  <si>
    <t>RT @TrumpChess: @dbongino @31Millerg Maybe you could readup on this case and do a podcast on the MO GOV situation Dan. I know MO voters wou…</t>
  </si>
  <si>
    <t>@erincounihan Its alleged. You ever think she could be lying? Not saying is, but this is he said/she said.</t>
  </si>
  <si>
    <t>RT @philip_saulter: @robschaaf @DaynaGould @mcbridetd So you are taking the claims of one person, and using people she told them to (who we…</t>
  </si>
  <si>
    <t>RT @philip_saulter: @robschaaf @DaynaGould @mcbridetd I read all 24 pages.  Nothing but unsubstantiated claims, admitted "contradictory" st…</t>
  </si>
  <si>
    <t>RT @philip_saulter: @robschaaf @DaynaGould @mcbridetd Coerced? You do not represent yourself, you represent the people of Missouri.👍  This…</t>
  </si>
  <si>
    <t>RT @gocrazy4cards: @philip_saulter @robschaaf @DaynaGould @mcbridetd @robschaaf I know u hate @EricGreitens but u are engaging in terrible…</t>
  </si>
  <si>
    <t>RT @gocrazy4cards: @philip_saulter @robschaaf @DaynaGould @mcbridetd @EricGreitens You DO NOT represent the people of Missouri if you want…</t>
  </si>
  <si>
    <t>RT @gocrazy4cards: @philip_saulter @robschaaf @DaynaGould @mcbridetd @EricGreitens Is the @MOGOP_Chairman or @MissouriGOP or @MOHouseGOP li…</t>
  </si>
  <si>
    <t>RT @gocrazy4cards: @philip_saulter @robschaaf @DaynaGould @mcbridetd @EricGreitens @MOGOP_Chairman @MissouriGOP @MOHouseGOP Why can't you l…</t>
  </si>
  <si>
    <t>@mollydern @MissouriTimes @PeterKinder @EricGreitens Appeal from authority isnt an argument.... why is it credible?</t>
  </si>
  <si>
    <t>RT @AndrewsDisciple: The death of the metaphor. #Maga #1a #JamieAllman https://t.co/ymhNPsXFlT</t>
  </si>
  <si>
    <t>@mollydern @MissouriTimes @PeterKinder @EricGreitens Now how would u know if she is a credible witness or not if nobody is supposed to know the identity of these people? Did u think your statement through?
Her credibility  should be questioned as she kept seeing the man. But I'm curious how you personally know. Care to explain?</t>
  </si>
  <si>
    <t>@philip_saulter @TrumpChess @EricGreitens @POTUS Yup yup. Let him have his day in court</t>
  </si>
  <si>
    <t>RT @Str8DonLemon: Calling a witch hunt a witch hunt is belittling their work?
Give me break. Is #moleg that sensitive? https://t.co/wgbqmi…</t>
  </si>
  <si>
    <t>RT @YearOfZero: Hey @HawleyMO 
He said/she said is now an offense? It’s alleged 
Sorry but I read the report. You are making a very grave…</t>
  </si>
  <si>
    <t>@Sha_Elise24 @EricGreitens Alleged. It hasn't been proven</t>
  </si>
  <si>
    <t>@ws_missouri @EricGreitens Surely you just overlooked this, right?</t>
  </si>
  <si>
    <t>@ws_missouri @EricGreitens https://t.co/dmxUB4Oq1n</t>
  </si>
  <si>
    <t>@ws_missouri @EricGreitens Yet he taunted him on twitter?</t>
  </si>
  <si>
    <t>RT @TrumpChess: Everyone of you in the "mo house" who colluded in private to unseat a duly elected MO GOV @EricGreitens better just pack yo…</t>
  </si>
  <si>
    <t>RT @DeplorableGoldn: RT-ING 🚨
"This was an entirely consensual relationship, and any allegation of violence or sexual assault is false. Thi…</t>
  </si>
  <si>
    <t>@mollydern @MissouriTimes @PeterKinder @EricGreitens Allegedly... did you read the report. He said she said isnt proof.
Let's wait for trial. 
Allegations dont equal guilt</t>
  </si>
  <si>
    <t>RT @KCTV5: "This was an entirely consensual relationship, and any allegation of violence or sexual assault is false. This was a months-long…</t>
  </si>
  <si>
    <t>RT @DaynaGould: @KCTV5 @VisioDeiFromLA @EricGreitens Thank you for Your Statement @GovGreitensMO &amp;amp; Thank You KCTV5 for your honest reportin…</t>
  </si>
  <si>
    <t>Calling a witch hunt a witch hunt is belittling their work?
Give me break. Is #moleg that sensitive? https://t.co/wgbqmiOg7t</t>
  </si>
  <si>
    <t>RT @BryanLowry3: Greitens has released another statement on top of his earlier comments #moleg https://t.co/78AKdc5VGY</t>
  </si>
  <si>
    <t>RT @KCTV5: VIDEO: Missouri Gov. Eric Greitens says a state House committee's report on an investigation into his extramarital affair with h…</t>
  </si>
  <si>
    <t>RT @seanhannity: UNBELIEVABLE https://t.co/e1cg1X7j2V</t>
  </si>
  <si>
    <t>@ninekiller @juliematthews50 @AllenTruitt1 @SKOLBLUE1 @jallman971 Make the calls!</t>
  </si>
  <si>
    <t>@ninekiller @juliematthews50 @AllenTruitt1 @SKOLBLUE1 @jallman971 We gotta fight for our man!</t>
  </si>
  <si>
    <t>@AllenTruitt1 @SKOLBLUE1 Has anybody confirmed the veracity?</t>
  </si>
  <si>
    <t>RT @MarcCox971: No one is more sick about this than I am. I’ve been friends with @jallman971 for 25 years. He’s a good man, and great conse…</t>
  </si>
  <si>
    <t>RT @juliematthews50: #IStandWithJamieAllman 
@jallman971 !! ❤️🇺🇸🐘 https://t.co/4o1UzipJ1i</t>
  </si>
  <si>
    <t>RT @pinkk9lover: These two are still FBI agents with top secret clearance! Peter Strzok and Lisa Page can view ALL databases the FBI has ac…</t>
  </si>
  <si>
    <t>RT @MactavishShawn: In a city that has 30+ murders in the first three months of the year and you can’t afford witness protection, BUT you c…</t>
  </si>
  <si>
    <t>RT @BigJShoota: Did the "Committee" REALLY engage in misconduct?  😒😒😒😒 
#UnAuthorizedConduct 
#moleg #mogov #greitens #GreitensIndictment…</t>
  </si>
  <si>
    <t>@WillSchamper_ @EricGreitens It's called free speech. So funny people are mad that we get free speech too.</t>
  </si>
  <si>
    <t>RT @JacobAWohl: STUNNING! Mueller's goons sought all records related to the “Access Hollywood” tape when they raided office of Trump's lawy…</t>
  </si>
  <si>
    <t>@philip_saulter @EricGreitens Liberals do this all the time, but it seems like some conservatives too</t>
  </si>
  <si>
    <t>@philip_saulter @EricGreitens Oh we dont take you seriously because your a bot but we must do a story on you and slyly link you to bots! 
That's a sign that they have a weak argument</t>
  </si>
  <si>
    <t>@philip_saulter @EricGreitens Meanwhile, look at what they did to allman over a stupid tweet? This is what the establishment does when they cant control the narrative</t>
  </si>
  <si>
    <t>@philip_saulter @EricGreitens Str8don lemon posts 100 times a day but according to oxford 50 times or more means your a bit. It's like these people only expeeinec with the internet is Facebook and Twitter... forums have been around for a long time and anoymoust posts are the norm</t>
  </si>
  <si>
    <t>@philip_saulter @EricGreitens https://t.co/el1afbXFx3</t>
  </si>
  <si>
    <t>@Midwestfitz @CStamper_ Can you give more details?</t>
  </si>
  <si>
    <t>RT @JohnFromCranber: Dems have been colluding to try to frame Trump for ‘Russian Collusion’ for 1.5 yrs. Since that hasn’t worked, they’re…</t>
  </si>
  <si>
    <t>RT @Str8DonLemon: Great piece you did on me! Feel free to ask me for an interview next time. I'm not a bot, just a citizen who sees flaws o…</t>
  </si>
  <si>
    <t>@philip_saulter @EricGreitens Dude did you see that story they did on me? Lol. I swear. They must have just got on the internet. All mad because somebody has a different opinion</t>
  </si>
  <si>
    <t>@TheOriginalTKO @calto2009 @nowthisnews How is this anti semitic? NowThis is just trying to redefine language</t>
  </si>
  <si>
    <t>RT @BobOnderMO: Congratulations to @AnnLWagner on her bill signing today! "It's hard to do big things. I've passed a lot of bills, this was…</t>
  </si>
  <si>
    <t>RT @ReadHearKnow: @nowthisnews "Globalist" is not an anti-Semitic  slur (not in the United States of America).  A "globalist" is someone wh…</t>
  </si>
  <si>
    <t>@TheOriginalTKO @calto2009 @nowthisnews It's not anti semitic. Once again leftists just trying to redefine language that is effective.
Sorry globalism is cancer.
GLOBALIST 
Its not a bad word. It's a way to describe people who dont put their country first</t>
  </si>
  <si>
    <t>RT @calto2009: @nowthisnews I'm Jewish and use the term globalist just like our President. Nothing anti-semitic a out it.</t>
  </si>
  <si>
    <t>RT @thenewecon: @nowthisnews Who in their right minds would believe this bs?</t>
  </si>
  <si>
    <t>RT @Keet67: @nowthisnews Globalist; someone who believes that economic and foreign policy should be planned in an international way, rather…</t>
  </si>
  <si>
    <t>@nowthisnews Oh give me a break that isnt a slur. Sorry but your Orwellian bs wont work</t>
  </si>
  <si>
    <t>Bring back reince https://t.co/aPTrFtthi1</t>
  </si>
  <si>
    <t>@AlishaShurr was a great piece of journalism on me! Did you just get on the internet yesterday? 
Let me ask u this. Do u not think the indictment was brought in shady manner or affair wasn't consensual? She kept seeing him after the incident. Explain
Cant people challenge that?</t>
  </si>
  <si>
    <t>RT @Str8DonLemon: People dont get to challenge me!
I swear did you guys just get on the internet yesterday?
Why dont you you leave a comm…</t>
  </si>
  <si>
    <t>RT @Sticknstones4: How long has Kim Gardner been in office ?
Why is letterhead with previous circuit attorney being used ?
So much #kimsh…</t>
  </si>
  <si>
    <t>RT @AllenTruitt1: This gag order in the #greitens case says no witnesses can discuss this case, yet @LaurenTrager  continues to report...sh…</t>
  </si>
  <si>
    <t>@MissouriTimes Hey want to ask me for an interview next time? 
This is just, they cant answer legit questions so they try to claim we were bots. Terrible journalism and agenda driven. But maybe I'll get more followers out it so this is great!
#moleg</t>
  </si>
  <si>
    <t>Great piece you did on me! Feel free to ask me for an interview next time. I'm not a bot, just a citizen who sees flaws of the case and am against witch hunts, which I've asked u to address many times.
Also u dont own #moleg &amp;amp; I'll be sticking around to call bs long after this. https://t.co/VTzmTtBBqL</t>
  </si>
  <si>
    <t>@melody_grover Wow sanity</t>
  </si>
  <si>
    <t>RT @melody_grover: If you're licking your chops in anticipation of political blood today, go seek help. You need to straighten out your pri…</t>
  </si>
  <si>
    <t>People dont get to challenge me!
I swear did you guys just get on the internet yesterday?
Why dont you you leave a comment in the ad and tell him you disagree?
Also where was this concern for Kim Gardners spending on outside investigators? 
#moleg #mogov https://t.co/8LzGZxGl26</t>
  </si>
  <si>
    <t>RT @AllenTruitt1: @LaurenTrager @Apple @Google @EricGreitens @KMOV Seriously, does the gag order not apply to you? @EricGreitens  perhaps y…</t>
  </si>
  <si>
    <t>@LaurenTrager @Apple @Google @EricGreitens @KMOV Dont you have a gag order?</t>
  </si>
  <si>
    <t>RT @AllenTruitt1: Lauren Trager, even though called as a witness in the #GreitensIndictment  has decided the gag order does not apply to he…</t>
  </si>
  <si>
    <t>RT @TomJEstes: If someone gets a permit for their gun, are they not able to shoot your kids? Will the permit cause the gun not to work in t…</t>
  </si>
  <si>
    <t>RT @Str8DonLemon: Lol.
Everything that has a different opinion is Dark Money?
It's called a political ad dummy. Were you mad when Democra…</t>
  </si>
  <si>
    <t>@KCMikeMahoney @RepLaurenArthur It's a political ad. Why cant he run it? Democrats have been running attack ads for weeks before the case just slandering him. Why is one fair and one not?</t>
  </si>
  <si>
    <t>Lol.
Everything that has a different opinion is Dark Money?
It's called a political ad dummy. Were you mad when Democrats ran them slandering @EricGreitens before the case? 
What about those final four promoted tweets? Conservatives cant push back?
#moleg #Greitens #mogov https://t.co/j1uPEmC9E1</t>
  </si>
  <si>
    <t>@Janderella @jallman971 @971FMTalk @GovGreitensMO @stltoday Oh good grief it's a joke</t>
  </si>
  <si>
    <t>RT @StLCountyRepub: @MikeParsonforMO @LuetkemeyerB @bernskoettermo @travisfitzwater @Mikelkehoe @paulcurtman @smcdesq @coryjmc 
@saraformis…</t>
  </si>
  <si>
    <t>RT @StLCountyRepub: #leadright #DefendtheMOjority #LeadingonAllFronts @realdonaldtrump #mosen #fireclaire #firenicolegalloway #winning @STL…</t>
  </si>
  <si>
    <t>RT @JW1057: MO House Investigative Committee engaged in misconduct. 
@EricGreitens @SheenaGreitens @TeamGreitens @StLCountyRepub 
@Sentine…</t>
  </si>
  <si>
    <t>RT @RodneyRosenstn: @AnthonyMKreis If that bully fires me, I fully expect you all to take to the streets and burn your cities to the ground…</t>
  </si>
  <si>
    <t>@stevedickman @ThreeColumnsArt @SpeakerTimJones @jallman971 @971FMTalk @washingtonpost The fact that you continue to try justify it means you know Im right but can't admit it</t>
  </si>
  <si>
    <t>RT @chuckwoolery: If Jeff Sessions would not have recused himself, none of this Mueller crap would even be happening. He has been the singl…</t>
  </si>
  <si>
    <t>RT @RobertMueIIer: Believe me, I have nothing personal against Trump, it's just that he wasn't supposed to win the 2016 election.</t>
  </si>
  <si>
    <t>RT @Thomas1774Paine: I guess I missed that part in American History and American Government classes where a porn star can concoct an extort…</t>
  </si>
  <si>
    <t>RT @StefanMolyneux: It is a tragic sign of the times that the mainstream media was far more upset about a trade war with China than a hot w…</t>
  </si>
  <si>
    <t>RT @Sticknstones4: But @SenatorNasheed you had a loaded gun 
In a crowd 
https://t.co/Z1g1WFXubB
#moleg #2a #stlboa #Missouri #stl #mosen…</t>
  </si>
  <si>
    <t>@stevedickman @ThreeColumnsArt @SpeakerTimJones @jallman971 @971FMTalk @washingtonpost Your being a mangina. Sorry but you are.</t>
  </si>
  <si>
    <t>@stevedickman @ThreeColumnsArt @SpeakerTimJones @jallman971 @971FMTalk @washingtonpost Yes it was a figure of speech. How is he going to do that when he is in Missouri v and that idiot is in Florida?</t>
  </si>
  <si>
    <t>Can’t believe Americans died defending your nation. Wtf https://t.co/P1fKoyYQaF</t>
  </si>
  <si>
    <t>@BollackJason @RunningPaladin2 @SYPCC Yup. This is just sad</t>
  </si>
  <si>
    <t>RT @nobelpatriot: You think the attack on conservatives is only in the US? It’s an international effort. https://t.co/QWFGasL9YI</t>
  </si>
  <si>
    <t>RT @SusanStormXO: They are not targeting a crime here . They sure targeting TRUMP ~ @dbongino 
#MAGA 
#TRUTH 
Attacking our President 🦁 ht…</t>
  </si>
  <si>
    <t>RT @ScottPresler: OPERATION #BlueToRed: If Election Day were today, Republicans would flip democrat Senate seats in IN, MO, MT, ND, &amp;amp; WV.…</t>
  </si>
  <si>
    <t>RT @Monetti4Senate: Lt. Col. Monetti built a Missouri business, educated Missouri students, and worships at a Missouri church. He understan…</t>
  </si>
  <si>
    <t>RT @RealWednesdayy: "Hate Speech is Linguistic Nuances" - meaning we will plug into our algorithms the words we don't like.  Reminder: Hate…</t>
  </si>
  <si>
    <t>RT @thebradfordfile: Correction: Raise your hand if the FBI still works for you. https://t.co/Sp9M6zpPy4</t>
  </si>
  <si>
    <t>RT @DTrumpTrain_: ‘It’s Time’: Mark Levin Sends Clear Message To Jeff Sessions Following FBI Raid On Michael Cohen https://t.co/zlxpfnPRRZ…</t>
  </si>
  <si>
    <t>RT @costareports: House Intel Chair Devin Nunes privately told several colleagues today that it's time for House GOP to hold Rosenstein and…</t>
  </si>
  <si>
    <t>RT @arappeport: Zuckerberg is not able to give a straight answer about whether Facebook tracks browsing activity after users log off.</t>
  </si>
  <si>
    <t>RT @RepMattGaetz: The Department of Justice is currently covering their own trail because they know they engaged in FISA abuses that they d…</t>
  </si>
  <si>
    <t>RT @magathemaga1: @tonymess @MissouriTimes @LacyClayMO1 @S_Eckersley People who think this was a threat probably also cry when shooting a g…</t>
  </si>
  <si>
    <t>@stevedickman @ThreeColumnsArt @SpeakerTimJones @jallman971 @971FMTalk @washingtonpost Dude. It was a figure of speech. For a grown man, you sure act like a big baby. And yes, it was a a Liberal Twitter mom ran by Newman and aided by Brock's boys at media matters. Look up Share Blue and correct the record. This is a war on conservative voices.</t>
  </si>
  <si>
    <t>RT @VisioDeiFromLA: Hmmm.....We now have “ serious allegations from a whistleblower that [Soros-backed] Kim Gardner and the circuit attorne…</t>
  </si>
  <si>
    <t>@somethingldsay @CNN I'm stealing this tweet! But I'll tell peeps to retweet</t>
  </si>
  <si>
    <t>@somethingldsay @CNN Lol</t>
  </si>
  <si>
    <t>RT @somethingldsay: Ever since #Parkland, I've been wondering, exactly how close, without actually being involved, does one have to be to a…</t>
  </si>
  <si>
    <t>RT @SorosInSTL: Hey. This is my town and I bought it.
Calm down with that stuff. 
Now do as your told.
#moleg #StLouis https://t.co/p9Di…</t>
  </si>
  <si>
    <t>RT @JW1057: @EricGreitens Happy Birthday! I hope you and @SheenaGreitens have a wonderful day together with your sons. I can appreciate thi…</t>
  </si>
  <si>
    <t>@Margare03880660 @TrumpChess @VisioDeiFromLA @DiamondandSilk @Candy1967_ @jallman971 Hey ladies @DiamondandSilk can you bring some attention to @jallman971 plight?</t>
  </si>
  <si>
    <t>RT @Margare03880660: @TrumpChess @VisioDeiFromLA @DiamondandSilk @Candy1967_ @jallman971 I am angry at the viciousness against conservative…</t>
  </si>
  <si>
    <t>RT @TrumpChess: @DiamondandSilk @Candy1967_ I know you ladies remember speaking with @jallman971 from the only conservative tv show in stl,…</t>
  </si>
  <si>
    <t>RT @VisioDeiFromLA: What the Headlines Today SHOULD BE: China Blinks. Stocks Rally. President Trump’s strategy may just be working! Instead…</t>
  </si>
  <si>
    <t>RT @Sticknstones4: @gregrazer The same could be said about the #moleg trying to take Greitens out over the tax credit reform 
I’m loud &amp;amp; I…</t>
  </si>
  <si>
    <t>RT @Mag4Torsades: @parscale @kayleighmcenany @facebook Why did #Facebook give #Obama all of its user data to the campaign in 2012
#Facebook…</t>
  </si>
  <si>
    <t>RT @parscale: If @facebook really cares about not looking like a censor. They should post all blocked and banned posts/users in a special a…</t>
  </si>
  <si>
    <t>RT @Str8DonLemon: There is a gag order on the criminal case. 
But the judge said it would be “reckless of the state house to put out infor…</t>
  </si>
  <si>
    <t>RT @Str8DonLemon: Let's see:
Supports killing the unborn.
Supports illegal aliens over americans
Supports Hollywood over Missouri 
Support…</t>
  </si>
  <si>
    <t>There is a gag order on the criminal case. 
But the judge said it would be “reckless of the state house to put out information now” #moleg #GreitensIndictment #mogov #greitens #StLouis
@MOHouseGOP https://t.co/KAtT54FqfA</t>
  </si>
  <si>
    <t>Let's see:
Supports killing the unborn.
Supports illegal aliens over americans
Supports Hollywood over Missouri 
Supports Mexico over Missouri
Yes!
I'm voting for her!
#MOSen https://t.co/LyIRDlcFkZ</t>
  </si>
  <si>
    <t>RT @VisioDeiFromLA: LIBERALS want to silence free speech. Any type of speech that goes against their narrative. They are even going after S…</t>
  </si>
  <si>
    <t>RT @StevenDialTV: This is a big development. There is a gag order on the criminal case. But the judge said it would be “reckless of the sta…</t>
  </si>
  <si>
    <t>RT @Sticknstones4: 🚨Breaking News 
 Formal Complaint Filed w/ Missouri Chief disciplinary Counsel 
requesting suspension of Ronald Sullivan…</t>
  </si>
  <si>
    <t>RT @VisioDeiFromLA: Democrats been paying twitter to promote their final 4 attack ads on #greitens. Funny how that's ok, but this isnt? No…</t>
  </si>
  <si>
    <t>RT @VisioDeiFromLA: As soon as you answer why woman would keep keep seeing #greitens after alleged incident &amp;amp; why this waited 3 years, 30 d…</t>
  </si>
  <si>
    <t>RT @VisioDeiFromLA: You might be right, but why wouldn't you want this Jane?
Dont you care about justice? 
Doesn't seem like you actually…</t>
  </si>
  <si>
    <t>RT @Sticknstones4: Breaking Letter to Chief General Counsel  
Formal Complaint against Ronald Sullivan
special prosecutor in Greitens case…</t>
  </si>
  <si>
    <t>RT @Str8DonLemon: I'm glad you are concerned about legal arguments. Where was this conversation when this indictment was brought in such a…</t>
  </si>
  <si>
    <t>@rockintoneeo @Irish1Brian @showmeblues @zacharybest @TeamGreitens Let the court do it's job! Lol. Was this before you all slandered him in the media for the last month without having any facts or asking questions like why continue the affair or wait for so long? Can't answer any of those questions?
#StLouis https://t.co/iOLSJYR1H6</t>
  </si>
  <si>
    <t>RT @JW1057: Friend just sent this!
#moleg #mogov #greitens #GreitensIndictment #KimShady https://t.co/NXaNi2LBv5</t>
  </si>
  <si>
    <t>I'm glad you are concerned about legal arguments. Where was this conversation when this indictment was brought in such a shady manner? Lack of probable cause or evidence?  You don't seem too concerned there.
Why only concerned now?
#mogov #moleg https://t.co/C7ysCIvJnt</t>
  </si>
  <si>
    <t>RT @JW1057: @chrisregniertv H.R. 5565, Rule 10. Barnes and committee are engaging in misconduct. Can't issue report and continue investigat…</t>
  </si>
  <si>
    <t>RT @NCogneetoCon: @CStamper_ I understand that the standard of proof is different for a grand jury but you would think it would take more t…</t>
  </si>
  <si>
    <t>RT @SixofSaturn: @SKOLBLUE1 @CStamper_ @LydaKrewson @FOX2now Much Love to @ElliottDavisTV If not for him our city would really be screwed.…</t>
  </si>
  <si>
    <t>RT @Str8DonLemon: @DaynaGould @tracielove314 @TeamGreitens #mogov #StLouis https://t.co/botDGECdzF</t>
  </si>
  <si>
    <t>RT @Str8DonLemon: @MotivatedVoter @TeamGreitens @deanplocher @JillSchupp @SKOLBLUE1 @Sticknstones4 @AllenTruitt1 @EricGreitens @TuckerCarls…</t>
  </si>
  <si>
    <t>RT @Str8DonLemon: The problem with @EricGreitens is that he isn't democrat but he's also white.
Democrats hate white people who are conser…</t>
  </si>
  <si>
    <t>RT @magathemaga1: @Shawtypepelina @flyovermo @TeamGreitens #moleg #greitens #TeamGreitens #StLouis https://t.co/Oi4CuaTDpk</t>
  </si>
  <si>
    <t>RT @Sticknstones4: @jaybarnes5 @AGJoshHawley @chrisregniertv
Please explain this ? HR5575, rule10
#moleg #greitens  #hawley #barnes https…</t>
  </si>
  <si>
    <t>RT @magathemaga1: @NSFMill @Irish1Brian @TeamGreitens @EricGreitens @DailyCaller @MissouriGOP @MOHouseGOP @gocrazy4cards @SKOLBLUE1 @Blackb…</t>
  </si>
  <si>
    <t>RT @Sticknstones4: @StevenDialTV @41actionnews What about her playing keeping up with the kardashians with the naked face time ? Consensual…</t>
  </si>
  <si>
    <t>RT @Sticknstones4: @Hot103Jamz This is a sham prosecution in a Kangaroo court 
No evidence No crime 
#greitens #moleg  #kimshady</t>
  </si>
  <si>
    <t>RT @magathemaga1: #SoyBoy does not not know what Male banter is and smack talk is
Have you ever played any sports? 
No wonder you guys ha…</t>
  </si>
  <si>
    <t>RT @SpeakerTimJones: Missourians have a mission. Ensure @clairecmc long overdue 2018 retirement party: "Missouri Sen. McCaskill faces a str…</t>
  </si>
  <si>
    <t>@stevedickman @ThreeColumnsArt @SpeakerTimJones @jallman971 @971FMTalk @washingtonpost You really believe that was a threat and him not just talking about going on a rant ? Liberals are delusional</t>
  </si>
  <si>
    <t>@CStamper_ @SorosInSTL It's bs man</t>
  </si>
  <si>
    <t>RT @LouDobbs: #LDTPoll: Do you believe the corrupt leadership and actions of the DOJ and FBI are now so outrageous and overwhelming that Pr…</t>
  </si>
  <si>
    <t>@rockintoneeo @magathemaga1 @TylerJoCollins @TeamGreitens @AllmanReport @EricGreitens @Sticknstones4 @joelpollak @LarrySchweikart Don't you care about due process?</t>
  </si>
  <si>
    <t>@fox4kc #ksleg https://t.co/0n1h5XgkDt</t>
  </si>
  <si>
    <t>RT @TheRealHublife: I'm convinced we've reached the point where there is absolutely nothing that President Trump could do to satisfy the de…</t>
  </si>
  <si>
    <t>RT @JMcfeels: One of the most troubling aspects of @realDonaldTrump's neocon obsession with "genocide" in Syria is the fact that he and his…</t>
  </si>
  <si>
    <t>RT @AllenTruitt1: This is what happens when government tries to force a woman to testify against her will so they can unseat #greitens , a…</t>
  </si>
  <si>
    <t>RT @AllenTruitt1: Big, if true! 
#moleg  #greitens @MOHouseGOP https://t.co/XkPCmVHf0a</t>
  </si>
  <si>
    <t>RT @AllenTruitt1: Holy crap. This #greitensindictment is complete bullcrap. That Kim Gardner needs to be in prison. #moleg  #mogov  @MOHous…</t>
  </si>
  <si>
    <t>RT @tonycolombo971: Time for this week's @MarcCox971 Twitter Poll: Gov. Greitens ex-mistress testifies that she may have only dreamed he ha…</t>
  </si>
  <si>
    <t>RT @AllenTruitt1: @ChristopherAve @EricGreitens Once again, you have to have this pesky thing called "evidence," and as you well know, ther…</t>
  </si>
  <si>
    <t>RT @AllenTruitt1: @ChristopherAve @EricGreitens You can't be that dumb. There is no photo. Case closed. You have to actually prove a photo…</t>
  </si>
  <si>
    <t>RT @TheJordanRachel: Trump calls FBI raid of Michael Cohen a disgrace while also saying “It’s an attack on on our country..what we all stan…</t>
  </si>
  <si>
    <t>RT @thedjmkd: @PrisonPlanet Erm...probably because Ukrainian #Migrants dont rape or kill?
Here`s a quote from the Man that just won anothe…</t>
  </si>
  <si>
    <t>RT @RubyRockstar333: Tweets have surfaced of Twitter CEO @jack &amp;amp; Board Member Evan Williams promoting an article that declares the way to w…</t>
  </si>
  <si>
    <t>RT @molratty: Hey @jack, while you're tweeting out articles about how the new civil war should elimiate the Right, arguments like this are…</t>
  </si>
  <si>
    <t>RT @StephenMilIer: Trump now has a rare opportunity to energize his base coming into the midterms.
Hint: It has something to do with Rober…</t>
  </si>
  <si>
    <t>RT @Beatlebaby64: @jallman971 @971FMTalk @WeAreSinclair Jamie is one of the most stand-up guys out there-especially a rare find in the indu…</t>
  </si>
  <si>
    <t>RT @Sticknstones4: @Beatlebaby64 @jallman971 @971FMTalk @WeAreSinclair @POTUS Jamie tells the stories and has the guests the liberal MSM wa…</t>
  </si>
  <si>
    <t>@THR @Joe_Cool_1 Why would she. She didn't actually say anything bad</t>
  </si>
  <si>
    <t>@rockintoneeo @magathemaga1 @TylerJoCollins @TeamGreitens @AllmanReport @EricGreitens @Sticknstones4 @joelpollak @LarrySchweikart That isn't a reason to indict him without evidence.</t>
  </si>
  <si>
    <t>RT @AlfredAlbion: Viktor Orbán being arrested by the communist police in 1987. He is now the 3rd term Prime Minister of Hungary. 
Never gi…</t>
  </si>
  <si>
    <t>RT @ArizonaKayte: I am so sick of this crap.
.@realDonaldTrump ..
It's Time.  #FIREMUELLER and while you are at it #FireRosenstein .  Let…</t>
  </si>
  <si>
    <t>@DaynaGould @tracielove314 @TeamGreitens #mogov #StLouis https://t.co/botDGECdzF</t>
  </si>
  <si>
    <t>RT @Str8DonLemon: @showmeblues @zacharybest @TeamGreitens Democrats gave been running ads and promoting stuff for weeks. It's called politi…</t>
  </si>
  <si>
    <t>@MotivatedVoter @TeamGreitens @deanplocher @JillSchupp @SKOLBLUE1 @Sticknstones4 @AllenTruitt1 @EricGreitens @TuckerCarlson @Hope4Hopeless1 @philip_saulter #moleg https://t.co/tHJXTyyY9k</t>
  </si>
  <si>
    <t>RT @Str8DonLemon: @MotivatedVoter @TeamGreitens @deanplocher @JillSchupp Your just mad at #KimShady using state funds to pay an outside inv…</t>
  </si>
  <si>
    <t>RT @Str8DonLemon: @TeamGreitens Good evening to everybody but the #StLouis Media!
#GreitensIndictment Facts:
✔️Consensual Affair
✔️Ex Hus…</t>
  </si>
  <si>
    <t>@Janderella @SweetLouDiamond @TeamGreitens But it's cool when democrats who gave been doing it for weeks so it?? https://t.co/16SdudgAwj</t>
  </si>
  <si>
    <t>RT @tigerpackcard: @TeamGreitens *gasp* "An extramarital affair!" say the libs who defended Clinton until the bitter end. Spare me your rig…</t>
  </si>
  <si>
    <t>@RedheadLamar @StanfordAlan @TeamGreitens  https://t.co/fZNmEkEbBF</t>
  </si>
  <si>
    <t>@barton_lavern @TeamGreitens @POTUS @seanhannity  https://t.co/bPdZGABOWO</t>
  </si>
  <si>
    <t>@iamthemzbrdget @TeamGreitens It's pathetic that the prosecutor Indicted the man without evidence
#greitens</t>
  </si>
  <si>
    <t>@MotivatedVoter @TeamGreitens @deanplocher @JillSchupp Your just mad at #KimShady using state funds to pay an outside investigator??
#moleg #greitens #mogov #StLouis https://t.co/LPWV9F2lb1</t>
  </si>
  <si>
    <t>@showmeblues @zacharybest @TeamGreitens Democrats gave been running ads and promoting stuff for weeks. It's called politics. You should ask who paid to turn a consensual affair into a media story and indictment
#moleg #StLouis #greitens https://t.co/6JviWKwQAT</t>
  </si>
  <si>
    <t>@MotivatedVoter @roosterteacher @TeamGreitens Lol your safespace got popped. I'm sure your just as angry at all the money being sent on those outside Investigators right?</t>
  </si>
  <si>
    <t>@TeamGreitens Good evening to everybody but the #StLouis Media!
#GreitensIndictment Facts:
✔️Consensual Affair
✔️Ex Husband brought charges
✔️No Police report?
✔️Evidence?
✔️Outside "investigator" demoted for LYING Under Oath at FBI
And this is FAIR?
#moleg #mogov #greitens #STL https://t.co/hStHAznFee</t>
  </si>
  <si>
    <t>The problem with @EricGreitens is that he isn't democrat but he's also white.
Democrats hate white people who are conservative. When a scam like this comes along, they love it because it it's the two groups they hate the most.
Due process, evidence, civil rights?
😂😂
#moleg https://t.co/N5x4nzbCLD</t>
  </si>
  <si>
    <t>Funny so concerned w/ trial by press when that's exactly what u all have done 2 @EricGreitens, demanding he resign, smearing him, etc
Worried about tax payer money but not on "outside Investigators"?
Only true partisan can be that hypocritical and not miss a beat 
😘
#moleg https://t.co/EJQ4hlQu2P</t>
  </si>
  <si>
    <t>RT @magathemaga1: @Blues9127 @cyclodog @TeamGreitens He has no proof. This whole thing is a scam 
#MoLeg https://t.co/512G8IdGXn</t>
  </si>
  <si>
    <t>RT @magathemaga1: @frankplaza_ @TeamGreitens @EricGreitens @realDonaldTrump Except where’s the evidence? Don’t you care that this indictmen…</t>
  </si>
  <si>
    <t>RT @magathemaga1: @TeamGreitens 🚨 Call (573) 751-2000 🚨 
And TELL #MoLeg U WILL NOT tolerate witch hunt against @EricGreitens by shady STL…</t>
  </si>
  <si>
    <t>RT @Carpedonktum: Alan Dershowitz on the FBI raiding Michael Cohen's office: "This is a very dangerous day today for lawyer client relation…</t>
  </si>
  <si>
    <t>RT @Education4Libs: Statistically speaking, you are more likely to be killed by Hillary Clinton than an AR-15.</t>
  </si>
  <si>
    <t>RT @johncardillo: Anyone who promotes the “4D Chess” and “Mueller is a white hat” theories are morons. 
This isn’t a spy thriller. It’s re…</t>
  </si>
  <si>
    <t>RT @LouDobbs: Disgraceful Mueller- @VicToensing &amp;amp; Joe diGenova: It's clear Mueller, Wray &amp;amp; Rosenstein are anti-@realDonaldTrump. This is no…</t>
  </si>
  <si>
    <t>RT @CoreyLMJones: If the corrupt FBI spent the same amount of time investigating Nikolas Cruz as they do raiding homes over a porn star, 17…</t>
  </si>
  <si>
    <t>RT @therealroseanne: met a guy at the mall today who said he was a Russian immigrant and he and his family learned English by watching The…</t>
  </si>
  <si>
    <t>RT @MarkSimoneNY: Proof Mueller is totally partisan. Hillary took $2 billion in donations from foreign governments to her foundation while…</t>
  </si>
  <si>
    <t>RT @magathemaga1: @TylerJoCollins @TeamGreitens Before he was a governor.
The entire case is a scam man. 
#greitens #mogov https://t.co/6…</t>
  </si>
  <si>
    <t>RT @magathemaga1: @Str8DonLemon @DontMeanNothin @TeamGreitens #moleg #greitens #StLouis #kimshady https://t.co/7HrP5HohhP</t>
  </si>
  <si>
    <t>RT @Str8DonLemon: @TeamGreitens #moleg https://t.co/lDRwgg5IAA</t>
  </si>
  <si>
    <t>RT @magathemaga1: @BGeeezus @TeamGreitens -No evidence 
-No Police Report
-No Probable cause
-Waited 3 years 
-Went to Kmov not police?
-A…</t>
  </si>
  <si>
    <t>@TeamGreitens #moleg https://t.co/lDRwgg5IAA</t>
  </si>
  <si>
    <t>@DontMeanNothin @TeamGreitens No it isn't.</t>
  </si>
  <si>
    <t>@kwill80 @TeamGreitens Why he is innocent</t>
  </si>
  <si>
    <t>RT @TeamGreitens: You need to read this —&amp;gt;
https://t.co/3Nmm3ruqUz</t>
  </si>
  <si>
    <t>RT @mike_Zollo: There is a dangerous plot being conducted by the anti American gangsters of the deep state, a coup against President Trump.…</t>
  </si>
  <si>
    <t>RT @MikeTokes: FBI: 
Mentally unstable man reported over 30 times, potential school shooter: No big deal.
Hundreds of classified emails o…</t>
  </si>
  <si>
    <t>@NSFMill @ThreeColumnsArt @SpeakerTimJones @jallman971 @971FMTalk @washingtonpost Dude they have a army of bots attacking me. Just block. Remember when liberals were all about satie and parody? The left has lost their minds</t>
  </si>
  <si>
    <t>@ThreeColumnsArt @SpeakerTimJones @jallman971 @971FMTalk @washingtonpost @PrisonPlanet @ninekiller @SKOLBLUE1 @StephenMilIer Oh good grief. You must not have any male friends snow flake. Lay off the soy. Blocked</t>
  </si>
  <si>
    <t>@ThreeColumnsArt @SpeakerTimJones @jallman971 @971FMTalk @washingtonpost @donlemon @Gay It's like liberals never heard of satire. Sorry your safe space has been popped soyboy</t>
  </si>
  <si>
    <t>@ThreeColumnsArt @SpeakerTimJones @jallman971 @971FMTalk @washingtonpost Only somebody who is hallucinating would think that. You just harrased a man out  a job and are lecturing me on using real names? Guess you first encounter with the internet must have been facebook.
Conservatives are the new counter culture
Also lay off the soy
#SoyBoy https://t.co/e3WtkU1rjD</t>
  </si>
  <si>
    <t>@ThreeColumnsArt @SpeakerTimJones @jallman971 @971FMTalk @washingtonpost Yeah I don't take myself seriously and have a sense of humor and don't cry like a child over a stupid tweet. Twitter isn't real life.</t>
  </si>
  <si>
    <t>RT @realDonaldTrump: When a car is sent to the United States from China, there is a Tariff to be paid of 2 1/2%. When a car is sent to Chin…</t>
  </si>
  <si>
    <t>RT @realDonaldTrump: The Democrats are not doing what’s right for our country. I will not rest until we have secured our borders and restor…</t>
  </si>
  <si>
    <t>RT @realDonaldTrump: Great @Cabinet meeting at the @WhiteHouse this morning! https://t.co/kzmfovwUeb https://t.co/7AgbwbFNuw</t>
  </si>
  <si>
    <t>RT @SpeakerTimJones: Using people as pawns? Leftwing liberals are pros. #gunsense #2A @jallman971 @971FMTalk  https://t.co/5PprF15pMz</t>
  </si>
  <si>
    <t>RT @Pantszilla77: @SpeakerTimJones The @stltoday is nothing but Opinion/Fiction/Hyperbole. More Marxists publishing fiction that makes them…</t>
  </si>
  <si>
    <t>RT @mfablipari: @AllmanReport With this evidence coming to light I don’t know how they can still have a trial...</t>
  </si>
  <si>
    <t>RT @SpeakerTimJones: WHAT?! (Part III) https://t.co/6QMGu8tu05</t>
  </si>
  <si>
    <t>@ThreeColumnsArt @SpeakerTimJones @jallman971 @971FMTalk @washingtonpost "threatening to sexually assault" give me a break. Liberals are such crybabies, especially liberal men. Also who are you gonna bully next and try to get fired? Get a life</t>
  </si>
  <si>
    <t>RT @SpeakerTimJones: THIS JUST IN: @jallman971 @971FMTalk loyal advertisers stepping up big time. They won’t be swayed by a ragtag group of…</t>
  </si>
  <si>
    <t>RT @SpeakerTimJones: After 16 months...time for the end of Mueller Mayhem. #Mueller https://t.co/HhaXNPgOwS</t>
  </si>
  <si>
    <t>RT @VisioDeiFromLA: 16. Basically just this:
Don’t look at this.
Look over there at that.
Simple, right?
As a linguist, let me tell you,…</t>
  </si>
  <si>
    <t>RT @VisioDeiFromLA: 15. Here’s how it works...
Trump just cured world peace! 
Media: World peace really isn’t the question, world peace i…</t>
  </si>
  <si>
    <t>RT @VisioDeiFromLA: 14. Anybody reading this. This is called “Another Outcome” Pattern. 
#moleg #mogov #greitens</t>
  </si>
  <si>
    <t>RT @VisioDeiFromLA: 13. Hey but don’t listen to me. I’m just a random nobody.</t>
  </si>
  <si>
    <t>RT @VisioDeiFromLA: 12. Truth would mean asking, perhaps, question you just asked, but also asking why an ex husband who claims to be prote…</t>
  </si>
  <si>
    <t>RT @VisioDeiFromLA: 11. @ChristopherAve you are “director.” Does that mean your purpose isn’t truth? 
What is @stltoday purpose? Truth or…</t>
  </si>
  <si>
    <t>RT @VisioDeiFromLA: 10. Why doesn’t anybody have to answer this? Why aren’t you raising this?
I think you would find less objections — and…</t>
  </si>
  <si>
    <t>RT @VisioDeiFromLA: 9. Like why this ex husband went to the media after 3 years, 30 days before statue of limitations runs out, and because…</t>
  </si>
  <si>
    <t>RT @VisioDeiFromLA: 8. Have you ever had a discussion on what the prosecution has to answer?
#MoLeg #greitens #mogov</t>
  </si>
  <si>
    <t>RT @VisioDeiFromLA: 7. It’s not UP TO YOU to ask that question. The prosecution asks. You report. 
It’s not up to you to decide what the d…</t>
  </si>
  <si>
    <t>RT @VisioDeiFromLA: 6. My question for you is @ChristopherAve is your tweet seems  like a trial lawyer pleading his case, not an objective…</t>
  </si>
  <si>
    <t>RT @VisioDeiFromLA: 4. Your asking a question to which you know the legal answer to. 
Setting aside all personal feelings on @EricGreitens…</t>
  </si>
  <si>
    <t>RT @VisioDeiFromLA: 3. So @ChristopherAve are you an actual reporter or a propagandist?
Very funny that @MissouriTimes and @JaneDueker and…</t>
  </si>
  <si>
    <t>RT @VisioDeiFromLA: 2. Simple yet highly effective. 
In this case Christopher is trying to use this pattern to plead the prosecutions case…</t>
  </si>
  <si>
    <t>RT @VisioDeiFromLA: 1. Why nobody trust the media 
In linguistics, we call this language pattern “Another outcome”.  In this case, the @st…</t>
  </si>
  <si>
    <t>RT @RealJamesWoods: Well, comedy. #Democrats https://t.co/esA9c64U0c</t>
  </si>
  <si>
    <t>RT @RealJamesWoods: I predict that @facebook will be studied in future business schools as the single greatest business catastrophe in Amer…</t>
  </si>
  <si>
    <t>RT @RealJamesWoods: Yes, and jobs are the greatest solution to virtually every problem faced by black and indeed all Americans. https://t.c…</t>
  </si>
  <si>
    <t>RT @RealJamesWoods: #DeleteFacebook if you don’t want all your phone contacts floating around cyberspace  https://t.co/gCNYa3urAH</t>
  </si>
  <si>
    <t>RT @RealJamesWoods: While #Facebook makes it extremely difficult to get their parasitic tendrils out of your life, it is possible to do it.…</t>
  </si>
  <si>
    <t>RT @RealJamesWoods: “In the most ridiculous and egregious example of overreach, the state legislature says it will arrest any waiter who gi…</t>
  </si>
  <si>
    <t>RT @RealJamesWoods: When you put people’s precious photos and private personal data on the auction block behind their backs every day, you’…</t>
  </si>
  <si>
    <t>RT @RealJamesWoods: If the Trumps were Democrats, Melania would be on every cover of every chic women’s magazine in the world every month.…</t>
  </si>
  <si>
    <t>RT @RealJamesWoods: You know who isn’t getting critical health care? Homeless American citizens and overwhelming numbers of American vetera…</t>
  </si>
  <si>
    <t>RT @magathemaga1: (29) You will remember that, in a complete departure from accepted practice, Circuit Attorney did not involve the police…</t>
  </si>
  <si>
    <t>RT @magathemaga1: @september_gurl @thehill @EricGreitens @tonymess @Hope4Hopeless1 @MSTLGA @DaynaGould @MOHouseGOP @Sticknstones4 @stlyrs @…</t>
  </si>
  <si>
    <t>RT @magathemaga1: (4) The full #DowdLetter from @EricGreitens lawyers can be found here: https://t.co/1FHFU6u8CZ
#Moleg #mogov #Missouri #…</t>
  </si>
  <si>
    <t>RT @magathemaga1: Given #SteveStenger has a horrible record for #stlouis county, he has now resorted to the race card.
This is what happen…</t>
  </si>
  <si>
    <t>RT @magathemaga1: (9) Notwithstanding the statute of limitations had at least 30 more days, the indictment was presented to the grand jury…</t>
  </si>
  <si>
    <t>RT @magathemaga1: (8) the St. Louis Metropolitan Police Department, the hiring of a “special” Assistant Circuit Attorney not licensed in Mi…</t>
  </si>
  <si>
    <t>RT @VisioDeiFromLA: Per the public reporting, Roy did help shop tape around, didn't he? 
Or was media lying about that?
I think you are j…</t>
  </si>
  <si>
    <t>RT @DeplorableGoldn: RT-ing 🚨 PLEASE??? I'm BEGGING for #WeThePeople to take the time to READ this LETTER to #Moleg that CLEARLY OUTLINES t…</t>
  </si>
  <si>
    <t>RT @magathemaga1: (13) The error in racing 2 indict this case was readily apparent when the 1st Assistant Circuit Attorney Steele admitted…</t>
  </si>
  <si>
    <t>RT @AllenTruitt1: Kim Gardner, the prosecutor who brought bogus charges by lying to the Grand Jury about #greitens has some shady associate…</t>
  </si>
  <si>
    <t>RT @magathemaga1: (15) Steele’s revelation was. The Circuit Attorney’s insistence on taking action based on self-imposed deadline resulted…</t>
  </si>
  <si>
    <t>RT @YearOfZero: @JW1057 @JohnLamping @EricGreitens @KMOV @LaurenTrager @sarahfenske @FOX2now @KurtEricksonPD @rxpatrick Don’t expect major…</t>
  </si>
  <si>
    <t>RT @Sticknstones4: Why Kim so shady ?
#missouri rep @paulcurtman filed a formal complaint with the Missouri Bar for the mishandling of the…</t>
  </si>
  <si>
    <t>RT @Sticknstones4: It’s a sham of a case 
Bar complaint
Liars 
Political operatives
Jealous ex husband 
A self proclaimed whore of an attor…</t>
  </si>
  <si>
    <t>RT @VisioDeiFromLA: You do realize @t_n_b7 that not one person on #Moleg who hates @EricGreitens can answer why if this Philip guy was so d…</t>
  </si>
  <si>
    <t>RT @SpeakerTimJones: Next up... "Assault Box Trucks!" Leftwing liberals are going to run out of things to boycott and ban.  Then they'll ac…</t>
  </si>
  <si>
    <t>RT @magathemaga1: (20) ... expectation, that her office would later uncover sufficient evidence 2 prove its case. There is no shame in conc…</t>
  </si>
  <si>
    <t>RT @magathemaga1: (18) I also want 2 note second critical admission made by the Circuit Attorney’s Office. In its supplemental memorandum i…</t>
  </si>
  <si>
    <t>RT @magathemaga1: (26) ... that, for example, he was under FBI investigation &amp;amp; lied to the FBI about being a bigamist. You will remember th…</t>
  </si>
  <si>
    <t>RT @magathemaga1: (23) ... the Governor will be found innocent. What we now wish to reiterate with the members of your committee are some o…</t>
  </si>
  <si>
    <t>RT @magathemaga1: (24) #1 Each day, new information comes to light and new lies are exposed. Just 48 hours ago, our team submitted a motion…</t>
  </si>
  <si>
    <t>RT @magathemaga1: (21) In over 40 years practicing as U.S. Attorney, as an Assistant U.S. Attorney, as Senator Danforth’s Deputy Special Co…</t>
  </si>
  <si>
    <t>RT @magathemaga1: (11) As details came out, this case only got stranger: the private investigator had been found to have violated Alabama l…</t>
  </si>
  <si>
    <t>RT @magathemaga1: (2) Contents:
✔️Contents of letter to @jaybarnes5 and @MOHouseGOP / @MOGOP_Chairman 
✔️Commentary on if it’s BS or if i…</t>
  </si>
  <si>
    <t>RT @magathemaga1: (17) ... the trial will have on ability 2 obtain a fair trial, we are concerned that self-imposed deadline set by the Hou…</t>
  </si>
  <si>
    <t>RT @magathemaga1: (1) The #DowdLetter from @EricGreitens lawyers
A thread on the #GreitensIndictment and specifically what the Dowd Letter…</t>
  </si>
  <si>
    <t>RT @magathemaga1: Another clip from @paulcurtman interview w/ @MarcCox971 on @971FMTalk 
Who is Ronald Sullivan &amp;amp; was there laws violated…</t>
  </si>
  <si>
    <t>RT @Sticknstones4: What is Stacey Newman’s role? She’s lashed out at Eric Greitens &amp;amp; now Sheena Greitens 
Has anyone investigated her ? #mo…</t>
  </si>
  <si>
    <t>RT @Sticknstones4: @SpeakerTimJones @staceynewman @jallman971 @971FMTalk She lashed out today at our awesome 1st lady @SheenaGreitens  why?…</t>
  </si>
  <si>
    <t>RT @magathemaga1: Dems going backwards...
Democrats 1923: KKK great! Prosecute black men 4 crimes they  didn't commit? Of course!
Democra…</t>
  </si>
  <si>
    <t>RT @VisioDeiFromLA: Notice how u and a few other people always push the same narrative when news against your manufactured narrative surfac…</t>
  </si>
  <si>
    <t>RT @VisioDeiFromLA: Twitter isn't real life. Leftists but also companies/organizations need 2 remember that. Most people not on twitter. Di…</t>
  </si>
  <si>
    <t>RT @magathemaga1: Just a reminder #moleg ... some very bad people are trying to abandon due process &amp;amp; justice and convict @EricGreitens bef…</t>
  </si>
  <si>
    <t>RT @VisioDeiFromLA: @ScottCharton if the prosecution can prove beyond a reasonable doubt that @EricGreitens is guilty (and the indictment w…</t>
  </si>
  <si>
    <t>RT @HotPokerPrinces: @midwestman9 Some big guy out of Columbia sprinkles money to everyone in #moleg  so he can keep making a nice living a…</t>
  </si>
  <si>
    <t>RT @magathemaga1: Stand strong against the witch hunt fellow patriot 
There will be more. Remember, the ruling class in this country treat…</t>
  </si>
  <si>
    <t>RT @TomJEstes: Add this to the long list of reasons why #schoolchoice is so important. #moleg https://t.co/XFyg472OTN</t>
  </si>
  <si>
    <t>RT @Sticknstones4: @KCStar Dowd letter is enlightening to all the inconsistencies in this sham of a witch hunt , kangaroo court, &amp;amp; procescu…</t>
  </si>
  <si>
    <t>RT @Hope4Hopeless1: PLEASE??? I'm BEGGING for #WeThePeople to take the time to READ this LETTER to #Moleg that CLEARLY OUTLINES the #DeepSt…</t>
  </si>
  <si>
    <t>RT @SorosInSTL: DOWD LETTER 2 Barnes UNACCEPTABLE. 😡😡🤬🤬
How DARE THEY question glaring holes &amp;amp; shadiness of the #greitensindictment !!!
W…</t>
  </si>
  <si>
    <t>RT @Sticknstones4: 🚨BREAKING  #Greitens Attorney Ed Dowd letter to Chairman Jay Barnes 
Well #moleg  what do you have to say ?
#kimshady…</t>
  </si>
  <si>
    <t>RT @kendylei: @magathemaga1 @EricGreitens @DRUDGE @DailyCaller @TuckerCarlson @gatewaypundit Good question. @TuckerCarlson ,  please help u…</t>
  </si>
  <si>
    <t>RT @AllenTruitt1: How can we, as Americans, allow this kind of misuse of our Justice system? Allowing political rivals to finance an invest…</t>
  </si>
  <si>
    <t>RT @Sticknstones4: EXCLUSIVE: Whistleblower Claims STL Circuit Attorney Under FBI Investigation https://t.co/0OxCQIyF6M</t>
  </si>
  <si>
    <t>RT @Sticknstones4: Audio: Rep. Curtman Complaint Against Kim Gardner https://t.co/XZQCi09Mj9</t>
  </si>
  <si>
    <t>RT @Sticknstones4: Michigan Firm Hired By Kim Gardner Owes Back Taxes; Delinquent On Corporate Filings https://t.co/txJELWZDgs</t>
  </si>
  <si>
    <t>RT @JohnLamping: Greitens filing suggests accuser was paid.   No way!! No one thinks the husband was paid, no way...paid?? No way.  https:/…</t>
  </si>
  <si>
    <t>RT @Sticknstones4: @NewsTribune @EricGreitens So Many developments coming to light in greitens
1-Stl circuit attorney has a mo bar complain…</t>
  </si>
  <si>
    <t>RT @VisioDeiFromLA: @roykasten @magathemaga1 @SpeakerTimJones @staceynewman @jallman971 @EricGreitens @RiverfrontTimes @paulcurtman @sarahf…</t>
  </si>
  <si>
    <t>RT @gagemitchusson: The accusations against our governor, @EricGreitens, are completely unfounded. He is being charged with a crime with ze…</t>
  </si>
  <si>
    <t>RT @Str8DonLemon: #moleg #greitensindictment #greitens #MoGov 
@EricGreitens @GovGreitens6 @MissouriGOP https://t.co/97hgRtJRVi</t>
  </si>
  <si>
    <t>RT @Sticknstones4: https://t.co/0OxCQIyF6M
#moleg #stlouis #CORRUPTION #lydakrewson #kimgardner #kimshady #greitensindictment #missouri #f…</t>
  </si>
  <si>
    <t>RT @VisioDeiFromLA: Remember @JaneDueker @ScottCharton @scottfaughn JUSTICE isn't just the guilty getting what is coming 2 them
It also me…</t>
  </si>
  <si>
    <t>RT @VisioDeiFromLA: From Dowd Letter that @EricGreitens team released 2 public:
According 2 KG, FBI declined to investigate her request. H…</t>
  </si>
  <si>
    <t>RT @VisioDeiFromLA: From Dowd Letter @EricGreitens team released:
Watkins said FBI investigating matter since Oct 2016. He also claimed it…</t>
  </si>
  <si>
    <t>RT @VisioDeiFromLA: @Blackboxhalo @BryanLowry3 Yup. I wonder how long Kansas City Star has been sitting on this story. Meanwhile they aren’…</t>
  </si>
  <si>
    <t>RT @VisioDeiFromLA: "To be normal American is 2 constantly be scolded, 2 be lectured, 2 be treated as a HICK in need of guidance by urban e…</t>
  </si>
  <si>
    <t>RT @VisioDeiFromLA: If I read it differently than you, &amp;amp; you don't think there is any good legal points made,  explain. I'm open to being w…</t>
  </si>
  <si>
    <t>RT @VisioDeiFromLA: If u hate @EricGreitens that's one thing, but last I checked we still have a presumption of innocence in this country,…</t>
  </si>
  <si>
    <t>RT @AllenTruitt1: #moleg
#mosen
@MOHouseGOP 
Well, did Democrat operative pay people to bring case against #greitens ? https://t.co/v8HmylF…</t>
  </si>
  <si>
    <t>RT @VisioDeiFromLA: 🔸️Conservatives think liberals have bad ideas, but are good people.
🔸️Liberals think they are better than you &amp;amp; that y…</t>
  </si>
  <si>
    <t>RT @VisioDeiFromLA: From Dowd Letter that @EricGreitens team released 2 public:
KG avoided use of SLMPD in favor of Michigan based LLC, En…</t>
  </si>
  <si>
    <t>RT @SorosInSTL: DOWD LETTER to Barnes is UNACCEPTABLE. 😡😡🤬🤬
How dare they question glaring holes &amp;amp; shadiness of the #greitensindictment !!…</t>
  </si>
  <si>
    <t>RT @JW1057: @Str8DonLemon @RandiNaughton @PERTZFOX @971FMTalk @MissouriTimes @chrisregniertv @stltoday @MarkReardonKMOX @LydaKrewson @Aliss…</t>
  </si>
  <si>
    <t>RT @kendylei: What’s been done to Greitens is a disgusting attack by a corrupt prosecutor Kim shady and her office.  Gov. Greiten is the on…</t>
  </si>
  <si>
    <t>RT @kendylei: Greitens' defense questions if accuser was paid; Dem official slams 'absurd, disgusting attack'
(Via KMOV News) https://t.co…</t>
  </si>
  <si>
    <t>RT @VisioDeiFromLA: As soon as the #DowdLetter was released, you, @JaneDueker and @scottfaughn came out with the same anti @ericgreitens sc…</t>
  </si>
  <si>
    <t>RT @VisioDeiFromLA: #moleg #Greitens #MOGOV https://t.co/JiCJKSE4nQ</t>
  </si>
  <si>
    <t>RT @VisioDeiFromLA: @TylerJoCollins @tonymess @stlpolitics @rep_joe_smith @lslay Hope so? The media reports cited that that ex husband shop…</t>
  </si>
  <si>
    <t>RT @magathemaga1: 🚨 #Greitens UPDATE 🚨 
Accuser of @EricGreitens STALKED SHEENA GREITENS
Jealous Ex Husband reportedly even went after Sh…</t>
  </si>
  <si>
    <t>RT @SpeakerTimJones: Still awaiting @staceynewman protest re: nearly 50 London deaths this yr from Assault Knives. London (no legal guns) n…</t>
  </si>
  <si>
    <t>RT @TomJEstes: The church of liberalism is backwards and harmful. It seeks to kill the unborn and strip rights from it’s devotees. The true…</t>
  </si>
  <si>
    <t>RT @magathemaga1: #2nd amendment explained to #MoLeg and #KsLeg by Lion @tedcruz 
Seeing lot of misinformed gun rants so figured I post a…</t>
  </si>
  <si>
    <t>RT @SpeakerTimJones: THIS is today’s Liberal Leftwing! @DNC #MOLeg https://t.co/iLMIyYNP6E</t>
  </si>
  <si>
    <t>RT @TomJEstes: cc: @MomsDemand #moleg https://t.co/k7YvTvusNo</t>
  </si>
  <si>
    <t>RT @VisioDeiFromLA: Everybody that goes against “the narrative” is a Russian bot.
The emotional child’s guide to online political debate.…</t>
  </si>
  <si>
    <t>RT @VisioDeiFromLA: @jdavidsonlawyer @roykasten @magathemaga1 @SpeakerTimJones @staceynewman @jallman971 @EricGreitens @RiverfrontTimes @pa…</t>
  </si>
  <si>
    <t>RT @magathemaga1: @mamasden @john_iamme @ChuckBaker1 @SpeakerTimJones @staceynewman @jallman971 2nd amendment is merely a security on that…</t>
  </si>
  <si>
    <t>RT @magathemaga1: 🚨 #MoLeg #MoSen #STL🚨 
We STAND with Black America &amp;amp; Black MISSOURIANS &amp;amp; SUPPORT their GOD GIVEN RIGHT 2 Guns!
Democrat…</t>
  </si>
  <si>
    <t>RT @JW1057: @VisioDeiFromLA @Sticknstones4 @LaurenTrager @jallman971 
Philip Sneed stalked @SheenaGreitens. Put Phil in prison
https://t.…</t>
  </si>
  <si>
    <t>RT @Sticknstones4: 🚨Breaking   Governor Greitens Wife &amp;amp; her family were stalked by the jealous ex husband prior to him being elected 
Why…</t>
  </si>
  <si>
    <t>RT @TuckerCarlson: By now you likely understand that the Russia hysteria is fundamentally dishonest. It's propaganda, just like most things…</t>
  </si>
  <si>
    <t>RT @VisioDeiFromLA: @roykasten @magathemaga1 @SpeakerTimJones @staceynewman @jallman971 @EricGreitens @RiverfrontTimes @paulcurtman 4th, ev…</t>
  </si>
  <si>
    <t>RT @magathemaga1: @roykasten @SpeakerTimJones @staceynewman @jallman971 It’s an allegorical reference idiot. And do you even have the full…</t>
  </si>
  <si>
    <t>RT @VisioDeiFromLA: @roykasten @magathemaga1 @SpeakerTimJones @staceynewman @jallman971 @EricGreitens @RiverfrontTimes @paulcurtman 2nd, it…</t>
  </si>
  <si>
    <t>RT @VisioDeiFromLA: @roykasten @magathemaga1 @SpeakerTimJones @staceynewman @jallman971 @EricGreitens @RiverfrontTimes @paulcurtman First,…</t>
  </si>
  <si>
    <t>RT @Sticknstones4: @JackSuntrup @stltoday The taxpayers are footing the bill for kim Gardner’s outsourcing in the prosecution , than using…</t>
  </si>
  <si>
    <t>RT @magathemaga1: ⚡️Call (573) 751-2000 ⚡️
TELL #MoLeg U WILL NOT tolerate witch hunt against #Greitens by shady STL prosecutor!
✔️0 prob…</t>
  </si>
  <si>
    <t>RT @JW1057: @TeamGreitens @LaurenTrager @SpeakerTimJones @AllmanReport @rossgarber @Sticknstones4 @VisioDeiFromLA 
See following Tweets -…</t>
  </si>
  <si>
    <t>RT @Sticknstones4: Now political operatives like Stacey newman are trying to silence the #truth from being reported</t>
  </si>
  <si>
    <t>RT @Sticknstones4: @ksdk @kmov @FOX2now @stltoday @kcstar @kmoxnews  NONE of them reported the true story that professional complaint was f…</t>
  </si>
  <si>
    <t>RT @Sticknstones4: 🚨Ask yourselves why today is @jallman971 getting backlash for a tweet made on 3-26-18 ? 
On 4-4-18 he aired an intervie…</t>
  </si>
  <si>
    <t>RT @ARmastrangelo: BREAKING: German police confirm that several people have been killed after vehicle plowed into crowd in Muenster, German…</t>
  </si>
  <si>
    <t>RT @yogicattention: . Boulder city council held a hearing last night on an ordinance that outlaws ALL semi-automatic firearms, including yo…</t>
  </si>
  <si>
    <t>Yo @parscale I'm still Shadow banned and I did nothing wrong! Can you help???
@TwitterSupport</t>
  </si>
  <si>
    <t>RT @JudicialWatch: Important: There are new reports that dozens of House Dems waived background checks on House I.T. aides, the #Awans. JW…</t>
  </si>
  <si>
    <t>RT @gmay30: @JudicialWatch Wow and just imagine the current administration accused of using a foreign government (hostile) to get data on A…</t>
  </si>
  <si>
    <t>RT @Thomas1774Paine: Did Jimmy Kimmel Pay Hush Money to Female Victim Who Claimed Snoop Dogg Gang Raped Her Backstage? https://t.co/g6pWs8J…</t>
  </si>
  <si>
    <t>RT @Education4Libs: Jay Z recently said “we have to talk about why white men are so privileged in this country”.
Maybe we should talk abou…</t>
  </si>
  <si>
    <t>RT @curtis_bobb: Wow, just UNBELIEVABLE the extent these traitors went to undermine our election of @realDonaldTrump as @POTUS
They ALL nee…</t>
  </si>
  <si>
    <t>RT @gocrazy4cards: @ArchiJeff What's wrong with this? Have you been castrated, man? We used to have gun safety classes at school! More guns…</t>
  </si>
  <si>
    <t>RT @Sticknstones4: @RiverfrontTimes https://t.co/az98su3RQ8</t>
  </si>
  <si>
    <t>RT @magathemaga1: @Sticknstones4 @roykasten @RiverfrontTimes This is all about going after conservatives news sources. Look how they are al…</t>
  </si>
  <si>
    <t>RT @gocrazy4cards: People getting killed on the STREETS
Stacey Newman Worrying about "TWEETS"
Tax Payers feeling HEAT
Politican abandoning…</t>
  </si>
  <si>
    <t>RT @VisioDeiFromLA: @roykasten @magathemaga1 @SpeakerTimJones @staceynewman @jallman971 @EricGreitens @RiverfrontTimes @paulcurtman Just as…</t>
  </si>
  <si>
    <t>RT @VisioDeiFromLA: @roykasten @magathemaga1 @SpeakerTimJones @staceynewman @jallman971 @EricGreitens @RiverfrontTimes @paulcurtman Hey @ro…</t>
  </si>
  <si>
    <t>RT @VisioDeiFromLA: @roykasten @magathemaga1 @SpeakerTimJones @staceynewman @jallman971 @EricGreitens @RiverfrontTimes @paulcurtman 2) this…</t>
  </si>
  <si>
    <t>RT @VisioDeiFromLA: @roykasten @magathemaga1 @SpeakerTimJones @staceynewman @jallman971 @EricGreitens @RiverfrontTimes @paulcurtman Yeah —…</t>
  </si>
  <si>
    <t>RT @VisioDeiFromLA: @roykasten @magathemaga1 @SpeakerTimJones @staceynewman @jallman971 @EricGreitens @RiverfrontTimes Forget this stupid t…</t>
  </si>
  <si>
    <t>RT @VisioDeiFromLA: @roykasten @magathemaga1 @SpeakerTimJones @staceynewman @jallman971 @EricGreitens Oh yeah, you work at @RiverfrontTimes…</t>
  </si>
  <si>
    <t>RT @VisioDeiFromLA: @roykasten @magathemaga1 @SpeakerTimJones @staceynewman @jallman971 @EricGreitens I bring up this point is @jallman971…</t>
  </si>
  <si>
    <t>RT @VisioDeiFromLA: @roykasten @magathemaga1 @SpeakerTimJones @staceynewman @jallman971 have to chime in. @staceynewman — the person who br…</t>
  </si>
  <si>
    <t>RT @TomJEstes: Everyone who is pro partial birth abortion and pro gun confiscation should vote for her. #sd17 #moleg https://t.co/jxsRhwwrzo</t>
  </si>
  <si>
    <t>RT @DeplorableGoldn: 💣EXCLUSIVE: Whistleblower Claims STL Circuit Attorney Under FBI Investigation💣
#moleg #mogov #Greitens 
https://t.co…</t>
  </si>
  <si>
    <t>RT @VisioDeiFromLA: #MoLeg #Greitens 
Interesting read. Again more proof that the media isn’t telling the full story ... 
#MoGov https://…</t>
  </si>
  <si>
    <t>RT @Sticknstones4: The #truth  #moleg #istandwithallman #IStandWithLauraIngraham https://t.co/vn8yGiPyrP</t>
  </si>
  <si>
    <t>RT @magathemaga1: @ChristopherAve @kevinmcdermott @stltoday You do know Christopher that the accuser was the ex husband and not the woman.…</t>
  </si>
  <si>
    <t>RT @Sticknstones4: @ES03784893 @chadlybrown @WeAreSinclair @KDNLABC30 @jallman971 This is the same #moleg that did nothing when @MariaChapp…</t>
  </si>
  <si>
    <t>RT @JW1057: Does anyone have Sullivans motion to appear pro hac vice filed on 3/5? If so, please post it. Thanks.
#MoLeg #Greitens</t>
  </si>
  <si>
    <t>RT @VisioDeiFromLA: @christoferguson Help me remember correctly? Didn’t he have a good shot at being the next governor before the untimely…</t>
  </si>
  <si>
    <t>RT @magathemaga1: @Robzeeroo @Perafunk @SpeakerTimJones @staceynewman @jallman971 Also twitter isn’t real life. Do you have the full contex…</t>
  </si>
  <si>
    <t>RT @JW1057: @TeamGreitens @EricGreitens @KMOV @LaurenTrager Phil/Watkins team lied again. Re Eric allegedly slapping KS while Sheena gave b…</t>
  </si>
  <si>
    <t>RT @magathemaga1: @SweetSpicyHoney @AllmanReport @jallman971 @paulcurtman @Hope4Hopeless1 @MOHouseGOP @Sticknstones4 @Cernovich @ninekiller…</t>
  </si>
  <si>
    <t>RT @DeplorableGoldn: RT-ing 🚨
🚨Can somebody DM a list of the developers that benefited the most from #missouri state tax credits ? ⚖️
Whos…</t>
  </si>
  <si>
    <t>RT @magathemaga1: @sarahfelts This isn’t victim smearing. You do know that the Phil guy probably got paid by KMOV which means money possibl…</t>
  </si>
  <si>
    <t>RT @DeplorableGoldn: 💣The Eric Greitens Prosecutor Must Be Held Accountable for Blatant Lies in This Case💣
#moleg
#Mogov 
#Greitens 
http…</t>
  </si>
  <si>
    <t>RT @Sticknstones4: @stltoday @STLCrimeBeat Screw 🔩all of this nonsense #greitens can hire whoever he wants.  Y’all let kim Gardner outsourc…</t>
  </si>
  <si>
    <t>RT @TomJEstes: The @NRA kills no one ever and they’re called a terrorist organization. @PPact proudly kills millions and libs celebrate the…</t>
  </si>
  <si>
    <t>RT @magathemaga1: @Jemsinger @EricGreitens Fair question to ask, isn’t it? The ex husband was shopping this around. Most likely got paid fr…</t>
  </si>
  <si>
    <t>RT @YearOfZero: Don’t U have anything better to do? U getting paid our tax dollars to focus on people’s work not harass @jallman971 
kid g…</t>
  </si>
  <si>
    <t>RT @TomJEstes: If you don’t know that Missouri is overwhelmingly pro 2nd amendment, then you’re living in a Leftist bubble. #moleg https://…</t>
  </si>
  <si>
    <t>RT @Sticknstones4: 🚨💥BREAKING 💥🚨
“a law enforcement whistleblower apparently came forward with the news that the Circuit Attorney that is…</t>
  </si>
  <si>
    <t>RT @Sticknstones4: @NSFMill Temple has also assisted with crisis communications, including for natural disasters, plane crashes, recount li…</t>
  </si>
  <si>
    <t>RT @SpeakerTimJones: That's ANOTHER great question for "Stacy #MeToo Newman"!  Where's all the pink hat police and all that jazz?  Grossly…</t>
  </si>
  <si>
    <t>RT @YearOfZero: @PhyllisMarion7 @SpeakerTimJones @Sticknstones4 @staceynewman @jallman971 @971FMTalk Is he an adult or a child? If he’s an…</t>
  </si>
  <si>
    <t>RT @magathemaga1: 🚨 #moleg #mogov #greitens #greitensindictment 🚨 
Wonder what this is all about????
@jallman971 @SpeakerTimJones https:/…</t>
  </si>
  <si>
    <t>RT @SpeakerTimJones: Hey Tweeps! @staceynewman - one of the most mean spirited leftwing liberal lunatics I ever had the displeasure of serv…</t>
  </si>
  <si>
    <t>RT @magathemaga1: “...seeking 2 question Temple on whether he paid woman in case, her ex-husband or the ex-husband’s attorney.” 
Legit que…</t>
  </si>
  <si>
    <t>RT @SpeakerTimJones: Stacey only cares about violence &amp;amp; tragedy when she can weaponize for her insane, Constitution trampling, gun grabbing…</t>
  </si>
  <si>
    <t>RT @magathemaga1: @KurtEricksonPD @stltoday The real question is, how much did KMOV pay which thus presupposes that money was motivating fa…</t>
  </si>
  <si>
    <t>RT @magathemaga1: Happy Friday 2 all but Liberal Media!
#GreitensIndictment Facts:
✔️Media out 2 convict not Report 
✔️Consensual Affair…</t>
  </si>
  <si>
    <t>RT @DeplorableGoldn: RT-ing 🚨
Hey Tweeps! @staceynewman - one of the most mean spirited leftwing liberal lunatics I ever had the displeasur…</t>
  </si>
  <si>
    <t>RT @SpeakerTimJones: @staceynewman snowflake offended by allegorical “hot poker” reference but not at all offended by real life fanatical s…</t>
  </si>
  <si>
    <t>RT @JW1057: @LaurenTrager @VisioDeiFromLA @Sticknstones4 @SpeakerTimJones @KurtEricksonPD 
#GreitensIndictment #greitens #moleg #kimshady…</t>
  </si>
  <si>
    <t>RT @KMOV: Gov. Greitens' legal teams to question former Democratic leader https://t.co/g7C7Gf4sxG https://t.co/aqvRQ5ELVm</t>
  </si>
  <si>
    <t>RT @grcfay: This farce has to stop. #moleg https://t.co/eavGgFXhDT</t>
  </si>
  <si>
    <t>RT @magathemaga1: @rbranin421 @jzikah @MomsDemand Our rights COME from our creator. NATURAL LAW. That can be god, nature, whatever you want…</t>
  </si>
  <si>
    <t>RT @magathemaga1: @rbranin421 @jzikah @MomsDemand “We are endowed by our creator with certain INALIENABLE rights ...”
Remember. The govern…</t>
  </si>
  <si>
    <t>RT @magathemaga1: @rbranin421 @jzikah @MomsDemand You also should be the one to go study what the purpose of the constitution is. It’s a ve…</t>
  </si>
  <si>
    <t>RT @magathemaga1: @rbranin421 @jzikah @MomsDemand We also have the god given right (our creator) to overthrow government should tyranny ret…</t>
  </si>
  <si>
    <t>RT @SpeakerTimJones: Now THIS is what you call #gunsense - #2A #MOLeg https://t.co/rQ9G0BCPDn</t>
  </si>
  <si>
    <t>RT @VisioDeiFromLA: @Sticknstones4 Has this been confirmed? I posted this with a question mark? Curious if we can get a confirmation or not…</t>
  </si>
  <si>
    <t>RT @magathemaga1: Where is this focus on Kim Gardner then? Good lord this is why nobody in the state trusts  @stltoday 
Sorry but I have n…</t>
  </si>
  <si>
    <t>RT @VisioDeiFromLA: @rbranin421 @magathemaga1 @jzikah @MomsDemand The constitution doesn’t grant us our rights. It SECURES them. You don’t…</t>
  </si>
  <si>
    <t>RT @VisioDeiFromLA: @rbranin421 @magathemaga1 @jzikah @MomsDemand Oh god I deleted my comment because I didn’t want my notifications going…</t>
  </si>
  <si>
    <t>RT @ClintonMSix14: This is Emily. Emily wants to play women's AFL. Emily is a victim of society biased gender stereotyping.
#JusticeForEmi…</t>
  </si>
  <si>
    <t>RT @Dogman1013: I took all Google anything off all my devices. Search engine I use is DuckDuckGo. https://t.co/DlOd2k7QAy</t>
  </si>
  <si>
    <t>RT @ClintonMSix14: "Now remember guys
all this is invalid if kids start crying on T.V."
- George Washington https://t.co/wWNE6dAv7V</t>
  </si>
  <si>
    <t>RT @VisioDeiFromLA: “UPDATE: This morning, a law enforcement whistleblower ... came forward (with) news that the (CA) that is the subject o…</t>
  </si>
  <si>
    <t>RT @Str8DonLemon: Man u are one committed troop to the cause. Do you just hate @EricGreitens that much or do you get paid by a rich benefic…</t>
  </si>
  <si>
    <t>RT @TroyCoby: Devin Nunes Demands the FBI Document that Started the Trump-Russia Probe https://t.co/7OakT3ByQR</t>
  </si>
  <si>
    <t>RT @ZoellickJudy: And if that isn’t bad enough...Jeff Sessions isn’t stopping them! https://t.co/tI5X38298m</t>
  </si>
  <si>
    <t>RT @keramirez: God Bless U, @MayorSamAbed 
U Are A True Patriot For Fighting To Uphold The Constitution&amp;amp;To Keep Residents Of Escondido Saf…</t>
  </si>
  <si>
    <t>RT @AriFleischer: If a Republican Senator made a similar joke about President Obama, the press would hammer him or her for days, until they…</t>
  </si>
  <si>
    <t>RT @KamelaHarrisPAC: Dirty cop Mueller is doing a great job.
Soon he will have charge every American who voted  for Trump with Russian coll…</t>
  </si>
  <si>
    <t>RT @MZHemingway: I’m shocked, shocked to learn Fusion GPS mouthpiece Natasha Bertrand messed up another story on Russia https://t.co/TZC3Yj…</t>
  </si>
  <si>
    <t>Lol she blocked me when I told her I knew somebody at Hamilton 68 and the position they claimed to have had in gov was a total let... Oopsie. Did I say too much 😝 https://t.co/EAI2U5QgEo</t>
  </si>
  <si>
    <t>RT @MissouriGOP: .@EricGreitens took aim at burdensome government regulations in MO. Why? Because we should be free to live and work - not…</t>
  </si>
  <si>
    <t>@gunsensemo1 @TomJEstes @CoMo_kristin @NRA What laws are you proposing?</t>
  </si>
  <si>
    <t>RT @TomJEstes: @CoMo_kristin @NRA Absurd. I have never seen an @NRA lobbyist. They don’t call us. They don’t use any of the tactics used by…</t>
  </si>
  <si>
    <t>RT @magathemaga1: @SuchHate The best part is how when you ask them questions on here and they tell you to pay for a subscription so they ca…</t>
  </si>
  <si>
    <t>RT @VisioDeiFromLA: #MoLeg #greitens #mogov 
So the judge is questionable????? 
@EricGreitens @joelpollak @SpeakerTimJones @CStamper_ htt…</t>
  </si>
  <si>
    <t>RT @VisioDeiFromLA: #StopTheInvasion 
#MoSen
#MoGov
#KsLeg
#MoLeg
@realDonaldTrump @parscale https://t.co/IsOnbu7XOi</t>
  </si>
  <si>
    <t>@ArchiJeff Try gowdy is a loser</t>
  </si>
  <si>
    <t>Man u are one committed troop to the cause. Do you just hate @EricGreitens that much or do you get paid by a rich beneficiary because you are very committed to abandoning the presumption of innocence and taking this man down? Isn't innocent until proven guilty a thing?
#moleg https://t.co/Pz4vZ7ubwQ</t>
  </si>
  <si>
    <t>RT @DeplorableGoldn: Please RT and share 💣
#moleg #mogov #greitensindictment #Greitens https://t.co/ik6K9H2CR9</t>
  </si>
  <si>
    <t>RT @DeplorableGoldn: RT #moleg #mogov #Greitens https://t.co/AZQz61nVhB</t>
  </si>
  <si>
    <t>@KamelaHarrisPAC @tonymess @MomsDemand Indeed #moleg</t>
  </si>
  <si>
    <t>RT @magathemaga1: @HappyOldSoul @tonymess @StormofSteel99 @MomsDemand Fun fact: did you know that boys without fathers are 30 times more li…</t>
  </si>
  <si>
    <t>RT @magathemaga1: @HappyOldSoul @tonymess @StormofSteel99 @MomsDemand What exactly is the states goal here? “Common sense gun control”
We…</t>
  </si>
  <si>
    <t>RT @magathemaga1: @HappyOldSoul @tonymess @StormofSteel99 @MomsDemand Want examples of all the people calling for a repeal of the 2nd amend…</t>
  </si>
  <si>
    <t>RT @magathemaga1: @HappyOldSoul @tonymess @StormofSteel99 @MomsDemand Let’s be real. The Democratic Party wants to confiscate your guns. Be…</t>
  </si>
  <si>
    <t>RT @magathemaga1: @HappyOldSoul @tonymess @StormofSteel99 @MomsDemand OPs point is—u should care. People who know nothing about guns or our…</t>
  </si>
  <si>
    <t>@philip_saulter @jzikah @magathemaga1 @tonymess @MomsDemand Lol. Can't argue a point. Call him a Bot! Wherez Mueller ! #MoLeg https://t.co/uFnxI8wllv</t>
  </si>
  <si>
    <t>RT @philip_saulter: @rbrittbuckon @tonymess @queridalink @MomsDemand You realize you are the minority here Right? If you don't like our cul…</t>
  </si>
  <si>
    <t>RT @magathemaga1: @jzikah @tonymess @MomsDemand Reponsible gun owners know we don’t have a gun problem. We have a people problem. We have a…</t>
  </si>
  <si>
    <t>@philip_saulter @egreynol @magathemaga1 @tonymess @shannonrwatts @MomsDemand @NRA The vast majority don't support that. That's just a talking point. Further, you claim they want something and then go on to insult them in the same sentence</t>
  </si>
  <si>
    <t>RT @magathemaga1: @egreynol @tonymess @shannonrwatts @MomsDemand Do you even know what the @nra is? It’s made up of Americans and lobbies o…</t>
  </si>
  <si>
    <t>RT @Blackboxhalo: @tonymess @MomsDemand Understand that the 2nd amendment protects all freedoms.</t>
  </si>
  <si>
    <t>RT @magathemaga1: @Blackboxhalo @tonymess @MomsDemand #moleg https://t.co/9b2crL3vve</t>
  </si>
  <si>
    <t>@jrosenbaum Janet supports illegal immigration and foreign citizens over Americans citizens #moleg</t>
  </si>
  <si>
    <t>@Sticknstones4 Good luck getting anybody to answer this. Id say look at Columbia or ozark area if I had to guess #moleg</t>
  </si>
  <si>
    <t>RT @Sticknstones4: 🚨good read📰 on Missouri Tax credits 💸💰🤑
A group of financiers and developers has fended off changes and appears poised…</t>
  </si>
  <si>
    <t>RT @Sticknstones4: @stltoday How come nobody has done a story on the angry developers that lined their pockets with the tax credits for yea…</t>
  </si>
  <si>
    <t>RT @Sticknstones4: @carlson75111 @CStamper_ The case is so bad , the prosecutors actions seem unethical &amp;amp; cost the tax payers is unwarrante…</t>
  </si>
  <si>
    <t>RT @Sticknstones4: @NSFMill @CStamper_ @stltoday @paulcurtman The only fear in this whole circus act 🤡🎪 is 2 entities
👨🏻‍🔧👨‍💼👨🏼‍💼👷🏼‍♂️ The…</t>
  </si>
  <si>
    <t>RT @Sticknstones4: 2) who are these developers that keep robbing Missourians &amp;amp; manipulating our elected officials ?
👨🏼‍💼👷🏼‍♂️👨🏻‍💼👨🏻‍🔧  
N…</t>
  </si>
  <si>
    <t>RT @Sticknstones4: @CStamper_ I’m going gray waiting for the @stltoday to report on the bar complaint filed by #missouri state rep @paulcur…</t>
  </si>
  <si>
    <t>RT @VisioDeiFromLA: @ES03784893 @tmservo433 Again i ask—how do you track something if it isn’t documented? So let’s assume there are 5 mill…</t>
  </si>
  <si>
    <t>RT @Sticknstones4: 🚨Can somebody DM a list of the developers that benefited the most from #missouri state tax credits ? ⚖️
Whose pockets 🤑…</t>
  </si>
  <si>
    <t>RT @magathemaga1: @HappyOldSoul @tonymess @StormofSteel99 @MomsDemand larger crowds at the shot show and gun sales all the time. Have you e…</t>
  </si>
  <si>
    <t>RT @Pellegrino1791: A good guy with a gun stopped a bad guy with a gun in #StLouis
@DLoesch @ChrisLoesch #2A 
https://t.co/51L5Be9NGw</t>
  </si>
  <si>
    <t>@AlreadyTooRich @Barnes_Law Buy guns. 1776</t>
  </si>
  <si>
    <t>RT @jitotweets: @Barnes_Law when the GOP has a populist twist, i.e. Reagan and Trump, they see great success. The GOP elite/establishment h…</t>
  </si>
  <si>
    <t>RT @Leeward411: @Barnes_Law For me, I learned at the proverbial feet of the Master - “el Rushbo”. Without @rushlimbaugh, the post-Reagan ye…</t>
  </si>
  <si>
    <t>RT @Barnes_Law: The modern elite conservative grew up with Republicanism defined by the Bushes, McCains, Doles, Ryans &amp;amp; Romneys. What they…</t>
  </si>
  <si>
    <t>RT @theocstylist: @usweekly Cross the line, by saying other ethnicities are just like "white" American families? NO! Coming from a mixed, I…</t>
  </si>
  <si>
    <t>RT @rockfan95: @usweekly This response is exactly what got her 23 million viewers on opening episode and 15 million on the second. So, how…</t>
  </si>
  <si>
    <t>@NoMoSocialism75 @AP4Liberty Not bad for an Austin Ninja. 
Still not on my meme Lord level but not bad grasshopper
#mosen https://t.co/owQGJbd0r1</t>
  </si>
  <si>
    <t>RT @magathemaga1: ⚡️Call (573) 751-2000 ⚡️
TELL #MoLeg U WILL NOT tolerate witch hunt against #Greitens by shady STL  prosecutor!
✔️0 pro…</t>
  </si>
  <si>
    <t>RT @dareandconquer: Turmoil and hard times, teach you to be appreciative of the good times.
If you always avoid hardships, your life will…</t>
  </si>
  <si>
    <t>RT @IllimitableMan: The absence of gratitude creates a brat.</t>
  </si>
  <si>
    <t>@jezebelly1 @JackSuntrup @stltoday Maybe he knows the press won't treat him fairly which they won't ...</t>
  </si>
  <si>
    <t>RT @DeplorableSunny: I don't hear you complaining about Kim Gardner using taxpayer money to hire an investigator/attorney/law professor Ron…</t>
  </si>
  <si>
    <t>RT @JackPosobiec: Update: She is a Planned Parenthood adviser https://t.co/UrZprY0YJT</t>
  </si>
  <si>
    <t>RT @Thomas1774Paine: Threatening to kill the President and top United States officials is such the rage on the elite cocktail party circuit…</t>
  </si>
  <si>
    <t>RT @cs0058sc: ♦️🕛PLEASE Vote for DANNY TARKANIAN🕛♦️
    US Congress Nevada CD03 #NV03
      Primary June 12
♦️ #Prolife
♦️ #DefundPP
♦️ #R…</t>
  </si>
  <si>
    <t>RT @ShowboatBob: #BobsTrumpTrain
@ShowboatBob
@catdogma
@thunderbayrules
@jrb_ever
@lisastringer67
@joe56odad
@SylvieLeBr
@Jonfbjr
@Clark51…</t>
  </si>
  <si>
    <t>RT @DailyCaller: Trump: Women Are Getting Raped ‘At Levels Never Seen Before’ During Border Crossings https://t.co/l9GBu3FubA https://t.co/…</t>
  </si>
  <si>
    <t>RT @RyanJensen2018: RT to thank all the brave men and women that are fighting for our liberties  and freedoms against tyranny all over the…</t>
  </si>
  <si>
    <t>RT @AnthemRespect: 🔥2 More California City Councils Voted To Tell @JerryBrownGov &amp;amp; His Disastrous  #SANCTUARYSTATE 
To POUND SAND!
- Aliso…</t>
  </si>
  <si>
    <t>RT @Nov2018election: @cs0058sc Nevada Support @DannyTarkanian #NV03 #NV3 For Congress 🇺🇸 https://t.co/VABV4Zom9y</t>
  </si>
  <si>
    <t>RT @VisioDeiFromLA: @ES03784893 @tmservo433 as a Latino American &amp;amp; somebody been working on this issue for the last 25 years, this mike guy…</t>
  </si>
  <si>
    <t>RT @VisioDeiFromLA: @ES03784893 @tmservo433 DHS in 2016 was ran by obama. Sorry this isn’t reality. 
I take it you don’t actually see the…</t>
  </si>
  <si>
    <t>RT @VisioDeiFromLA: @ES03784893 @tmservo433 @MarkSKrikorian @AnnCoulter @joelpollak @KrisKobach1787 @NeilMunroDC @GOP @parscale @kausmickey…</t>
  </si>
  <si>
    <t>RT @strmsptr: The Commie Left's extreme outrage of @realDonaldTrump  decision to sent our national gauges to the border conforms that it is…</t>
  </si>
  <si>
    <t>RT @thebradfordfile: Why are illegal aliens allowed to attend city council meetings?
ICE NEEDS TO HOST A FEW.</t>
  </si>
  <si>
    <t>RT @hrtablaze: Don't believe the lie that hispanics don't support Trump.  Legal Hispanics like this passionate man do ! California is wakin…</t>
  </si>
  <si>
    <t>RT @Education4Libs: Hillary says the Parkland students have a “real shot” at defeating the NRA.
She also thought she had a “real shot” at…</t>
  </si>
  <si>
    <t>RT @DineshDSouza: The only shootings that count for the media are the ones that can be blamed on the @NRA https://t.co/Y0pme21ppE</t>
  </si>
  <si>
    <t>RT @FN4AP: This Saturday April 7th Austin Petersen will be speaking at the @YALiberty conference in #StLouis #Missouri. @RonPaul will be th…</t>
  </si>
  <si>
    <t>RT @exjon: Teachers would make more money today if half the education dollars didn't go to bureaucrats. #Arizona #RedForEd https://t.co/Vpa…</t>
  </si>
  <si>
    <t>RT @PhxGOP: Why haven't cheating FBI lovebirds #PeterStrzok &amp;amp; #LisaPage been fired yet? -- "What’s even more astounding is that a source te…</t>
  </si>
  <si>
    <t>@Joe_America1776 @OmaTalley1 They probably split up and are still coming with coyote
#StopTheInvasion 
#StopTheCaravan 
@realDonaldTrump @parscale https://t.co/wBYjewsHv1</t>
  </si>
  <si>
    <t>RT @RedNationRising: Eleven states have voter registration deadlines in April! 
Is your state on the list?
IN 4/9
OH 4/9
PA 4/16
WV 4/17…</t>
  </si>
  <si>
    <t>RT @TomFitton: The Obama/Clinton anti-@RealDonaldTrump spying, leaking, etc is a
&amp;gt;scandal that would probably dwarf anything that's happene…</t>
  </si>
  <si>
    <t>RT @PrisonPlanet: Delete your account.
No, seriously, everyone....delete your account.
https://t.co/Il3pgEva22 https://t.co/saG55d2jAz</t>
  </si>
  <si>
    <t>RT @polishprincessh: Cut off all federal funding from California &amp;amp; nullify any of their elections results. Heck, build a wall around them t…</t>
  </si>
  <si>
    <t>RT @RealJamesWoods: The ILLEGAL immigration catastrophe is our nation’s biggest challenge, not because we Americans are not a welcoming peo…</t>
  </si>
  <si>
    <t>RT @VisioDeiFromLA: @TheLeadCNN @brianstelter @jaketapper Anybody who lives in LA county knows illegals vote. They don't, you say? Then why…</t>
  </si>
  <si>
    <t>RT @Trader_Moe: Need to defund the rogue CIA and all the corrupt politician drug lords making money off the opioids they're trading for gun…</t>
  </si>
  <si>
    <t>RT @PrisonPlanet: I bet they're devastated. https://t.co/0hQuEakYPZ</t>
  </si>
  <si>
    <t>RT @Patriot261: I said it before. I will say it again... If white privilege really exists, why did Elizabeth Warren claim to be Native Amer…</t>
  </si>
  <si>
    <t>RT @bbusa617: 1 Million Illegal Aliens w Driver's Licenses in California - Danger to USA's National Security https://t.co/vF9DWRffFP #news…</t>
  </si>
  <si>
    <t>RT @FoxBusiness: #BreakingNews: @POTUS heads to West Virginia for roundtable discussion on tax reform https://t.co/6EQaXGVqNd</t>
  </si>
  <si>
    <t>RT @NomDeVoyage1: Every time one of these shootings, and other violent acts happen, the #left tries to blame conservatives, but it almost a…</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</si>
</sst>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66"/>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HYPERLINK("http://www.twitter.com/NathanBLawrence/status/998950167591211014", "998950167591211014")</f>
        <v/>
      </c>
      <c r="B2" s="2" t="n">
        <v>43242.64877314815</v>
      </c>
      <c r="C2" t="n">
        <v>0</v>
      </c>
      <c r="D2" t="n">
        <v>0</v>
      </c>
      <c r="E2" t="s">
        <v>13</v>
      </c>
      <c r="F2" t="s"/>
      <c r="G2" t="s"/>
      <c r="H2" t="s"/>
      <c r="I2" t="s"/>
      <c r="J2" t="n">
        <v>0.3182</v>
      </c>
      <c r="K2" t="n">
        <v>0.063</v>
      </c>
      <c r="L2" t="n">
        <v>0.828</v>
      </c>
      <c r="M2" t="n">
        <v>0.109</v>
      </c>
    </row>
    <row r="3" spans="1:13">
      <c r="A3" s="1">
        <f>HYPERLINK("http://www.twitter.com/NathanBLawrence/status/998949619366326272", "998949619366326272")</f>
        <v/>
      </c>
      <c r="B3" s="2" t="n">
        <v>43242.64725694444</v>
      </c>
      <c r="C3" t="n">
        <v>1</v>
      </c>
      <c r="D3" t="n">
        <v>0</v>
      </c>
      <c r="E3" t="s">
        <v>14</v>
      </c>
      <c r="F3" t="s"/>
      <c r="G3" t="s"/>
      <c r="H3" t="s"/>
      <c r="I3" t="s"/>
      <c r="J3" t="n">
        <v>-0.3818</v>
      </c>
      <c r="K3" t="n">
        <v>0.05</v>
      </c>
      <c r="L3" t="n">
        <v>0.95</v>
      </c>
      <c r="M3" t="n">
        <v>0</v>
      </c>
    </row>
    <row r="4" spans="1:13">
      <c r="A4" s="1">
        <f>HYPERLINK("http://www.twitter.com/NathanBLawrence/status/998949176472932352", "998949176472932352")</f>
        <v/>
      </c>
      <c r="B4" s="2" t="n">
        <v>43242.64603009259</v>
      </c>
      <c r="C4" t="n">
        <v>0</v>
      </c>
      <c r="D4" t="n">
        <v>3</v>
      </c>
      <c r="E4" t="s">
        <v>15</v>
      </c>
      <c r="F4" t="s"/>
      <c r="G4" t="s"/>
      <c r="H4" t="s"/>
      <c r="I4" t="s"/>
      <c r="J4" t="n">
        <v>-0.7184</v>
      </c>
      <c r="K4" t="n">
        <v>0.222</v>
      </c>
      <c r="L4" t="n">
        <v>0.778</v>
      </c>
      <c r="M4" t="n">
        <v>0</v>
      </c>
    </row>
    <row r="5" spans="1:13">
      <c r="A5" s="1">
        <f>HYPERLINK("http://www.twitter.com/NathanBLawrence/status/998936097878085633", "998936097878085633")</f>
        <v/>
      </c>
      <c r="B5" s="2" t="n">
        <v>43242.60994212963</v>
      </c>
      <c r="C5" t="n">
        <v>0</v>
      </c>
      <c r="D5" t="n">
        <v>5</v>
      </c>
      <c r="E5" t="s">
        <v>16</v>
      </c>
      <c r="F5" t="s"/>
      <c r="G5" t="s"/>
      <c r="H5" t="s"/>
      <c r="I5" t="s"/>
      <c r="J5" t="n">
        <v>-0.296</v>
      </c>
      <c r="K5" t="n">
        <v>0.118</v>
      </c>
      <c r="L5" t="n">
        <v>0.8179999999999999</v>
      </c>
      <c r="M5" t="n">
        <v>0.064</v>
      </c>
    </row>
    <row r="6" spans="1:13">
      <c r="A6" s="1">
        <f>HYPERLINK("http://www.twitter.com/NathanBLawrence/status/998936075233087488", "998936075233087488")</f>
        <v/>
      </c>
      <c r="B6" s="2" t="n">
        <v>43242.60988425926</v>
      </c>
      <c r="C6" t="n">
        <v>0</v>
      </c>
      <c r="D6" t="n">
        <v>7</v>
      </c>
      <c r="E6" t="s">
        <v>17</v>
      </c>
      <c r="F6" t="s"/>
      <c r="G6" t="s"/>
      <c r="H6" t="s"/>
      <c r="I6" t="s"/>
      <c r="J6" t="n">
        <v>-0.4404</v>
      </c>
      <c r="K6" t="n">
        <v>0.127</v>
      </c>
      <c r="L6" t="n">
        <v>0.873</v>
      </c>
      <c r="M6" t="n">
        <v>0</v>
      </c>
    </row>
    <row r="7" spans="1:13">
      <c r="A7" s="1">
        <f>HYPERLINK("http://www.twitter.com/NathanBLawrence/status/998936035307479045", "998936035307479045")</f>
        <v/>
      </c>
      <c r="B7" s="2" t="n">
        <v>43242.60976851852</v>
      </c>
      <c r="C7" t="n">
        <v>0</v>
      </c>
      <c r="D7" t="n">
        <v>5</v>
      </c>
      <c r="E7" t="s">
        <v>18</v>
      </c>
      <c r="F7" t="s"/>
      <c r="G7" t="s"/>
      <c r="H7" t="s"/>
      <c r="I7" t="s"/>
      <c r="J7" t="n">
        <v>-0.5707</v>
      </c>
      <c r="K7" t="n">
        <v>0.15</v>
      </c>
      <c r="L7" t="n">
        <v>0.85</v>
      </c>
      <c r="M7" t="n">
        <v>0</v>
      </c>
    </row>
    <row r="8" spans="1:13">
      <c r="A8" s="1">
        <f>HYPERLINK("http://www.twitter.com/NathanBLawrence/status/998936014029836294", "998936014029836294")</f>
        <v/>
      </c>
      <c r="B8" s="2" t="n">
        <v>43242.60971064815</v>
      </c>
      <c r="C8" t="n">
        <v>0</v>
      </c>
      <c r="D8" t="n">
        <v>3</v>
      </c>
      <c r="E8" t="s">
        <v>19</v>
      </c>
      <c r="F8" t="s"/>
      <c r="G8" t="s"/>
      <c r="H8" t="s"/>
      <c r="I8" t="s"/>
      <c r="J8" t="n">
        <v>0.128</v>
      </c>
      <c r="K8" t="n">
        <v>0.097</v>
      </c>
      <c r="L8" t="n">
        <v>0.783</v>
      </c>
      <c r="M8" t="n">
        <v>0.12</v>
      </c>
    </row>
    <row r="9" spans="1:13">
      <c r="A9" s="1">
        <f>HYPERLINK("http://www.twitter.com/NathanBLawrence/status/998935990038343681", "998935990038343681")</f>
        <v/>
      </c>
      <c r="B9" s="2" t="n">
        <v>43242.60965277778</v>
      </c>
      <c r="C9" t="n">
        <v>0</v>
      </c>
      <c r="D9" t="n">
        <v>1</v>
      </c>
      <c r="E9" t="s">
        <v>20</v>
      </c>
      <c r="F9">
        <f>HYPERLINK("http://pbs.twimg.com/media/DdzXxnzVwAAFy_l.jpg", "http://pbs.twimg.com/media/DdzXxnzVwAAFy_l.jpg")</f>
        <v/>
      </c>
      <c r="G9" t="s"/>
      <c r="H9" t="s"/>
      <c r="I9" t="s"/>
      <c r="J9" t="n">
        <v>0.5994</v>
      </c>
      <c r="K9" t="n">
        <v>0</v>
      </c>
      <c r="L9" t="n">
        <v>0.8129999999999999</v>
      </c>
      <c r="M9" t="n">
        <v>0.187</v>
      </c>
    </row>
    <row r="10" spans="1:13">
      <c r="A10" s="1">
        <f>HYPERLINK("http://www.twitter.com/NathanBLawrence/status/998935679110385665", "998935679110385665")</f>
        <v/>
      </c>
      <c r="B10" s="2" t="n">
        <v>43242.60878472222</v>
      </c>
      <c r="C10" t="n">
        <v>0</v>
      </c>
      <c r="D10" t="n">
        <v>5</v>
      </c>
      <c r="E10" t="s">
        <v>21</v>
      </c>
      <c r="F10" t="s"/>
      <c r="G10" t="s"/>
      <c r="H10" t="s"/>
      <c r="I10" t="s"/>
      <c r="J10" t="n">
        <v>0</v>
      </c>
      <c r="K10" t="n">
        <v>0</v>
      </c>
      <c r="L10" t="n">
        <v>1</v>
      </c>
      <c r="M10" t="n">
        <v>0</v>
      </c>
    </row>
    <row r="11" spans="1:13">
      <c r="A11" s="1">
        <f>HYPERLINK("http://www.twitter.com/NathanBLawrence/status/998935611343015936", "998935611343015936")</f>
        <v/>
      </c>
      <c r="B11" s="2" t="n">
        <v>43242.60859953704</v>
      </c>
      <c r="C11" t="n">
        <v>3</v>
      </c>
      <c r="D11" t="n">
        <v>3</v>
      </c>
      <c r="E11" t="s">
        <v>22</v>
      </c>
      <c r="F11" t="s"/>
      <c r="G11" t="s"/>
      <c r="H11" t="s"/>
      <c r="I11" t="s"/>
      <c r="J11" t="n">
        <v>-0.9151</v>
      </c>
      <c r="K11" t="n">
        <v>0.233</v>
      </c>
      <c r="L11" t="n">
        <v>0.767</v>
      </c>
      <c r="M11" t="n">
        <v>0</v>
      </c>
    </row>
    <row r="12" spans="1:13">
      <c r="A12" s="1">
        <f>HYPERLINK("http://www.twitter.com/NathanBLawrence/status/998935065215291393", "998935065215291393")</f>
        <v/>
      </c>
      <c r="B12" s="2" t="n">
        <v>43242.60709490741</v>
      </c>
      <c r="C12" t="n">
        <v>0</v>
      </c>
      <c r="D12" t="n">
        <v>2</v>
      </c>
      <c r="E12" t="s">
        <v>23</v>
      </c>
      <c r="F12" t="s"/>
      <c r="G12" t="s"/>
      <c r="H12" t="s"/>
      <c r="I12" t="s"/>
      <c r="J12" t="n">
        <v>-0.296</v>
      </c>
      <c r="K12" t="n">
        <v>0.095</v>
      </c>
      <c r="L12" t="n">
        <v>0.905</v>
      </c>
      <c r="M12" t="n">
        <v>0</v>
      </c>
    </row>
    <row r="13" spans="1:13">
      <c r="A13" s="1">
        <f>HYPERLINK("http://www.twitter.com/NathanBLawrence/status/998935034106130433", "998935034106130433")</f>
        <v/>
      </c>
      <c r="B13" s="2" t="n">
        <v>43242.60701388889</v>
      </c>
      <c r="C13" t="n">
        <v>3</v>
      </c>
      <c r="D13" t="n">
        <v>0</v>
      </c>
      <c r="E13" t="s">
        <v>24</v>
      </c>
      <c r="F13" t="s"/>
      <c r="G13" t="s"/>
      <c r="H13" t="s"/>
      <c r="I13" t="s"/>
      <c r="J13" t="n">
        <v>-0.8401999999999999</v>
      </c>
      <c r="K13" t="n">
        <v>0.243</v>
      </c>
      <c r="L13" t="n">
        <v>0.664</v>
      </c>
      <c r="M13" t="n">
        <v>0.093</v>
      </c>
    </row>
    <row r="14" spans="1:13">
      <c r="A14" s="1">
        <f>HYPERLINK("http://www.twitter.com/NathanBLawrence/status/998934390439923712", "998934390439923712")</f>
        <v/>
      </c>
      <c r="B14" s="2" t="n">
        <v>43242.60523148148</v>
      </c>
      <c r="C14" t="n">
        <v>0</v>
      </c>
      <c r="D14" t="n">
        <v>0</v>
      </c>
      <c r="E14" t="s">
        <v>25</v>
      </c>
      <c r="F14" t="s"/>
      <c r="G14" t="s"/>
      <c r="H14" t="s"/>
      <c r="I14" t="s"/>
      <c r="J14" t="n">
        <v>0</v>
      </c>
      <c r="K14" t="n">
        <v>0</v>
      </c>
      <c r="L14" t="n">
        <v>1</v>
      </c>
      <c r="M14" t="n">
        <v>0</v>
      </c>
    </row>
    <row r="15" spans="1:13">
      <c r="A15" s="1">
        <f>HYPERLINK("http://www.twitter.com/NathanBLawrence/status/998933807280607232", "998933807280607232")</f>
        <v/>
      </c>
      <c r="B15" s="2" t="n">
        <v>43242.60362268519</v>
      </c>
      <c r="C15" t="n">
        <v>0</v>
      </c>
      <c r="D15" t="n">
        <v>9</v>
      </c>
      <c r="E15" t="s">
        <v>26</v>
      </c>
      <c r="F15">
        <f>HYPERLINK("http://pbs.twimg.com/media/DdzVOm1U8AAYuE1.png", "http://pbs.twimg.com/media/DdzVOm1U8AAYuE1.png")</f>
        <v/>
      </c>
      <c r="G15" t="s"/>
      <c r="H15" t="s"/>
      <c r="I15" t="s"/>
      <c r="J15" t="n">
        <v>-0.2404</v>
      </c>
      <c r="K15" t="n">
        <v>0.151</v>
      </c>
      <c r="L15" t="n">
        <v>0.736</v>
      </c>
      <c r="M15" t="n">
        <v>0.114</v>
      </c>
    </row>
    <row r="16" spans="1:13">
      <c r="A16" s="1">
        <f>HYPERLINK("http://www.twitter.com/NathanBLawrence/status/998933735142805504", "998933735142805504")</f>
        <v/>
      </c>
      <c r="B16" s="2" t="n">
        <v>43242.60342592592</v>
      </c>
      <c r="C16" t="n">
        <v>0</v>
      </c>
      <c r="D16" t="n">
        <v>12</v>
      </c>
      <c r="E16" t="s">
        <v>27</v>
      </c>
      <c r="F16" t="s"/>
      <c r="G16" t="s"/>
      <c r="H16" t="s"/>
      <c r="I16" t="s"/>
      <c r="J16" t="n">
        <v>0</v>
      </c>
      <c r="K16" t="n">
        <v>0</v>
      </c>
      <c r="L16" t="n">
        <v>1</v>
      </c>
      <c r="M16" t="n">
        <v>0</v>
      </c>
    </row>
    <row r="17" spans="1:13">
      <c r="A17" s="1">
        <f>HYPERLINK("http://www.twitter.com/NathanBLawrence/status/998823373189931008", "998823373189931008")</f>
        <v/>
      </c>
      <c r="B17" s="2" t="n">
        <v>43242.29888888889</v>
      </c>
      <c r="C17" t="n">
        <v>3</v>
      </c>
      <c r="D17" t="n">
        <v>2</v>
      </c>
      <c r="E17" t="s">
        <v>28</v>
      </c>
      <c r="F17" t="s"/>
      <c r="G17" t="s"/>
      <c r="H17" t="s"/>
      <c r="I17" t="s"/>
      <c r="J17" t="n">
        <v>0</v>
      </c>
      <c r="K17" t="n">
        <v>0</v>
      </c>
      <c r="L17" t="n">
        <v>1</v>
      </c>
      <c r="M17" t="n">
        <v>0</v>
      </c>
    </row>
    <row r="18" spans="1:13">
      <c r="A18" s="1">
        <f>HYPERLINK("http://www.twitter.com/NathanBLawrence/status/998821160925257733", "998821160925257733")</f>
        <v/>
      </c>
      <c r="B18" s="2" t="n">
        <v>43242.29277777778</v>
      </c>
      <c r="C18" t="n">
        <v>0</v>
      </c>
      <c r="D18" t="n">
        <v>4</v>
      </c>
      <c r="E18" t="s">
        <v>29</v>
      </c>
      <c r="F18" t="s"/>
      <c r="G18" t="s"/>
      <c r="H18" t="s"/>
      <c r="I18" t="s"/>
      <c r="J18" t="n">
        <v>0.1027</v>
      </c>
      <c r="K18" t="n">
        <v>0.102</v>
      </c>
      <c r="L18" t="n">
        <v>0.742</v>
      </c>
      <c r="M18" t="n">
        <v>0.156</v>
      </c>
    </row>
    <row r="19" spans="1:13">
      <c r="A19" s="1">
        <f>HYPERLINK("http://www.twitter.com/NathanBLawrence/status/998820958583566336", "998820958583566336")</f>
        <v/>
      </c>
      <c r="B19" s="2" t="n">
        <v>43242.29222222222</v>
      </c>
      <c r="C19" t="n">
        <v>0</v>
      </c>
      <c r="D19" t="n">
        <v>8</v>
      </c>
      <c r="E19" t="s">
        <v>30</v>
      </c>
      <c r="F19" t="s"/>
      <c r="G19" t="s"/>
      <c r="H19" t="s"/>
      <c r="I19" t="s"/>
      <c r="J19" t="n">
        <v>-0.7531</v>
      </c>
      <c r="K19" t="n">
        <v>0.266</v>
      </c>
      <c r="L19" t="n">
        <v>0.734</v>
      </c>
      <c r="M19" t="n">
        <v>0</v>
      </c>
    </row>
    <row r="20" spans="1:13">
      <c r="A20" s="1">
        <f>HYPERLINK("http://www.twitter.com/NathanBLawrence/status/998820912383307778", "998820912383307778")</f>
        <v/>
      </c>
      <c r="B20" s="2" t="n">
        <v>43242.29209490741</v>
      </c>
      <c r="C20" t="n">
        <v>3</v>
      </c>
      <c r="D20" t="n">
        <v>1</v>
      </c>
      <c r="E20" t="s">
        <v>31</v>
      </c>
      <c r="F20" t="s"/>
      <c r="G20" t="s"/>
      <c r="H20" t="s"/>
      <c r="I20" t="s"/>
      <c r="J20" t="n">
        <v>-0.5255</v>
      </c>
      <c r="K20" t="n">
        <v>0.175</v>
      </c>
      <c r="L20" t="n">
        <v>0.825</v>
      </c>
      <c r="M20" t="n">
        <v>0</v>
      </c>
    </row>
    <row r="21" spans="1:13">
      <c r="A21" s="1">
        <f>HYPERLINK("http://www.twitter.com/NathanBLawrence/status/998820730627416064", "998820730627416064")</f>
        <v/>
      </c>
      <c r="B21" s="2" t="n">
        <v>43242.29159722223</v>
      </c>
      <c r="C21" t="n">
        <v>0</v>
      </c>
      <c r="D21" t="n">
        <v>7</v>
      </c>
      <c r="E21" t="s">
        <v>32</v>
      </c>
      <c r="F21">
        <f>HYPERLINK("http://pbs.twimg.com/media/Ddw7HcTVQAEoNWC.jpg", "http://pbs.twimg.com/media/Ddw7HcTVQAEoNWC.jpg")</f>
        <v/>
      </c>
      <c r="G21" t="s"/>
      <c r="H21" t="s"/>
      <c r="I21" t="s"/>
      <c r="J21" t="n">
        <v>-0.5106000000000001</v>
      </c>
      <c r="K21" t="n">
        <v>0.125</v>
      </c>
      <c r="L21" t="n">
        <v>0.875</v>
      </c>
      <c r="M21" t="n">
        <v>0</v>
      </c>
    </row>
    <row r="22" spans="1:13">
      <c r="A22" s="1">
        <f>HYPERLINK("http://www.twitter.com/NathanBLawrence/status/998820708452007936", "998820708452007936")</f>
        <v/>
      </c>
      <c r="B22" s="2" t="n">
        <v>43242.29152777778</v>
      </c>
      <c r="C22" t="n">
        <v>0</v>
      </c>
      <c r="D22" t="n">
        <v>14</v>
      </c>
      <c r="E22" t="s">
        <v>33</v>
      </c>
      <c r="F22">
        <f>HYPERLINK("http://pbs.twimg.com/media/Ddw-J7AV4AAIUWv.jpg", "http://pbs.twimg.com/media/Ddw-J7AV4AAIUWv.jpg")</f>
        <v/>
      </c>
      <c r="G22" t="s"/>
      <c r="H22" t="s"/>
      <c r="I22" t="s"/>
      <c r="J22" t="n">
        <v>0.2023</v>
      </c>
      <c r="K22" t="n">
        <v>0.078</v>
      </c>
      <c r="L22" t="n">
        <v>0.778</v>
      </c>
      <c r="M22" t="n">
        <v>0.144</v>
      </c>
    </row>
    <row r="23" spans="1:13">
      <c r="A23" s="1">
        <f>HYPERLINK("http://www.twitter.com/NathanBLawrence/status/998820673047941121", "998820673047941121")</f>
        <v/>
      </c>
      <c r="B23" s="2" t="n">
        <v>43242.29143518519</v>
      </c>
      <c r="C23" t="n">
        <v>0</v>
      </c>
      <c r="D23" t="n">
        <v>5</v>
      </c>
      <c r="E23" t="s">
        <v>34</v>
      </c>
      <c r="F23" t="s"/>
      <c r="G23" t="s"/>
      <c r="H23" t="s"/>
      <c r="I23" t="s"/>
      <c r="J23" t="n">
        <v>0.4019</v>
      </c>
      <c r="K23" t="n">
        <v>0.059</v>
      </c>
      <c r="L23" t="n">
        <v>0.8179999999999999</v>
      </c>
      <c r="M23" t="n">
        <v>0.123</v>
      </c>
    </row>
    <row r="24" spans="1:13">
      <c r="A24" s="1">
        <f>HYPERLINK("http://www.twitter.com/NathanBLawrence/status/998820518487838720", "998820518487838720")</f>
        <v/>
      </c>
      <c r="B24" s="2" t="n">
        <v>43242.29100694445</v>
      </c>
      <c r="C24" t="n">
        <v>0</v>
      </c>
      <c r="D24" t="n">
        <v>13</v>
      </c>
      <c r="E24" t="s">
        <v>35</v>
      </c>
      <c r="F24" t="s"/>
      <c r="G24" t="s"/>
      <c r="H24" t="s"/>
      <c r="I24" t="s"/>
      <c r="J24" t="n">
        <v>0.8176</v>
      </c>
      <c r="K24" t="n">
        <v>0</v>
      </c>
      <c r="L24" t="n">
        <v>0.681</v>
      </c>
      <c r="M24" t="n">
        <v>0.319</v>
      </c>
    </row>
    <row r="25" spans="1:13">
      <c r="A25" s="1">
        <f>HYPERLINK("http://www.twitter.com/NathanBLawrence/status/998820483280891904", "998820483280891904")</f>
        <v/>
      </c>
      <c r="B25" s="2" t="n">
        <v>43242.29091435186</v>
      </c>
      <c r="C25" t="n">
        <v>0</v>
      </c>
      <c r="D25" t="n">
        <v>33</v>
      </c>
      <c r="E25" t="s">
        <v>36</v>
      </c>
      <c r="F25" t="s"/>
      <c r="G25" t="s"/>
      <c r="H25" t="s"/>
      <c r="I25" t="s"/>
      <c r="J25" t="n">
        <v>-0.25</v>
      </c>
      <c r="K25" t="n">
        <v>0.178</v>
      </c>
      <c r="L25" t="n">
        <v>0.72</v>
      </c>
      <c r="M25" t="n">
        <v>0.102</v>
      </c>
    </row>
    <row r="26" spans="1:13">
      <c r="A26" s="1">
        <f>HYPERLINK("http://www.twitter.com/NathanBLawrence/status/998820360647831552", "998820360647831552")</f>
        <v/>
      </c>
      <c r="B26" s="2" t="n">
        <v>43242.29056712963</v>
      </c>
      <c r="C26" t="n">
        <v>0</v>
      </c>
      <c r="D26" t="n">
        <v>10</v>
      </c>
      <c r="E26" t="s">
        <v>37</v>
      </c>
      <c r="F26" t="s"/>
      <c r="G26" t="s"/>
      <c r="H26" t="s"/>
      <c r="I26" t="s"/>
      <c r="J26" t="n">
        <v>0</v>
      </c>
      <c r="K26" t="n">
        <v>0</v>
      </c>
      <c r="L26" t="n">
        <v>1</v>
      </c>
      <c r="M26" t="n">
        <v>0</v>
      </c>
    </row>
    <row r="27" spans="1:13">
      <c r="A27" s="1">
        <f>HYPERLINK("http://www.twitter.com/NathanBLawrence/status/998820324425773056", "998820324425773056")</f>
        <v/>
      </c>
      <c r="B27" s="2" t="n">
        <v>43242.29047453704</v>
      </c>
      <c r="C27" t="n">
        <v>0</v>
      </c>
      <c r="D27" t="n">
        <v>14</v>
      </c>
      <c r="E27" t="s">
        <v>38</v>
      </c>
      <c r="F27" t="s"/>
      <c r="G27" t="s"/>
      <c r="H27" t="s"/>
      <c r="I27" t="s"/>
      <c r="J27" t="n">
        <v>0.2878</v>
      </c>
      <c r="K27" t="n">
        <v>0</v>
      </c>
      <c r="L27" t="n">
        <v>0.902</v>
      </c>
      <c r="M27" t="n">
        <v>0.098</v>
      </c>
    </row>
    <row r="28" spans="1:13">
      <c r="A28" s="1">
        <f>HYPERLINK("http://www.twitter.com/NathanBLawrence/status/998820253961515008", "998820253961515008")</f>
        <v/>
      </c>
      <c r="B28" s="2" t="n">
        <v>43242.29027777778</v>
      </c>
      <c r="C28" t="n">
        <v>1</v>
      </c>
      <c r="D28" t="n">
        <v>2</v>
      </c>
      <c r="E28" t="s">
        <v>39</v>
      </c>
      <c r="F28" t="s"/>
      <c r="G28" t="s"/>
      <c r="H28" t="s"/>
      <c r="I28" t="s"/>
      <c r="J28" t="n">
        <v>0.3802</v>
      </c>
      <c r="K28" t="n">
        <v>0</v>
      </c>
      <c r="L28" t="n">
        <v>0.755</v>
      </c>
      <c r="M28" t="n">
        <v>0.245</v>
      </c>
    </row>
    <row r="29" spans="1:13">
      <c r="A29" s="1">
        <f>HYPERLINK("http://www.twitter.com/NathanBLawrence/status/998820136017715200", "998820136017715200")</f>
        <v/>
      </c>
      <c r="B29" s="2" t="n">
        <v>43242.2899537037</v>
      </c>
      <c r="C29" t="n">
        <v>0</v>
      </c>
      <c r="D29" t="n">
        <v>7</v>
      </c>
      <c r="E29" t="s">
        <v>40</v>
      </c>
      <c r="F29" t="s"/>
      <c r="G29" t="s"/>
      <c r="H29" t="s"/>
      <c r="I29" t="s"/>
      <c r="J29" t="n">
        <v>-0.4466</v>
      </c>
      <c r="K29" t="n">
        <v>0.128</v>
      </c>
      <c r="L29" t="n">
        <v>0.872</v>
      </c>
      <c r="M29" t="n">
        <v>0</v>
      </c>
    </row>
    <row r="30" spans="1:13">
      <c r="A30" s="1">
        <f>HYPERLINK("http://www.twitter.com/NathanBLawrence/status/998819977259077632", "998819977259077632")</f>
        <v/>
      </c>
      <c r="B30" s="2" t="n">
        <v>43242.28951388889</v>
      </c>
      <c r="C30" t="n">
        <v>0</v>
      </c>
      <c r="D30" t="n">
        <v>5</v>
      </c>
      <c r="E30" t="s">
        <v>41</v>
      </c>
      <c r="F30" t="s"/>
      <c r="G30" t="s"/>
      <c r="H30" t="s"/>
      <c r="I30" t="s"/>
      <c r="J30" t="n">
        <v>-0.3595</v>
      </c>
      <c r="K30" t="n">
        <v>0.136</v>
      </c>
      <c r="L30" t="n">
        <v>0.798</v>
      </c>
      <c r="M30" t="n">
        <v>0.066</v>
      </c>
    </row>
    <row r="31" spans="1:13">
      <c r="A31" s="1">
        <f>HYPERLINK("http://www.twitter.com/NathanBLawrence/status/998819926591844352", "998819926591844352")</f>
        <v/>
      </c>
      <c r="B31" s="2" t="n">
        <v>43242.289375</v>
      </c>
      <c r="C31" t="n">
        <v>0</v>
      </c>
      <c r="D31" t="n">
        <v>41</v>
      </c>
      <c r="E31" t="s">
        <v>42</v>
      </c>
      <c r="F31">
        <f>HYPERLINK("http://pbs.twimg.com/media/Ddu12M7V4AAYrgR.jpg", "http://pbs.twimg.com/media/Ddu12M7V4AAYrgR.jpg")</f>
        <v/>
      </c>
      <c r="G31" t="s"/>
      <c r="H31" t="s"/>
      <c r="I31" t="s"/>
      <c r="J31" t="n">
        <v>0.675</v>
      </c>
      <c r="K31" t="n">
        <v>0</v>
      </c>
      <c r="L31" t="n">
        <v>0.743</v>
      </c>
      <c r="M31" t="n">
        <v>0.257</v>
      </c>
    </row>
    <row r="32" spans="1:13">
      <c r="A32" s="1">
        <f>HYPERLINK("http://www.twitter.com/NathanBLawrence/status/998819914336129026", "998819914336129026")</f>
        <v/>
      </c>
      <c r="B32" s="2" t="n">
        <v>43242.28934027778</v>
      </c>
      <c r="C32" t="n">
        <v>0</v>
      </c>
      <c r="D32" t="n">
        <v>16</v>
      </c>
      <c r="E32" t="s">
        <v>43</v>
      </c>
      <c r="F32">
        <f>HYPERLINK("http://pbs.twimg.com/media/Ddu8yl9VMAIGGaI.jpg", "http://pbs.twimg.com/media/Ddu8yl9VMAIGGaI.jpg")</f>
        <v/>
      </c>
      <c r="G32" t="s"/>
      <c r="H32" t="s"/>
      <c r="I32" t="s"/>
      <c r="J32" t="n">
        <v>-0.4939</v>
      </c>
      <c r="K32" t="n">
        <v>0.132</v>
      </c>
      <c r="L32" t="n">
        <v>0.868</v>
      </c>
      <c r="M32" t="n">
        <v>0</v>
      </c>
    </row>
    <row r="33" spans="1:13">
      <c r="A33" s="1">
        <f>HYPERLINK("http://www.twitter.com/NathanBLawrence/status/998819853644521474", "998819853644521474")</f>
        <v/>
      </c>
      <c r="B33" s="2" t="n">
        <v>43242.28916666667</v>
      </c>
      <c r="C33" t="n">
        <v>0</v>
      </c>
      <c r="D33" t="n">
        <v>40</v>
      </c>
      <c r="E33" t="s">
        <v>44</v>
      </c>
      <c r="F33" t="s"/>
      <c r="G33" t="s"/>
      <c r="H33" t="s"/>
      <c r="I33" t="s"/>
      <c r="J33" t="n">
        <v>0</v>
      </c>
      <c r="K33" t="n">
        <v>0</v>
      </c>
      <c r="L33" t="n">
        <v>1</v>
      </c>
      <c r="M33" t="n">
        <v>0</v>
      </c>
    </row>
    <row r="34" spans="1:13">
      <c r="A34" s="1">
        <f>HYPERLINK("http://www.twitter.com/NathanBLawrence/status/998819842370260992", "998819842370260992")</f>
        <v/>
      </c>
      <c r="B34" s="2" t="n">
        <v>43242.28914351852</v>
      </c>
      <c r="C34" t="n">
        <v>0</v>
      </c>
      <c r="D34" t="n">
        <v>9</v>
      </c>
      <c r="E34" t="s">
        <v>45</v>
      </c>
      <c r="F34" t="s"/>
      <c r="G34" t="s"/>
      <c r="H34" t="s"/>
      <c r="I34" t="s"/>
      <c r="J34" t="n">
        <v>-0.3612</v>
      </c>
      <c r="K34" t="n">
        <v>0.106</v>
      </c>
      <c r="L34" t="n">
        <v>0.894</v>
      </c>
      <c r="M34" t="n">
        <v>0</v>
      </c>
    </row>
    <row r="35" spans="1:13">
      <c r="A35" s="1">
        <f>HYPERLINK("http://www.twitter.com/NathanBLawrence/status/998819828139003904", "998819828139003904")</f>
        <v/>
      </c>
      <c r="B35" s="2" t="n">
        <v>43242.28909722222</v>
      </c>
      <c r="C35" t="n">
        <v>0</v>
      </c>
      <c r="D35" t="n">
        <v>7</v>
      </c>
      <c r="E35" t="s">
        <v>46</v>
      </c>
      <c r="F35" t="s"/>
      <c r="G35" t="s"/>
      <c r="H35" t="s"/>
      <c r="I35" t="s"/>
      <c r="J35" t="n">
        <v>-0.5719</v>
      </c>
      <c r="K35" t="n">
        <v>0.144</v>
      </c>
      <c r="L35" t="n">
        <v>0.856</v>
      </c>
      <c r="M35" t="n">
        <v>0</v>
      </c>
    </row>
    <row r="36" spans="1:13">
      <c r="A36" s="1">
        <f>HYPERLINK("http://www.twitter.com/NathanBLawrence/status/998819808480284674", "998819808480284674")</f>
        <v/>
      </c>
      <c r="B36" s="2" t="n">
        <v>43242.28905092592</v>
      </c>
      <c r="C36" t="n">
        <v>0</v>
      </c>
      <c r="D36" t="n">
        <v>66</v>
      </c>
      <c r="E36" t="s">
        <v>47</v>
      </c>
      <c r="F36" t="s"/>
      <c r="G36" t="s"/>
      <c r="H36" t="s"/>
      <c r="I36" t="s"/>
      <c r="J36" t="n">
        <v>-0.6418</v>
      </c>
      <c r="K36" t="n">
        <v>0.168</v>
      </c>
      <c r="L36" t="n">
        <v>0.832</v>
      </c>
      <c r="M36" t="n">
        <v>0</v>
      </c>
    </row>
    <row r="37" spans="1:13">
      <c r="A37" s="1">
        <f>HYPERLINK("http://www.twitter.com/NathanBLawrence/status/998819784182697984", "998819784182697984")</f>
        <v/>
      </c>
      <c r="B37" s="2" t="n">
        <v>43242.28898148148</v>
      </c>
      <c r="C37" t="n">
        <v>0</v>
      </c>
      <c r="D37" t="n">
        <v>5</v>
      </c>
      <c r="E37" t="s">
        <v>48</v>
      </c>
      <c r="F37" t="s"/>
      <c r="G37" t="s"/>
      <c r="H37" t="s"/>
      <c r="I37" t="s"/>
      <c r="J37" t="n">
        <v>-0.3612</v>
      </c>
      <c r="K37" t="n">
        <v>0.122</v>
      </c>
      <c r="L37" t="n">
        <v>0.878</v>
      </c>
      <c r="M37" t="n">
        <v>0</v>
      </c>
    </row>
    <row r="38" spans="1:13">
      <c r="A38" s="1">
        <f>HYPERLINK("http://www.twitter.com/NathanBLawrence/status/998819767036325888", "998819767036325888")</f>
        <v/>
      </c>
      <c r="B38" s="2" t="n">
        <v>43242.28893518518</v>
      </c>
      <c r="C38" t="n">
        <v>0</v>
      </c>
      <c r="D38" t="n">
        <v>8</v>
      </c>
      <c r="E38" t="s">
        <v>49</v>
      </c>
      <c r="F38" t="s"/>
      <c r="G38" t="s"/>
      <c r="H38" t="s"/>
      <c r="I38" t="s"/>
      <c r="J38" t="n">
        <v>-0.3182</v>
      </c>
      <c r="K38" t="n">
        <v>0.099</v>
      </c>
      <c r="L38" t="n">
        <v>0.901</v>
      </c>
      <c r="M38" t="n">
        <v>0</v>
      </c>
    </row>
    <row r="39" spans="1:13">
      <c r="A39" s="1">
        <f>HYPERLINK("http://www.twitter.com/NathanBLawrence/status/998819754017214464", "998819754017214464")</f>
        <v/>
      </c>
      <c r="B39" s="2" t="n">
        <v>43242.28890046296</v>
      </c>
      <c r="C39" t="n">
        <v>0</v>
      </c>
      <c r="D39" t="n">
        <v>34</v>
      </c>
      <c r="E39" t="s">
        <v>50</v>
      </c>
      <c r="F39" t="s"/>
      <c r="G39" t="s"/>
      <c r="H39" t="s"/>
      <c r="I39" t="s"/>
      <c r="J39" t="n">
        <v>0.0772</v>
      </c>
      <c r="K39" t="n">
        <v>0</v>
      </c>
      <c r="L39" t="n">
        <v>0.86</v>
      </c>
      <c r="M39" t="n">
        <v>0.14</v>
      </c>
    </row>
    <row r="40" spans="1:13">
      <c r="A40" s="1">
        <f>HYPERLINK("http://www.twitter.com/NathanBLawrence/status/998819703949840384", "998819703949840384")</f>
        <v/>
      </c>
      <c r="B40" s="2" t="n">
        <v>43242.28876157408</v>
      </c>
      <c r="C40" t="n">
        <v>0</v>
      </c>
      <c r="D40" t="n">
        <v>10</v>
      </c>
      <c r="E40" t="s">
        <v>51</v>
      </c>
      <c r="F40" t="s"/>
      <c r="G40" t="s"/>
      <c r="H40" t="s"/>
      <c r="I40" t="s"/>
      <c r="J40" t="n">
        <v>0.3802</v>
      </c>
      <c r="K40" t="n">
        <v>0.103</v>
      </c>
      <c r="L40" t="n">
        <v>0.699</v>
      </c>
      <c r="M40" t="n">
        <v>0.198</v>
      </c>
    </row>
    <row r="41" spans="1:13">
      <c r="A41" s="1">
        <f>HYPERLINK("http://www.twitter.com/NathanBLawrence/status/998819681476796416", "998819681476796416")</f>
        <v/>
      </c>
      <c r="B41" s="2" t="n">
        <v>43242.28869212963</v>
      </c>
      <c r="C41" t="n">
        <v>4</v>
      </c>
      <c r="D41" t="n">
        <v>4</v>
      </c>
      <c r="E41" t="s">
        <v>52</v>
      </c>
      <c r="F41" t="s"/>
      <c r="G41" t="s"/>
      <c r="H41" t="s"/>
      <c r="I41" t="s"/>
      <c r="J41" t="n">
        <v>0</v>
      </c>
      <c r="K41" t="n">
        <v>0.051</v>
      </c>
      <c r="L41" t="n">
        <v>0.898</v>
      </c>
      <c r="M41" t="n">
        <v>0.051</v>
      </c>
    </row>
    <row r="42" spans="1:13">
      <c r="A42" s="1">
        <f>HYPERLINK("http://www.twitter.com/NathanBLawrence/status/998819175895388160", "998819175895388160")</f>
        <v/>
      </c>
      <c r="B42" s="2" t="n">
        <v>43242.28730324074</v>
      </c>
      <c r="C42" t="n">
        <v>8</v>
      </c>
      <c r="D42" t="n">
        <v>4</v>
      </c>
      <c r="E42" t="s">
        <v>53</v>
      </c>
      <c r="F42" t="s"/>
      <c r="G42" t="s"/>
      <c r="H42" t="s"/>
      <c r="I42" t="s"/>
      <c r="J42" t="n">
        <v>0.4939</v>
      </c>
      <c r="K42" t="n">
        <v>0.059</v>
      </c>
      <c r="L42" t="n">
        <v>0.788</v>
      </c>
      <c r="M42" t="n">
        <v>0.153</v>
      </c>
    </row>
    <row r="43" spans="1:13">
      <c r="A43" s="1">
        <f>HYPERLINK("http://www.twitter.com/NathanBLawrence/status/998818620133306369", "998818620133306369")</f>
        <v/>
      </c>
      <c r="B43" s="2" t="n">
        <v>43242.28576388889</v>
      </c>
      <c r="C43" t="n">
        <v>0</v>
      </c>
      <c r="D43" t="n">
        <v>10</v>
      </c>
      <c r="E43" t="s">
        <v>54</v>
      </c>
      <c r="F43">
        <f>HYPERLINK("http://pbs.twimg.com/media/Ddwekf9VMAAOe3k.jpg", "http://pbs.twimg.com/media/Ddwekf9VMAAOe3k.jpg")</f>
        <v/>
      </c>
      <c r="G43" t="s"/>
      <c r="H43" t="s"/>
      <c r="I43" t="s"/>
      <c r="J43" t="n">
        <v>0</v>
      </c>
      <c r="K43" t="n">
        <v>0</v>
      </c>
      <c r="L43" t="n">
        <v>1</v>
      </c>
      <c r="M43" t="n">
        <v>0</v>
      </c>
    </row>
    <row r="44" spans="1:13">
      <c r="A44" s="1">
        <f>HYPERLINK("http://www.twitter.com/NathanBLawrence/status/998818463606104064", "998818463606104064")</f>
        <v/>
      </c>
      <c r="B44" s="2" t="n">
        <v>43242.28533564815</v>
      </c>
      <c r="C44" t="n">
        <v>0</v>
      </c>
      <c r="D44" t="n">
        <v>542</v>
      </c>
      <c r="E44" t="s">
        <v>55</v>
      </c>
      <c r="F44" t="s"/>
      <c r="G44" t="s"/>
      <c r="H44" t="s"/>
      <c r="I44" t="s"/>
      <c r="J44" t="n">
        <v>0.0772</v>
      </c>
      <c r="K44" t="n">
        <v>0.096</v>
      </c>
      <c r="L44" t="n">
        <v>0.797</v>
      </c>
      <c r="M44" t="n">
        <v>0.108</v>
      </c>
    </row>
    <row r="45" spans="1:13">
      <c r="A45" s="1">
        <f>HYPERLINK("http://www.twitter.com/NathanBLawrence/status/998812440061267968", "998812440061267968")</f>
        <v/>
      </c>
      <c r="B45" s="2" t="n">
        <v>43242.26871527778</v>
      </c>
      <c r="C45" t="n">
        <v>0</v>
      </c>
      <c r="D45" t="n">
        <v>5</v>
      </c>
      <c r="E45" t="s">
        <v>56</v>
      </c>
      <c r="F45" t="s"/>
      <c r="G45" t="s"/>
      <c r="H45" t="s"/>
      <c r="I45" t="s"/>
      <c r="J45" t="n">
        <v>-0.1007</v>
      </c>
      <c r="K45" t="n">
        <v>0.113</v>
      </c>
      <c r="L45" t="n">
        <v>0.79</v>
      </c>
      <c r="M45" t="n">
        <v>0.098</v>
      </c>
    </row>
    <row r="46" spans="1:13">
      <c r="A46" s="1">
        <f>HYPERLINK("http://www.twitter.com/NathanBLawrence/status/998800319101489152", "998800319101489152")</f>
        <v/>
      </c>
      <c r="B46" s="2" t="n">
        <v>43242.2352662037</v>
      </c>
      <c r="C46" t="n">
        <v>4</v>
      </c>
      <c r="D46" t="n">
        <v>4</v>
      </c>
      <c r="E46" t="s">
        <v>57</v>
      </c>
      <c r="F46" t="s"/>
      <c r="G46" t="s"/>
      <c r="H46" t="s"/>
      <c r="I46" t="s"/>
      <c r="J46" t="n">
        <v>-0.3818</v>
      </c>
      <c r="K46" t="n">
        <v>0.245</v>
      </c>
      <c r="L46" t="n">
        <v>0.755</v>
      </c>
      <c r="M46" t="n">
        <v>0</v>
      </c>
    </row>
    <row r="47" spans="1:13">
      <c r="A47" s="1">
        <f>HYPERLINK("http://www.twitter.com/NathanBLawrence/status/998800178260922368", "998800178260922368")</f>
        <v/>
      </c>
      <c r="B47" s="2" t="n">
        <v>43242.23487268519</v>
      </c>
      <c r="C47" t="n">
        <v>1</v>
      </c>
      <c r="D47" t="n">
        <v>0</v>
      </c>
      <c r="E47" t="s">
        <v>58</v>
      </c>
      <c r="F47">
        <f>HYPERLINK("https://video.twimg.com/ext_tw_video/998800129019727872/pu/vid/1280x720/WYuoBwW1rDUUzr2S.mp4?tag=3", "https://video.twimg.com/ext_tw_video/998800129019727872/pu/vid/1280x720/WYuoBwW1rDUUzr2S.mp4?tag=3")</f>
        <v/>
      </c>
      <c r="G47" t="s"/>
      <c r="H47" t="s"/>
      <c r="I47" t="s"/>
      <c r="J47" t="n">
        <v>-0.6652</v>
      </c>
      <c r="K47" t="n">
        <v>0.158</v>
      </c>
      <c r="L47" t="n">
        <v>0.803</v>
      </c>
      <c r="M47" t="n">
        <v>0.039</v>
      </c>
    </row>
    <row r="48" spans="1:13">
      <c r="A48" s="1">
        <f>HYPERLINK("http://www.twitter.com/NathanBLawrence/status/998799282248519680", "998799282248519680")</f>
        <v/>
      </c>
      <c r="B48" s="2" t="n">
        <v>43242.23240740741</v>
      </c>
      <c r="C48" t="n">
        <v>5</v>
      </c>
      <c r="D48" t="n">
        <v>3</v>
      </c>
      <c r="E48" t="s">
        <v>59</v>
      </c>
      <c r="F48">
        <f>HYPERLINK("https://video.twimg.com/ext_tw_video/998799238900338689/pu/vid/1280x720/nEStYsXsPndmklZx.mp4?tag=3", "https://video.twimg.com/ext_tw_video/998799238900338689/pu/vid/1280x720/nEStYsXsPndmklZx.mp4?tag=3")</f>
        <v/>
      </c>
      <c r="G48" t="s"/>
      <c r="H48" t="s"/>
      <c r="I48" t="s"/>
      <c r="J48" t="n">
        <v>-0.4023</v>
      </c>
      <c r="K48" t="n">
        <v>0.125</v>
      </c>
      <c r="L48" t="n">
        <v>0.875</v>
      </c>
      <c r="M48" t="n">
        <v>0</v>
      </c>
    </row>
    <row r="49" spans="1:13">
      <c r="A49" s="1">
        <f>HYPERLINK("http://www.twitter.com/NathanBLawrence/status/998799154225836032", "998799154225836032")</f>
        <v/>
      </c>
      <c r="B49" s="2" t="n">
        <v>43242.23204861111</v>
      </c>
      <c r="C49" t="n">
        <v>9</v>
      </c>
      <c r="D49" t="n">
        <v>6</v>
      </c>
      <c r="E49" t="s">
        <v>60</v>
      </c>
      <c r="F49">
        <f>HYPERLINK("https://video.twimg.com/ext_tw_video/998799105827614721/pu/vid/1280x720/9-IT_eqxZNlFd0yj.mp4?tag=3", "https://video.twimg.com/ext_tw_video/998799105827614721/pu/vid/1280x720/9-IT_eqxZNlFd0yj.mp4?tag=3")</f>
        <v/>
      </c>
      <c r="G49" t="s"/>
      <c r="H49" t="s"/>
      <c r="I49" t="s"/>
      <c r="J49" t="n">
        <v>-0.2269</v>
      </c>
      <c r="K49" t="n">
        <v>0.113</v>
      </c>
      <c r="L49" t="n">
        <v>0.792</v>
      </c>
      <c r="M49" t="n">
        <v>0.095</v>
      </c>
    </row>
    <row r="50" spans="1:13">
      <c r="A50" s="1">
        <f>HYPERLINK("http://www.twitter.com/NathanBLawrence/status/998798656613609481", "998798656613609481")</f>
        <v/>
      </c>
      <c r="B50" s="2" t="n">
        <v>43242.23068287037</v>
      </c>
      <c r="C50" t="n">
        <v>1</v>
      </c>
      <c r="D50" t="n">
        <v>0</v>
      </c>
      <c r="E50" t="s">
        <v>61</v>
      </c>
      <c r="F50">
        <f>HYPERLINK("https://video.twimg.com/ext_tw_video/998798595653451776/pu/vid/1280x720/2LcC_lKcQ_zs6ZGK.mp4?tag=3", "https://video.twimg.com/ext_tw_video/998798595653451776/pu/vid/1280x720/2LcC_lKcQ_zs6ZGK.mp4?tag=3")</f>
        <v/>
      </c>
      <c r="G50" t="s"/>
      <c r="H50" t="s"/>
      <c r="I50" t="s"/>
      <c r="J50" t="n">
        <v>0.5879</v>
      </c>
      <c r="K50" t="n">
        <v>0.055</v>
      </c>
      <c r="L50" t="n">
        <v>0.8129999999999999</v>
      </c>
      <c r="M50" t="n">
        <v>0.132</v>
      </c>
    </row>
    <row r="51" spans="1:13">
      <c r="A51" s="1">
        <f>HYPERLINK("http://www.twitter.com/NathanBLawrence/status/998798463373598720", "998798463373598720")</f>
        <v/>
      </c>
      <c r="B51" s="2" t="n">
        <v>43242.23015046296</v>
      </c>
      <c r="C51" t="n">
        <v>5</v>
      </c>
      <c r="D51" t="n">
        <v>3</v>
      </c>
      <c r="E51" t="s">
        <v>62</v>
      </c>
      <c r="F51" t="s"/>
      <c r="G51" t="s"/>
      <c r="H51" t="s"/>
      <c r="I51" t="s"/>
      <c r="J51" t="n">
        <v>-0.851</v>
      </c>
      <c r="K51" t="n">
        <v>0.306</v>
      </c>
      <c r="L51" t="n">
        <v>0.694</v>
      </c>
      <c r="M51" t="n">
        <v>0</v>
      </c>
    </row>
    <row r="52" spans="1:13">
      <c r="A52" s="1">
        <f>HYPERLINK("http://www.twitter.com/NathanBLawrence/status/998798213183410178", "998798213183410178")</f>
        <v/>
      </c>
      <c r="B52" s="2" t="n">
        <v>43242.22945601852</v>
      </c>
      <c r="C52" t="n">
        <v>0</v>
      </c>
      <c r="D52" t="n">
        <v>1</v>
      </c>
      <c r="E52" t="s">
        <v>63</v>
      </c>
      <c r="F52" t="s"/>
      <c r="G52" t="s"/>
      <c r="H52" t="s"/>
      <c r="I52" t="s"/>
      <c r="J52" t="n">
        <v>0</v>
      </c>
      <c r="K52" t="n">
        <v>0</v>
      </c>
      <c r="L52" t="n">
        <v>1</v>
      </c>
      <c r="M52" t="n">
        <v>0</v>
      </c>
    </row>
    <row r="53" spans="1:13">
      <c r="A53" s="1">
        <f>HYPERLINK("http://www.twitter.com/NathanBLawrence/status/998798183017996320", "998798183017996320")</f>
        <v/>
      </c>
      <c r="B53" s="2" t="n">
        <v>43242.229375</v>
      </c>
      <c r="C53" t="n">
        <v>0</v>
      </c>
      <c r="D53" t="n">
        <v>0</v>
      </c>
      <c r="E53" t="s">
        <v>64</v>
      </c>
      <c r="F53" t="s"/>
      <c r="G53" t="s"/>
      <c r="H53" t="s"/>
      <c r="I53" t="s"/>
      <c r="J53" t="n">
        <v>0.0065</v>
      </c>
      <c r="K53" t="n">
        <v>0.334</v>
      </c>
      <c r="L53" t="n">
        <v>0.395</v>
      </c>
      <c r="M53" t="n">
        <v>0.27</v>
      </c>
    </row>
    <row r="54" spans="1:13">
      <c r="A54" s="1">
        <f>HYPERLINK("http://www.twitter.com/NathanBLawrence/status/998798081150914560", "998798081150914560")</f>
        <v/>
      </c>
      <c r="B54" s="2" t="n">
        <v>43242.22908564815</v>
      </c>
      <c r="C54" t="n">
        <v>4</v>
      </c>
      <c r="D54" t="n">
        <v>1</v>
      </c>
      <c r="E54" t="s">
        <v>65</v>
      </c>
      <c r="F54">
        <f>HYPERLINK("https://video.twimg.com/ext_tw_video/998798022384353280/pu/vid/1280x720/eJUrMfVsIKsVg1mg.mp4?tag=3", "https://video.twimg.com/ext_tw_video/998798022384353280/pu/vid/1280x720/eJUrMfVsIKsVg1mg.mp4?tag=3")</f>
        <v/>
      </c>
      <c r="G54" t="s"/>
      <c r="H54" t="s"/>
      <c r="I54" t="s"/>
      <c r="J54" t="n">
        <v>0.5291</v>
      </c>
      <c r="K54" t="n">
        <v>0.044</v>
      </c>
      <c r="L54" t="n">
        <v>0.857</v>
      </c>
      <c r="M54" t="n">
        <v>0.099</v>
      </c>
    </row>
    <row r="55" spans="1:13">
      <c r="A55" s="1">
        <f>HYPERLINK("http://www.twitter.com/NathanBLawrence/status/998797770705260544", "998797770705260544")</f>
        <v/>
      </c>
      <c r="B55" s="2" t="n">
        <v>43242.22822916666</v>
      </c>
      <c r="C55" t="n">
        <v>4</v>
      </c>
      <c r="D55" t="n">
        <v>1</v>
      </c>
      <c r="E55" t="s">
        <v>66</v>
      </c>
      <c r="F55">
        <f>HYPERLINK("https://video.twimg.com/ext_tw_video/998797700505026560/pu/vid/1280x720/d9iV9fB9j4IXBf_n.mp4?tag=3", "https://video.twimg.com/ext_tw_video/998797700505026560/pu/vid/1280x720/d9iV9fB9j4IXBf_n.mp4?tag=3")</f>
        <v/>
      </c>
      <c r="G55" t="s"/>
      <c r="H55" t="s"/>
      <c r="I55" t="s"/>
      <c r="J55" t="n">
        <v>-0.7847</v>
      </c>
      <c r="K55" t="n">
        <v>0.189</v>
      </c>
      <c r="L55" t="n">
        <v>0.8110000000000001</v>
      </c>
      <c r="M55" t="n">
        <v>0</v>
      </c>
    </row>
    <row r="56" spans="1:13">
      <c r="A56" s="1">
        <f>HYPERLINK("http://www.twitter.com/NathanBLawrence/status/998797205086658561", "998797205086658561")</f>
        <v/>
      </c>
      <c r="B56" s="2" t="n">
        <v>43242.22667824074</v>
      </c>
      <c r="C56" t="n">
        <v>0</v>
      </c>
      <c r="D56" t="n">
        <v>11</v>
      </c>
      <c r="E56" t="s">
        <v>67</v>
      </c>
      <c r="F56" t="s"/>
      <c r="G56" t="s"/>
      <c r="H56" t="s"/>
      <c r="I56" t="s"/>
      <c r="J56" t="n">
        <v>0.4648</v>
      </c>
      <c r="K56" t="n">
        <v>0</v>
      </c>
      <c r="L56" t="n">
        <v>0.856</v>
      </c>
      <c r="M56" t="n">
        <v>0.144</v>
      </c>
    </row>
    <row r="57" spans="1:13">
      <c r="A57" s="1">
        <f>HYPERLINK("http://www.twitter.com/NathanBLawrence/status/998797176900866048", "998797176900866048")</f>
        <v/>
      </c>
      <c r="B57" s="2" t="n">
        <v>43242.22659722222</v>
      </c>
      <c r="C57" t="n">
        <v>3</v>
      </c>
      <c r="D57" t="n">
        <v>1</v>
      </c>
      <c r="E57" t="s">
        <v>68</v>
      </c>
      <c r="F57" t="s"/>
      <c r="G57" t="s"/>
      <c r="H57" t="s"/>
      <c r="I57" t="s"/>
      <c r="J57" t="n">
        <v>0</v>
      </c>
      <c r="K57" t="n">
        <v>0</v>
      </c>
      <c r="L57" t="n">
        <v>1</v>
      </c>
      <c r="M57" t="n">
        <v>0</v>
      </c>
    </row>
    <row r="58" spans="1:13">
      <c r="A58" s="1">
        <f>HYPERLINK("http://www.twitter.com/NathanBLawrence/status/998797057266716672", "998797057266716672")</f>
        <v/>
      </c>
      <c r="B58" s="2" t="n">
        <v>43242.22626157408</v>
      </c>
      <c r="C58" t="n">
        <v>1</v>
      </c>
      <c r="D58" t="n">
        <v>0</v>
      </c>
      <c r="E58" t="s">
        <v>69</v>
      </c>
      <c r="F58" t="s"/>
      <c r="G58" t="s"/>
      <c r="H58" t="s"/>
      <c r="I58" t="s"/>
      <c r="J58" t="n">
        <v>-0.2732</v>
      </c>
      <c r="K58" t="n">
        <v>0.512</v>
      </c>
      <c r="L58" t="n">
        <v>0.488</v>
      </c>
      <c r="M58" t="n">
        <v>0</v>
      </c>
    </row>
    <row r="59" spans="1:13">
      <c r="A59" s="1">
        <f>HYPERLINK("http://www.twitter.com/NathanBLawrence/status/998796989809811456", "998796989809811456")</f>
        <v/>
      </c>
      <c r="B59" s="2" t="n">
        <v>43242.22607638889</v>
      </c>
      <c r="C59" t="n">
        <v>0</v>
      </c>
      <c r="D59" t="n">
        <v>7</v>
      </c>
      <c r="E59" t="s">
        <v>70</v>
      </c>
      <c r="F59" t="s"/>
      <c r="G59" t="s"/>
      <c r="H59" t="s"/>
      <c r="I59" t="s"/>
      <c r="J59" t="n">
        <v>0.6124000000000001</v>
      </c>
      <c r="K59" t="n">
        <v>0</v>
      </c>
      <c r="L59" t="n">
        <v>0.773</v>
      </c>
      <c r="M59" t="n">
        <v>0.227</v>
      </c>
    </row>
    <row r="60" spans="1:13">
      <c r="A60" s="1">
        <f>HYPERLINK("http://www.twitter.com/NathanBLawrence/status/998796979432980480", "998796979432980480")</f>
        <v/>
      </c>
      <c r="B60" s="2" t="n">
        <v>43242.22605324074</v>
      </c>
      <c r="C60" t="n">
        <v>0</v>
      </c>
      <c r="D60" t="n">
        <v>8</v>
      </c>
      <c r="E60" t="s">
        <v>71</v>
      </c>
      <c r="F60" t="s"/>
      <c r="G60" t="s"/>
      <c r="H60" t="s"/>
      <c r="I60" t="s"/>
      <c r="J60" t="n">
        <v>-0.5859</v>
      </c>
      <c r="K60" t="n">
        <v>0.22</v>
      </c>
      <c r="L60" t="n">
        <v>0.78</v>
      </c>
      <c r="M60" t="n">
        <v>0</v>
      </c>
    </row>
    <row r="61" spans="1:13">
      <c r="A61" s="1">
        <f>HYPERLINK("http://www.twitter.com/NathanBLawrence/status/998796938538610688", "998796938538610688")</f>
        <v/>
      </c>
      <c r="B61" s="2" t="n">
        <v>43242.2259375</v>
      </c>
      <c r="C61" t="n">
        <v>0</v>
      </c>
      <c r="D61" t="n">
        <v>9</v>
      </c>
      <c r="E61" t="s">
        <v>72</v>
      </c>
      <c r="F61">
        <f>HYPERLINK("http://pbs.twimg.com/media/DdwcMj5U0AEQ8AJ.jpg", "http://pbs.twimg.com/media/DdwcMj5U0AEQ8AJ.jpg")</f>
        <v/>
      </c>
      <c r="G61" t="s"/>
      <c r="H61" t="s"/>
      <c r="I61" t="s"/>
      <c r="J61" t="n">
        <v>0.4019</v>
      </c>
      <c r="K61" t="n">
        <v>0.113</v>
      </c>
      <c r="L61" t="n">
        <v>0.64</v>
      </c>
      <c r="M61" t="n">
        <v>0.246</v>
      </c>
    </row>
    <row r="62" spans="1:13">
      <c r="A62" s="1">
        <f>HYPERLINK("http://www.twitter.com/NathanBLawrence/status/998796894217351168", "998796894217351168")</f>
        <v/>
      </c>
      <c r="B62" s="2" t="n">
        <v>43242.22581018518</v>
      </c>
      <c r="C62" t="n">
        <v>0</v>
      </c>
      <c r="D62" t="n">
        <v>16</v>
      </c>
      <c r="E62" t="s">
        <v>73</v>
      </c>
      <c r="F62" t="s"/>
      <c r="G62" t="s"/>
      <c r="H62" t="s"/>
      <c r="I62" t="s"/>
      <c r="J62" t="n">
        <v>-0.3818</v>
      </c>
      <c r="K62" t="n">
        <v>0.106</v>
      </c>
      <c r="L62" t="n">
        <v>0.894</v>
      </c>
      <c r="M62" t="n">
        <v>0</v>
      </c>
    </row>
    <row r="63" spans="1:13">
      <c r="A63" s="1">
        <f>HYPERLINK("http://www.twitter.com/NathanBLawrence/status/998796872226689024", "998796872226689024")</f>
        <v/>
      </c>
      <c r="B63" s="2" t="n">
        <v>43242.22575231481</v>
      </c>
      <c r="C63" t="n">
        <v>0</v>
      </c>
      <c r="D63" t="n">
        <v>14</v>
      </c>
      <c r="E63" t="s">
        <v>74</v>
      </c>
      <c r="F63" t="s"/>
      <c r="G63" t="s"/>
      <c r="H63" t="s"/>
      <c r="I63" t="s"/>
      <c r="J63" t="n">
        <v>0</v>
      </c>
      <c r="K63" t="n">
        <v>0</v>
      </c>
      <c r="L63" t="n">
        <v>1</v>
      </c>
      <c r="M63" t="n">
        <v>0</v>
      </c>
    </row>
    <row r="64" spans="1:13">
      <c r="A64" s="1">
        <f>HYPERLINK("http://www.twitter.com/NathanBLawrence/status/998796098931253249", "998796098931253249")</f>
        <v/>
      </c>
      <c r="B64" s="2" t="n">
        <v>43242.22362268518</v>
      </c>
      <c r="C64" t="n">
        <v>0</v>
      </c>
      <c r="D64" t="n">
        <v>13</v>
      </c>
      <c r="E64" t="s">
        <v>75</v>
      </c>
      <c r="F64">
        <f>HYPERLINK("https://video.twimg.com/ext_tw_video/998795753848897539/pu/vid/1280x720/irHPzQawOL56eybL.mp4?tag=3", "https://video.twimg.com/ext_tw_video/998795753848897539/pu/vid/1280x720/irHPzQawOL56eybL.mp4?tag=3")</f>
        <v/>
      </c>
      <c r="G64" t="s"/>
      <c r="H64" t="s"/>
      <c r="I64" t="s"/>
      <c r="J64" t="n">
        <v>0.1338</v>
      </c>
      <c r="K64" t="n">
        <v>0.108</v>
      </c>
      <c r="L64" t="n">
        <v>0.762</v>
      </c>
      <c r="M64" t="n">
        <v>0.129</v>
      </c>
    </row>
    <row r="65" spans="1:13">
      <c r="A65" s="1">
        <f>HYPERLINK("http://www.twitter.com/NathanBLawrence/status/998795825198325760", "998795825198325760")</f>
        <v/>
      </c>
      <c r="B65" s="2" t="n">
        <v>43242.22287037037</v>
      </c>
      <c r="C65" t="n">
        <v>21</v>
      </c>
      <c r="D65" t="n">
        <v>13</v>
      </c>
      <c r="E65" t="s">
        <v>76</v>
      </c>
      <c r="F65">
        <f>HYPERLINK("https://video.twimg.com/ext_tw_video/998795753848897539/pu/vid/1280x720/irHPzQawOL56eybL.mp4?tag=3", "https://video.twimg.com/ext_tw_video/998795753848897539/pu/vid/1280x720/irHPzQawOL56eybL.mp4?tag=3")</f>
        <v/>
      </c>
      <c r="G65" t="s"/>
      <c r="H65" t="s"/>
      <c r="I65" t="s"/>
      <c r="J65" t="n">
        <v>0.5879</v>
      </c>
      <c r="K65" t="n">
        <v>0.056</v>
      </c>
      <c r="L65" t="n">
        <v>0.8090000000000001</v>
      </c>
      <c r="M65" t="n">
        <v>0.135</v>
      </c>
    </row>
    <row r="66" spans="1:13">
      <c r="A66" s="1">
        <f>HYPERLINK("http://www.twitter.com/NathanBLawrence/status/998765583318568961", "998765583318568961")</f>
        <v/>
      </c>
      <c r="B66" s="2" t="n">
        <v>43242.13940972222</v>
      </c>
      <c r="C66" t="n">
        <v>0</v>
      </c>
      <c r="D66" t="n">
        <v>14</v>
      </c>
      <c r="E66" t="s">
        <v>77</v>
      </c>
      <c r="F66">
        <f>HYPERLINK("http://pbs.twimg.com/media/DdwkJc-U8AEXWTi.jpg", "http://pbs.twimg.com/media/DdwkJc-U8AEXWTi.jpg")</f>
        <v/>
      </c>
      <c r="G66" t="s"/>
      <c r="H66" t="s"/>
      <c r="I66" t="s"/>
      <c r="J66" t="n">
        <v>0.4926</v>
      </c>
      <c r="K66" t="n">
        <v>0</v>
      </c>
      <c r="L66" t="n">
        <v>0.825</v>
      </c>
      <c r="M66" t="n">
        <v>0.175</v>
      </c>
    </row>
    <row r="67" spans="1:13">
      <c r="A67" s="1">
        <f>HYPERLINK("http://www.twitter.com/NathanBLawrence/status/998707492573020162", "998707492573020162")</f>
        <v/>
      </c>
      <c r="B67" s="2" t="n">
        <v>43241.97910879629</v>
      </c>
      <c r="C67" t="n">
        <v>0</v>
      </c>
      <c r="D67" t="n">
        <v>3</v>
      </c>
      <c r="E67" t="s">
        <v>78</v>
      </c>
      <c r="F67">
        <f>HYPERLINK("http://pbs.twimg.com/media/DdwazLgV0AEj-Jt.jpg", "http://pbs.twimg.com/media/DdwazLgV0AEj-Jt.jpg")</f>
        <v/>
      </c>
      <c r="G67" t="s"/>
      <c r="H67" t="s"/>
      <c r="I67" t="s"/>
      <c r="J67" t="n">
        <v>0.5093</v>
      </c>
      <c r="K67" t="n">
        <v>0</v>
      </c>
      <c r="L67" t="n">
        <v>0.719</v>
      </c>
      <c r="M67" t="n">
        <v>0.281</v>
      </c>
    </row>
    <row r="68" spans="1:13">
      <c r="A68" s="1">
        <f>HYPERLINK("http://www.twitter.com/NathanBLawrence/status/998707409685278725", "998707409685278725")</f>
        <v/>
      </c>
      <c r="B68" s="2" t="n">
        <v>43241.97888888889</v>
      </c>
      <c r="C68" t="n">
        <v>0</v>
      </c>
      <c r="D68" t="n">
        <v>7</v>
      </c>
      <c r="E68" t="s">
        <v>79</v>
      </c>
      <c r="F68" t="s"/>
      <c r="G68" t="s"/>
      <c r="H68" t="s"/>
      <c r="I68" t="s"/>
      <c r="J68" t="n">
        <v>0</v>
      </c>
      <c r="K68" t="n">
        <v>0</v>
      </c>
      <c r="L68" t="n">
        <v>1</v>
      </c>
      <c r="M68" t="n">
        <v>0</v>
      </c>
    </row>
    <row r="69" spans="1:13">
      <c r="A69" s="1">
        <f>HYPERLINK("http://www.twitter.com/NathanBLawrence/status/998707350704939008", "998707350704939008")</f>
        <v/>
      </c>
      <c r="B69" s="2" t="n">
        <v>43241.97872685185</v>
      </c>
      <c r="C69" t="n">
        <v>0</v>
      </c>
      <c r="D69" t="n">
        <v>11</v>
      </c>
      <c r="E69" t="s">
        <v>80</v>
      </c>
      <c r="F69" t="s"/>
      <c r="G69" t="s"/>
      <c r="H69" t="s"/>
      <c r="I69" t="s"/>
      <c r="J69" t="n">
        <v>-0.0516</v>
      </c>
      <c r="K69" t="n">
        <v>0.107</v>
      </c>
      <c r="L69" t="n">
        <v>0.793</v>
      </c>
      <c r="M69" t="n">
        <v>0.1</v>
      </c>
    </row>
    <row r="70" spans="1:13">
      <c r="A70" s="1">
        <f>HYPERLINK("http://www.twitter.com/NathanBLawrence/status/998705693900361728", "998705693900361728")</f>
        <v/>
      </c>
      <c r="B70" s="2" t="n">
        <v>43241.97415509259</v>
      </c>
      <c r="C70" t="n">
        <v>0</v>
      </c>
      <c r="D70" t="n">
        <v>14</v>
      </c>
      <c r="E70" t="s">
        <v>81</v>
      </c>
      <c r="F70">
        <f>HYPERLINK("http://pbs.twimg.com/media/DdwbsbiUQAEKIHK.jpg", "http://pbs.twimg.com/media/DdwbsbiUQAEKIHK.jpg")</f>
        <v/>
      </c>
      <c r="G70" t="s"/>
      <c r="H70" t="s"/>
      <c r="I70" t="s"/>
      <c r="J70" t="n">
        <v>0.5079</v>
      </c>
      <c r="K70" t="n">
        <v>0.099</v>
      </c>
      <c r="L70" t="n">
        <v>0.6840000000000001</v>
      </c>
      <c r="M70" t="n">
        <v>0.217</v>
      </c>
    </row>
    <row r="71" spans="1:13">
      <c r="A71" s="1">
        <f>HYPERLINK("http://www.twitter.com/NathanBLawrence/status/998705580821942273", "998705580821942273")</f>
        <v/>
      </c>
      <c r="B71" s="2" t="n">
        <v>43241.97384259259</v>
      </c>
      <c r="C71" t="n">
        <v>0</v>
      </c>
      <c r="D71" t="n">
        <v>16</v>
      </c>
      <c r="E71" t="s">
        <v>82</v>
      </c>
      <c r="F71">
        <f>HYPERLINK("http://pbs.twimg.com/media/DdwdF9nU0AApFnE.jpg", "http://pbs.twimg.com/media/DdwdF9nU0AApFnE.jpg")</f>
        <v/>
      </c>
      <c r="G71">
        <f>HYPERLINK("http://pbs.twimg.com/media/DdwdGXtU0AAhSBb.jpg", "http://pbs.twimg.com/media/DdwdGXtU0AAhSBb.jpg")</f>
        <v/>
      </c>
      <c r="H71">
        <f>HYPERLINK("http://pbs.twimg.com/media/DdwdGx1VMAAvUSs.jpg", "http://pbs.twimg.com/media/DdwdGx1VMAAvUSs.jpg")</f>
        <v/>
      </c>
      <c r="I71">
        <f>HYPERLINK("http://pbs.twimg.com/media/DdwdHK7VQAAbDxG.jpg", "http://pbs.twimg.com/media/DdwdHK7VQAAbDxG.jpg")</f>
        <v/>
      </c>
      <c r="J71" t="n">
        <v>-0.3382</v>
      </c>
      <c r="K71" t="n">
        <v>0.117</v>
      </c>
      <c r="L71" t="n">
        <v>0.883</v>
      </c>
      <c r="M71" t="n">
        <v>0</v>
      </c>
    </row>
    <row r="72" spans="1:13">
      <c r="A72" s="1">
        <f>HYPERLINK("http://www.twitter.com/NathanBLawrence/status/998705233374085121", "998705233374085121")</f>
        <v/>
      </c>
      <c r="B72" s="2" t="n">
        <v>43241.97288194444</v>
      </c>
      <c r="C72" t="n">
        <v>15</v>
      </c>
      <c r="D72" t="n">
        <v>16</v>
      </c>
      <c r="E72" t="s">
        <v>83</v>
      </c>
      <c r="F72">
        <f>HYPERLINK("http://pbs.twimg.com/media/DdwdF9nU0AApFnE.jpg", "http://pbs.twimg.com/media/DdwdF9nU0AApFnE.jpg")</f>
        <v/>
      </c>
      <c r="G72">
        <f>HYPERLINK("http://pbs.twimg.com/media/DdwdGXtU0AAhSBb.jpg", "http://pbs.twimg.com/media/DdwdGXtU0AAhSBb.jpg")</f>
        <v/>
      </c>
      <c r="H72">
        <f>HYPERLINK("http://pbs.twimg.com/media/DdwdGx1VMAAvUSs.jpg", "http://pbs.twimg.com/media/DdwdGx1VMAAvUSs.jpg")</f>
        <v/>
      </c>
      <c r="I72">
        <f>HYPERLINK("http://pbs.twimg.com/media/DdwdHK7VQAAbDxG.jpg", "http://pbs.twimg.com/media/DdwdHK7VQAAbDxG.jpg")</f>
        <v/>
      </c>
      <c r="J72" t="n">
        <v>-0.6973</v>
      </c>
      <c r="K72" t="n">
        <v>0.155</v>
      </c>
      <c r="L72" t="n">
        <v>0.845</v>
      </c>
      <c r="M72" t="n">
        <v>0</v>
      </c>
    </row>
    <row r="73" spans="1:13">
      <c r="A73" s="1">
        <f>HYPERLINK("http://www.twitter.com/NathanBLawrence/status/998702617667817473", "998702617667817473")</f>
        <v/>
      </c>
      <c r="B73" s="2" t="n">
        <v>43241.96565972222</v>
      </c>
      <c r="C73" t="n">
        <v>0</v>
      </c>
      <c r="D73" t="n">
        <v>12</v>
      </c>
      <c r="E73" t="s">
        <v>84</v>
      </c>
      <c r="F73">
        <f>HYPERLINK("http://pbs.twimg.com/media/DdwZnLeU8AANM98.jpg", "http://pbs.twimg.com/media/DdwZnLeU8AANM98.jpg")</f>
        <v/>
      </c>
      <c r="G73">
        <f>HYPERLINK("http://pbs.twimg.com/media/DdwZnsQVwAAmC-H.jpg", "http://pbs.twimg.com/media/DdwZnsQVwAAmC-H.jpg")</f>
        <v/>
      </c>
      <c r="H73">
        <f>HYPERLINK("http://pbs.twimg.com/media/DdwZoZ8V0AAHa1j.jpg", "http://pbs.twimg.com/media/DdwZoZ8V0AAHa1j.jpg")</f>
        <v/>
      </c>
      <c r="I73">
        <f>HYPERLINK("http://pbs.twimg.com/media/DdwZpE6V0AA4Aw3.jpg", "http://pbs.twimg.com/media/DdwZpE6V0AA4Aw3.jpg")</f>
        <v/>
      </c>
      <c r="J73" t="n">
        <v>0.08649999999999999</v>
      </c>
      <c r="K73" t="n">
        <v>0.091</v>
      </c>
      <c r="L73" t="n">
        <v>0.806</v>
      </c>
      <c r="M73" t="n">
        <v>0.104</v>
      </c>
    </row>
    <row r="74" spans="1:13">
      <c r="A74" s="1">
        <f>HYPERLINK("http://www.twitter.com/NathanBLawrence/status/998702301824077825", "998702301824077825")</f>
        <v/>
      </c>
      <c r="B74" s="2" t="n">
        <v>43241.96479166667</v>
      </c>
      <c r="C74" t="n">
        <v>0</v>
      </c>
      <c r="D74" t="n">
        <v>6</v>
      </c>
      <c r="E74" t="s">
        <v>85</v>
      </c>
      <c r="F74" t="s"/>
      <c r="G74" t="s"/>
      <c r="H74" t="s"/>
      <c r="I74" t="s"/>
      <c r="J74" t="n">
        <v>0</v>
      </c>
      <c r="K74" t="n">
        <v>0</v>
      </c>
      <c r="L74" t="n">
        <v>1</v>
      </c>
      <c r="M74" t="n">
        <v>0</v>
      </c>
    </row>
    <row r="75" spans="1:13">
      <c r="A75" s="1">
        <f>HYPERLINK("http://www.twitter.com/NathanBLawrence/status/998702236216840193", "998702236216840193")</f>
        <v/>
      </c>
      <c r="B75" s="2" t="n">
        <v>43241.96460648148</v>
      </c>
      <c r="C75" t="n">
        <v>5</v>
      </c>
      <c r="D75" t="n">
        <v>5</v>
      </c>
      <c r="E75" t="s">
        <v>86</v>
      </c>
      <c r="F75" t="s"/>
      <c r="G75" t="s"/>
      <c r="H75" t="s"/>
      <c r="I75" t="s"/>
      <c r="J75" t="n">
        <v>-0.4374</v>
      </c>
      <c r="K75" t="n">
        <v>0.112</v>
      </c>
      <c r="L75" t="n">
        <v>0.835</v>
      </c>
      <c r="M75" t="n">
        <v>0.053</v>
      </c>
    </row>
    <row r="76" spans="1:13">
      <c r="A76" s="1">
        <f>HYPERLINK("http://www.twitter.com/NathanBLawrence/status/998701489265704960", "998701489265704960")</f>
        <v/>
      </c>
      <c r="B76" s="2" t="n">
        <v>43241.96254629629</v>
      </c>
      <c r="C76" t="n">
        <v>0</v>
      </c>
      <c r="D76" t="n">
        <v>8</v>
      </c>
      <c r="E76" t="s">
        <v>87</v>
      </c>
      <c r="F76" t="s"/>
      <c r="G76" t="s"/>
      <c r="H76" t="s"/>
      <c r="I76" t="s"/>
      <c r="J76" t="n">
        <v>-0.1779</v>
      </c>
      <c r="K76" t="n">
        <v>0.166</v>
      </c>
      <c r="L76" t="n">
        <v>0.704</v>
      </c>
      <c r="M76" t="n">
        <v>0.131</v>
      </c>
    </row>
    <row r="77" spans="1:13">
      <c r="A77" s="1">
        <f>HYPERLINK("http://www.twitter.com/NathanBLawrence/status/998701442457272321", "998701442457272321")</f>
        <v/>
      </c>
      <c r="B77" s="2" t="n">
        <v>43241.96241898148</v>
      </c>
      <c r="C77" t="n">
        <v>0</v>
      </c>
      <c r="D77" t="n">
        <v>33</v>
      </c>
      <c r="E77" t="s">
        <v>88</v>
      </c>
      <c r="F77" t="s"/>
      <c r="G77" t="s"/>
      <c r="H77" t="s"/>
      <c r="I77" t="s"/>
      <c r="J77" t="n">
        <v>-0.7258</v>
      </c>
      <c r="K77" t="n">
        <v>0.307</v>
      </c>
      <c r="L77" t="n">
        <v>0.6929999999999999</v>
      </c>
      <c r="M77" t="n">
        <v>0</v>
      </c>
    </row>
    <row r="78" spans="1:13">
      <c r="A78" s="1">
        <f>HYPERLINK("http://www.twitter.com/NathanBLawrence/status/998654341753040897", "998654341753040897")</f>
        <v/>
      </c>
      <c r="B78" s="2" t="n">
        <v>43241.83244212963</v>
      </c>
      <c r="C78" t="n">
        <v>0</v>
      </c>
      <c r="D78" t="n">
        <v>5</v>
      </c>
      <c r="E78" t="s">
        <v>89</v>
      </c>
      <c r="F78">
        <f>HYPERLINK("http://pbs.twimg.com/media/DdvOsLhUwAYBWpZ.jpg", "http://pbs.twimg.com/media/DdvOsLhUwAYBWpZ.jpg")</f>
        <v/>
      </c>
      <c r="G78" t="s"/>
      <c r="H78" t="s"/>
      <c r="I78" t="s"/>
      <c r="J78" t="n">
        <v>-0.7007</v>
      </c>
      <c r="K78" t="n">
        <v>0.209</v>
      </c>
      <c r="L78" t="n">
        <v>0.791</v>
      </c>
      <c r="M78" t="n">
        <v>0</v>
      </c>
    </row>
    <row r="79" spans="1:13">
      <c r="A79" s="1">
        <f>HYPERLINK("http://www.twitter.com/NathanBLawrence/status/998654321649647616", "998654321649647616")</f>
        <v/>
      </c>
      <c r="B79" s="2" t="n">
        <v>43241.83239583333</v>
      </c>
      <c r="C79" t="n">
        <v>0</v>
      </c>
      <c r="D79" t="n">
        <v>24</v>
      </c>
      <c r="E79" t="s">
        <v>90</v>
      </c>
      <c r="F79">
        <f>HYPERLINK("http://pbs.twimg.com/media/Ddtx48ZVAAA0rLc.jpg", "http://pbs.twimg.com/media/Ddtx48ZVAAA0rLc.jpg")</f>
        <v/>
      </c>
      <c r="G79" t="s"/>
      <c r="H79" t="s"/>
      <c r="I79" t="s"/>
      <c r="J79" t="n">
        <v>-0.2387</v>
      </c>
      <c r="K79" t="n">
        <v>0.176</v>
      </c>
      <c r="L79" t="n">
        <v>0.6889999999999999</v>
      </c>
      <c r="M79" t="n">
        <v>0.135</v>
      </c>
    </row>
    <row r="80" spans="1:13">
      <c r="A80" s="1">
        <f>HYPERLINK("http://www.twitter.com/NathanBLawrence/status/998637987205406721", "998637987205406721")</f>
        <v/>
      </c>
      <c r="B80" s="2" t="n">
        <v>43241.78731481481</v>
      </c>
      <c r="C80" t="n">
        <v>10</v>
      </c>
      <c r="D80" t="n">
        <v>8</v>
      </c>
      <c r="E80" t="s">
        <v>91</v>
      </c>
      <c r="F80" t="s"/>
      <c r="G80" t="s"/>
      <c r="H80" t="s"/>
      <c r="I80" t="s"/>
      <c r="J80" t="n">
        <v>-0.8158</v>
      </c>
      <c r="K80" t="n">
        <v>0.293</v>
      </c>
      <c r="L80" t="n">
        <v>0.661</v>
      </c>
      <c r="M80" t="n">
        <v>0.046</v>
      </c>
    </row>
    <row r="81" spans="1:13">
      <c r="A81" s="1">
        <f>HYPERLINK("http://www.twitter.com/NathanBLawrence/status/998637397326868482", "998637397326868482")</f>
        <v/>
      </c>
      <c r="B81" s="2" t="n">
        <v>43241.78568287037</v>
      </c>
      <c r="C81" t="n">
        <v>0</v>
      </c>
      <c r="D81" t="n">
        <v>83</v>
      </c>
      <c r="E81" t="s">
        <v>92</v>
      </c>
      <c r="F81" t="s"/>
      <c r="G81" t="s"/>
      <c r="H81" t="s"/>
      <c r="I81" t="s"/>
      <c r="J81" t="n">
        <v>-0.3612</v>
      </c>
      <c r="K81" t="n">
        <v>0.111</v>
      </c>
      <c r="L81" t="n">
        <v>0.889</v>
      </c>
      <c r="M81" t="n">
        <v>0</v>
      </c>
    </row>
    <row r="82" spans="1:13">
      <c r="A82" s="1">
        <f>HYPERLINK("http://www.twitter.com/NathanBLawrence/status/998637374199468032", "998637374199468032")</f>
        <v/>
      </c>
      <c r="B82" s="2" t="n">
        <v>43241.785625</v>
      </c>
      <c r="C82" t="n">
        <v>0</v>
      </c>
      <c r="D82" t="n">
        <v>46</v>
      </c>
      <c r="E82" t="s">
        <v>93</v>
      </c>
      <c r="F82" t="s"/>
      <c r="G82" t="s"/>
      <c r="H82" t="s"/>
      <c r="I82" t="s"/>
      <c r="J82" t="n">
        <v>-0.7003</v>
      </c>
      <c r="K82" t="n">
        <v>0.244</v>
      </c>
      <c r="L82" t="n">
        <v>0.756</v>
      </c>
      <c r="M82" t="n">
        <v>0</v>
      </c>
    </row>
    <row r="83" spans="1:13">
      <c r="A83" s="1">
        <f>HYPERLINK("http://www.twitter.com/NathanBLawrence/status/998637011455135744", "998637011455135744")</f>
        <v/>
      </c>
      <c r="B83" s="2" t="n">
        <v>43241.78461805556</v>
      </c>
      <c r="C83" t="n">
        <v>0</v>
      </c>
      <c r="D83" t="n">
        <v>9</v>
      </c>
      <c r="E83" t="s">
        <v>94</v>
      </c>
      <c r="F83" t="s"/>
      <c r="G83" t="s"/>
      <c r="H83" t="s"/>
      <c r="I83" t="s"/>
      <c r="J83" t="n">
        <v>0</v>
      </c>
      <c r="K83" t="n">
        <v>0</v>
      </c>
      <c r="L83" t="n">
        <v>1</v>
      </c>
      <c r="M83" t="n">
        <v>0</v>
      </c>
    </row>
    <row r="84" spans="1:13">
      <c r="A84" s="1">
        <f>HYPERLINK("http://www.twitter.com/NathanBLawrence/status/998634094169874437", "998634094169874437")</f>
        <v/>
      </c>
      <c r="B84" s="2" t="n">
        <v>43241.77657407407</v>
      </c>
      <c r="C84" t="n">
        <v>6</v>
      </c>
      <c r="D84" t="n">
        <v>5</v>
      </c>
      <c r="E84" t="s">
        <v>95</v>
      </c>
      <c r="F84" t="s"/>
      <c r="G84" t="s"/>
      <c r="H84" t="s"/>
      <c r="I84" t="s"/>
      <c r="J84" t="n">
        <v>-0.1739</v>
      </c>
      <c r="K84" t="n">
        <v>0.078</v>
      </c>
      <c r="L84" t="n">
        <v>0.86</v>
      </c>
      <c r="M84" t="n">
        <v>0.062</v>
      </c>
    </row>
    <row r="85" spans="1:13">
      <c r="A85" s="1">
        <f>HYPERLINK("http://www.twitter.com/NathanBLawrence/status/998619063361458176", "998619063361458176")</f>
        <v/>
      </c>
      <c r="B85" s="2" t="n">
        <v>43241.73509259259</v>
      </c>
      <c r="C85" t="n">
        <v>6</v>
      </c>
      <c r="D85" t="n">
        <v>5</v>
      </c>
      <c r="E85" t="s">
        <v>96</v>
      </c>
      <c r="F85">
        <f>HYPERLINK("http://pbs.twimg.com/media/DdvOsLhUwAYBWpZ.jpg", "http://pbs.twimg.com/media/DdvOsLhUwAYBWpZ.jpg")</f>
        <v/>
      </c>
      <c r="G85" t="s"/>
      <c r="H85" t="s"/>
      <c r="I85" t="s"/>
      <c r="J85" t="n">
        <v>-0.4411</v>
      </c>
      <c r="K85" t="n">
        <v>0.112</v>
      </c>
      <c r="L85" t="n">
        <v>0.832</v>
      </c>
      <c r="M85" t="n">
        <v>0.056</v>
      </c>
    </row>
    <row r="86" spans="1:13">
      <c r="A86" s="1">
        <f>HYPERLINK("http://www.twitter.com/NathanBLawrence/status/998601787753025541", "998601787753025541")</f>
        <v/>
      </c>
      <c r="B86" s="2" t="n">
        <v>43241.68741898148</v>
      </c>
      <c r="C86" t="n">
        <v>0</v>
      </c>
      <c r="D86" t="n">
        <v>1</v>
      </c>
      <c r="E86" t="s">
        <v>97</v>
      </c>
      <c r="F86" t="s"/>
      <c r="G86" t="s"/>
      <c r="H86" t="s"/>
      <c r="I86" t="s"/>
      <c r="J86" t="n">
        <v>-0.7003</v>
      </c>
      <c r="K86" t="n">
        <v>0.216</v>
      </c>
      <c r="L86" t="n">
        <v>0.784</v>
      </c>
      <c r="M86" t="n">
        <v>0</v>
      </c>
    </row>
    <row r="87" spans="1:13">
      <c r="A87" s="1">
        <f>HYPERLINK("http://www.twitter.com/NathanBLawrence/status/998601609419612160", "998601609419612160")</f>
        <v/>
      </c>
      <c r="B87" s="2" t="n">
        <v>43241.68693287037</v>
      </c>
      <c r="C87" t="n">
        <v>0</v>
      </c>
      <c r="D87" t="n">
        <v>0</v>
      </c>
      <c r="E87" t="s">
        <v>98</v>
      </c>
      <c r="F87" t="s"/>
      <c r="G87" t="s"/>
      <c r="H87" t="s"/>
      <c r="I87" t="s"/>
      <c r="J87" t="n">
        <v>0.4754</v>
      </c>
      <c r="K87" t="n">
        <v>0</v>
      </c>
      <c r="L87" t="n">
        <v>0.694</v>
      </c>
      <c r="M87" t="n">
        <v>0.306</v>
      </c>
    </row>
    <row r="88" spans="1:13">
      <c r="A88" s="1">
        <f>HYPERLINK("http://www.twitter.com/NathanBLawrence/status/998601134808993792", "998601134808993792")</f>
        <v/>
      </c>
      <c r="B88" s="2" t="n">
        <v>43241.685625</v>
      </c>
      <c r="C88" t="n">
        <v>0</v>
      </c>
      <c r="D88" t="n">
        <v>0</v>
      </c>
      <c r="E88" t="s">
        <v>99</v>
      </c>
      <c r="F88" t="s"/>
      <c r="G88" t="s"/>
      <c r="H88" t="s"/>
      <c r="I88" t="s"/>
      <c r="J88" t="n">
        <v>-0.6705</v>
      </c>
      <c r="K88" t="n">
        <v>0.474</v>
      </c>
      <c r="L88" t="n">
        <v>0.526</v>
      </c>
      <c r="M88" t="n">
        <v>0</v>
      </c>
    </row>
    <row r="89" spans="1:13">
      <c r="A89" s="1">
        <f>HYPERLINK("http://www.twitter.com/NathanBLawrence/status/998600584243613696", "998600584243613696")</f>
        <v/>
      </c>
      <c r="B89" s="2" t="n">
        <v>43241.6841087963</v>
      </c>
      <c r="C89" t="n">
        <v>0</v>
      </c>
      <c r="D89" t="n">
        <v>0</v>
      </c>
      <c r="E89" t="s">
        <v>100</v>
      </c>
      <c r="F89" t="s"/>
      <c r="G89" t="s"/>
      <c r="H89" t="s"/>
      <c r="I89" t="s"/>
      <c r="J89" t="n">
        <v>0.6249</v>
      </c>
      <c r="K89" t="n">
        <v>0</v>
      </c>
      <c r="L89" t="n">
        <v>0.494</v>
      </c>
      <c r="M89" t="n">
        <v>0.506</v>
      </c>
    </row>
    <row r="90" spans="1:13">
      <c r="A90" s="1">
        <f>HYPERLINK("http://www.twitter.com/NathanBLawrence/status/998599623274127360", "998599623274127360")</f>
        <v/>
      </c>
      <c r="B90" s="2" t="n">
        <v>43241.68144675926</v>
      </c>
      <c r="C90" t="n">
        <v>0</v>
      </c>
      <c r="D90" t="n">
        <v>0</v>
      </c>
      <c r="E90" t="s">
        <v>101</v>
      </c>
      <c r="F90" t="s"/>
      <c r="G90" t="s"/>
      <c r="H90" t="s"/>
      <c r="I90" t="s"/>
      <c r="J90" t="n">
        <v>-0.2263</v>
      </c>
      <c r="K90" t="n">
        <v>0.066</v>
      </c>
      <c r="L90" t="n">
        <v>0.9340000000000001</v>
      </c>
      <c r="M90" t="n">
        <v>0</v>
      </c>
    </row>
    <row r="91" spans="1:13">
      <c r="A91" s="1">
        <f>HYPERLINK("http://www.twitter.com/NathanBLawrence/status/998599339818790912", "998599339818790912")</f>
        <v/>
      </c>
      <c r="B91" s="2" t="n">
        <v>43241.68067129629</v>
      </c>
      <c r="C91" t="n">
        <v>0</v>
      </c>
      <c r="D91" t="n">
        <v>17567</v>
      </c>
      <c r="E91" t="s">
        <v>102</v>
      </c>
      <c r="F91">
        <f>HYPERLINK("http://pbs.twimg.com/media/DdQj6A-W4AE0d5w.jpg", "http://pbs.twimg.com/media/DdQj6A-W4AE0d5w.jpg")</f>
        <v/>
      </c>
      <c r="G91" t="s"/>
      <c r="H91" t="s"/>
      <c r="I91" t="s"/>
      <c r="J91" t="n">
        <v>-0.6705</v>
      </c>
      <c r="K91" t="n">
        <v>0.255</v>
      </c>
      <c r="L91" t="n">
        <v>0.745</v>
      </c>
      <c r="M91" t="n">
        <v>0</v>
      </c>
    </row>
    <row r="92" spans="1:13">
      <c r="A92" s="1">
        <f>HYPERLINK("http://www.twitter.com/NathanBLawrence/status/998589502666039296", "998589502666039296")</f>
        <v/>
      </c>
      <c r="B92" s="2" t="n">
        <v>43241.65351851852</v>
      </c>
      <c r="C92" t="n">
        <v>0</v>
      </c>
      <c r="D92" t="n">
        <v>9</v>
      </c>
      <c r="E92" t="s">
        <v>103</v>
      </c>
      <c r="F92">
        <f>HYPERLINK("http://pbs.twimg.com/media/DduzUTxU8AAwrQT.jpg", "http://pbs.twimg.com/media/DduzUTxU8AAwrQT.jpg")</f>
        <v/>
      </c>
      <c r="G92" t="s"/>
      <c r="H92" t="s"/>
      <c r="I92" t="s"/>
      <c r="J92" t="n">
        <v>0</v>
      </c>
      <c r="K92" t="n">
        <v>0</v>
      </c>
      <c r="L92" t="n">
        <v>1</v>
      </c>
      <c r="M92" t="n">
        <v>0</v>
      </c>
    </row>
    <row r="93" spans="1:13">
      <c r="A93" s="1">
        <f>HYPERLINK("http://www.twitter.com/NathanBLawrence/status/998589024393744385", "998589024393744385")</f>
        <v/>
      </c>
      <c r="B93" s="2" t="n">
        <v>43241.65219907407</v>
      </c>
      <c r="C93" t="n">
        <v>12</v>
      </c>
      <c r="D93" t="n">
        <v>9</v>
      </c>
      <c r="E93" t="s">
        <v>104</v>
      </c>
      <c r="F93">
        <f>HYPERLINK("http://pbs.twimg.com/media/DduzUTxU8AAwrQT.jpg", "http://pbs.twimg.com/media/DduzUTxU8AAwrQT.jpg")</f>
        <v/>
      </c>
      <c r="G93" t="s"/>
      <c r="H93" t="s"/>
      <c r="I93" t="s"/>
      <c r="J93" t="n">
        <v>0</v>
      </c>
      <c r="K93" t="n">
        <v>0</v>
      </c>
      <c r="L93" t="n">
        <v>1</v>
      </c>
      <c r="M93" t="n">
        <v>0</v>
      </c>
    </row>
    <row r="94" spans="1:13">
      <c r="A94" s="1">
        <f>HYPERLINK("http://www.twitter.com/NathanBLawrence/status/998587815372959744", "998587815372959744")</f>
        <v/>
      </c>
      <c r="B94" s="2" t="n">
        <v>43241.64886574074</v>
      </c>
      <c r="C94" t="n">
        <v>0</v>
      </c>
      <c r="D94" t="n">
        <v>17</v>
      </c>
      <c r="E94" t="s">
        <v>105</v>
      </c>
      <c r="F94">
        <f>HYPERLINK("http://pbs.twimg.com/media/DdurkRqU0AASyPs.jpg", "http://pbs.twimg.com/media/DdurkRqU0AASyPs.jpg")</f>
        <v/>
      </c>
      <c r="G94" t="s"/>
      <c r="H94" t="s"/>
      <c r="I94" t="s"/>
      <c r="J94" t="n">
        <v>-0.4696</v>
      </c>
      <c r="K94" t="n">
        <v>0.127</v>
      </c>
      <c r="L94" t="n">
        <v>0.873</v>
      </c>
      <c r="M94" t="n">
        <v>0</v>
      </c>
    </row>
    <row r="95" spans="1:13">
      <c r="A95" s="1">
        <f>HYPERLINK("http://www.twitter.com/NathanBLawrence/status/998580391270330368", "998580391270330368")</f>
        <v/>
      </c>
      <c r="B95" s="2" t="n">
        <v>43241.62837962963</v>
      </c>
      <c r="C95" t="n">
        <v>20</v>
      </c>
      <c r="D95" t="n">
        <v>17</v>
      </c>
      <c r="E95" t="s">
        <v>106</v>
      </c>
      <c r="F95">
        <f>HYPERLINK("http://pbs.twimg.com/media/DdurkRqU0AASyPs.jpg", "http://pbs.twimg.com/media/DdurkRqU0AASyPs.jpg")</f>
        <v/>
      </c>
      <c r="G95" t="s"/>
      <c r="H95" t="s"/>
      <c r="I95" t="s"/>
      <c r="J95" t="n">
        <v>-0.5191</v>
      </c>
      <c r="K95" t="n">
        <v>0.08500000000000001</v>
      </c>
      <c r="L95" t="n">
        <v>0.915</v>
      </c>
      <c r="M95" t="n">
        <v>0</v>
      </c>
    </row>
    <row r="96" spans="1:13">
      <c r="A96" s="1">
        <f>HYPERLINK("http://www.twitter.com/NathanBLawrence/status/998516976124297216", "998516976124297216")</f>
        <v/>
      </c>
      <c r="B96" s="2" t="n">
        <v>43241.4533912037</v>
      </c>
      <c r="C96" t="n">
        <v>29</v>
      </c>
      <c r="D96" t="n">
        <v>24</v>
      </c>
      <c r="E96" t="s">
        <v>107</v>
      </c>
      <c r="F96">
        <f>HYPERLINK("http://pbs.twimg.com/media/Ddtx48ZVAAA0rLc.jpg", "http://pbs.twimg.com/media/Ddtx48ZVAAA0rLc.jpg")</f>
        <v/>
      </c>
      <c r="G96" t="s"/>
      <c r="H96" t="s"/>
      <c r="I96" t="s"/>
      <c r="J96" t="n">
        <v>-0.8336</v>
      </c>
      <c r="K96" t="n">
        <v>0.275</v>
      </c>
      <c r="L96" t="n">
        <v>0.608</v>
      </c>
      <c r="M96" t="n">
        <v>0.116</v>
      </c>
    </row>
    <row r="97" spans="1:13">
      <c r="A97" s="1">
        <f>HYPERLINK("http://www.twitter.com/NathanBLawrence/status/998460299899539457", "998460299899539457")</f>
        <v/>
      </c>
      <c r="B97" s="2" t="n">
        <v>43241.29699074074</v>
      </c>
      <c r="C97" t="n">
        <v>0</v>
      </c>
      <c r="D97" t="n">
        <v>231</v>
      </c>
      <c r="E97" t="s">
        <v>108</v>
      </c>
      <c r="F97" t="s"/>
      <c r="G97" t="s"/>
      <c r="H97" t="s"/>
      <c r="I97" t="s"/>
      <c r="J97" t="n">
        <v>0</v>
      </c>
      <c r="K97" t="n">
        <v>0</v>
      </c>
      <c r="L97" t="n">
        <v>1</v>
      </c>
      <c r="M97" t="n">
        <v>0</v>
      </c>
    </row>
    <row r="98" spans="1:13">
      <c r="A98" s="1">
        <f>HYPERLINK("http://www.twitter.com/NathanBLawrence/status/998460085490913280", "998460085490913280")</f>
        <v/>
      </c>
      <c r="B98" s="2" t="n">
        <v>43241.29640046296</v>
      </c>
      <c r="C98" t="n">
        <v>0</v>
      </c>
      <c r="D98" t="n">
        <v>12685</v>
      </c>
      <c r="E98" t="s">
        <v>109</v>
      </c>
      <c r="F98" t="s"/>
      <c r="G98" t="s"/>
      <c r="H98" t="s"/>
      <c r="I98" t="s"/>
      <c r="J98" t="n">
        <v>-0.5574</v>
      </c>
      <c r="K98" t="n">
        <v>0.153</v>
      </c>
      <c r="L98" t="n">
        <v>0.847</v>
      </c>
      <c r="M98" t="n">
        <v>0</v>
      </c>
    </row>
    <row r="99" spans="1:13">
      <c r="A99" s="1">
        <f>HYPERLINK("http://www.twitter.com/NathanBLawrence/status/998460043786903552", "998460043786903552")</f>
        <v/>
      </c>
      <c r="B99" s="2" t="n">
        <v>43241.29628472222</v>
      </c>
      <c r="C99" t="n">
        <v>0</v>
      </c>
      <c r="D99" t="n">
        <v>11</v>
      </c>
      <c r="E99" t="s">
        <v>110</v>
      </c>
      <c r="F99">
        <f>HYPERLINK("http://pbs.twimg.com/media/Ddrl8oBUQAA0kw-.jpg", "http://pbs.twimg.com/media/Ddrl8oBUQAA0kw-.jpg")</f>
        <v/>
      </c>
      <c r="G99" t="s"/>
      <c r="H99" t="s"/>
      <c r="I99" t="s"/>
      <c r="J99" t="n">
        <v>0.4767</v>
      </c>
      <c r="K99" t="n">
        <v>0.142</v>
      </c>
      <c r="L99" t="n">
        <v>0.5580000000000001</v>
      </c>
      <c r="M99" t="n">
        <v>0.299</v>
      </c>
    </row>
    <row r="100" spans="1:13">
      <c r="A100" s="1">
        <f>HYPERLINK("http://www.twitter.com/NathanBLawrence/status/998460017887072257", "998460017887072257")</f>
        <v/>
      </c>
      <c r="B100" s="2" t="n">
        <v>43241.29621527778</v>
      </c>
      <c r="C100" t="n">
        <v>0</v>
      </c>
      <c r="D100" t="n">
        <v>5552</v>
      </c>
      <c r="E100" t="s">
        <v>111</v>
      </c>
      <c r="F100" t="s"/>
      <c r="G100" t="s"/>
      <c r="H100" t="s"/>
      <c r="I100" t="s"/>
      <c r="J100" t="n">
        <v>0</v>
      </c>
      <c r="K100" t="n">
        <v>0</v>
      </c>
      <c r="L100" t="n">
        <v>1</v>
      </c>
      <c r="M100" t="n">
        <v>0</v>
      </c>
    </row>
    <row r="101" spans="1:13">
      <c r="A101" s="1">
        <f>HYPERLINK("http://www.twitter.com/NathanBLawrence/status/998331601716117504", "998331601716117504")</f>
        <v/>
      </c>
      <c r="B101" s="2" t="n">
        <v>43240.94185185185</v>
      </c>
      <c r="C101" t="n">
        <v>0</v>
      </c>
      <c r="D101" t="n">
        <v>4</v>
      </c>
      <c r="E101" t="s">
        <v>112</v>
      </c>
      <c r="F101" t="s"/>
      <c r="G101" t="s"/>
      <c r="H101" t="s"/>
      <c r="I101" t="s"/>
      <c r="J101" t="n">
        <v>-0.2732</v>
      </c>
      <c r="K101" t="n">
        <v>0.08699999999999999</v>
      </c>
      <c r="L101" t="n">
        <v>0.913</v>
      </c>
      <c r="M101" t="n">
        <v>0</v>
      </c>
    </row>
    <row r="102" spans="1:13">
      <c r="A102" s="1">
        <f>HYPERLINK("http://www.twitter.com/NathanBLawrence/status/998287034505678853", "998287034505678853")</f>
        <v/>
      </c>
      <c r="B102" s="2" t="n">
        <v>43240.81886574074</v>
      </c>
      <c r="C102" t="n">
        <v>0</v>
      </c>
      <c r="D102" t="n">
        <v>2</v>
      </c>
      <c r="E102" t="s">
        <v>113</v>
      </c>
      <c r="F102" t="s"/>
      <c r="G102" t="s"/>
      <c r="H102" t="s"/>
      <c r="I102" t="s"/>
      <c r="J102" t="n">
        <v>0.4548</v>
      </c>
      <c r="K102" t="n">
        <v>0.143</v>
      </c>
      <c r="L102" t="n">
        <v>0.646</v>
      </c>
      <c r="M102" t="n">
        <v>0.211</v>
      </c>
    </row>
    <row r="103" spans="1:13">
      <c r="A103" s="1">
        <f>HYPERLINK("http://www.twitter.com/NathanBLawrence/status/998286977505091584", "998286977505091584")</f>
        <v/>
      </c>
      <c r="B103" s="2" t="n">
        <v>43240.81871527778</v>
      </c>
      <c r="C103" t="n">
        <v>0</v>
      </c>
      <c r="D103" t="n">
        <v>19148</v>
      </c>
      <c r="E103" t="s">
        <v>114</v>
      </c>
      <c r="F103" t="s"/>
      <c r="G103" t="s"/>
      <c r="H103" t="s"/>
      <c r="I103" t="s"/>
      <c r="J103" t="n">
        <v>0.1759</v>
      </c>
      <c r="K103" t="n">
        <v>0.178</v>
      </c>
      <c r="L103" t="n">
        <v>0.676</v>
      </c>
      <c r="M103" t="n">
        <v>0.146</v>
      </c>
    </row>
    <row r="104" spans="1:13">
      <c r="A104" s="1">
        <f>HYPERLINK("http://www.twitter.com/NathanBLawrence/status/998286951886262273", "998286951886262273")</f>
        <v/>
      </c>
      <c r="B104" s="2" t="n">
        <v>43240.81864583334</v>
      </c>
      <c r="C104" t="n">
        <v>0</v>
      </c>
      <c r="D104" t="n">
        <v>53084</v>
      </c>
      <c r="E104" t="s">
        <v>115</v>
      </c>
      <c r="F104" t="s"/>
      <c r="G104" t="s"/>
      <c r="H104" t="s"/>
      <c r="I104" t="s"/>
      <c r="J104" t="n">
        <v>0.4404</v>
      </c>
      <c r="K104" t="n">
        <v>0.06</v>
      </c>
      <c r="L104" t="n">
        <v>0.803</v>
      </c>
      <c r="M104" t="n">
        <v>0.137</v>
      </c>
    </row>
    <row r="105" spans="1:13">
      <c r="A105" s="1">
        <f>HYPERLINK("http://www.twitter.com/NathanBLawrence/status/998286734055092224", "998286734055092224")</f>
        <v/>
      </c>
      <c r="B105" s="2" t="n">
        <v>43240.81804398148</v>
      </c>
      <c r="C105" t="n">
        <v>0</v>
      </c>
      <c r="D105" t="n">
        <v>5</v>
      </c>
      <c r="E105" t="s">
        <v>116</v>
      </c>
      <c r="F105" t="s"/>
      <c r="G105" t="s"/>
      <c r="H105" t="s"/>
      <c r="I105" t="s"/>
      <c r="J105" t="n">
        <v>0</v>
      </c>
      <c r="K105" t="n">
        <v>0</v>
      </c>
      <c r="L105" t="n">
        <v>1</v>
      </c>
      <c r="M105" t="n">
        <v>0</v>
      </c>
    </row>
    <row r="106" spans="1:13">
      <c r="A106" s="1">
        <f>HYPERLINK("http://www.twitter.com/NathanBLawrence/status/998286605948456960", "998286605948456960")</f>
        <v/>
      </c>
      <c r="B106" s="2" t="n">
        <v>43240.81768518518</v>
      </c>
      <c r="C106" t="n">
        <v>0</v>
      </c>
      <c r="D106" t="n">
        <v>3</v>
      </c>
      <c r="E106" t="s">
        <v>117</v>
      </c>
      <c r="F106" t="s"/>
      <c r="G106" t="s"/>
      <c r="H106" t="s"/>
      <c r="I106" t="s"/>
      <c r="J106" t="n">
        <v>0</v>
      </c>
      <c r="K106" t="n">
        <v>0</v>
      </c>
      <c r="L106" t="n">
        <v>1</v>
      </c>
      <c r="M106" t="n">
        <v>0</v>
      </c>
    </row>
    <row r="107" spans="1:13">
      <c r="A107" s="1">
        <f>HYPERLINK("http://www.twitter.com/NathanBLawrence/status/998286540051709954", "998286540051709954")</f>
        <v/>
      </c>
      <c r="B107" s="2" t="n">
        <v>43240.81751157407</v>
      </c>
      <c r="C107" t="n">
        <v>1</v>
      </c>
      <c r="D107" t="n">
        <v>1</v>
      </c>
      <c r="E107" t="s">
        <v>118</v>
      </c>
      <c r="F107" t="s"/>
      <c r="G107" t="s"/>
      <c r="H107" t="s"/>
      <c r="I107" t="s"/>
      <c r="J107" t="n">
        <v>0</v>
      </c>
      <c r="K107" t="n">
        <v>0</v>
      </c>
      <c r="L107" t="n">
        <v>1</v>
      </c>
      <c r="M107" t="n">
        <v>0</v>
      </c>
    </row>
    <row r="108" spans="1:13">
      <c r="A108" s="1">
        <f>HYPERLINK("http://www.twitter.com/NathanBLawrence/status/998286350985105408", "998286350985105408")</f>
        <v/>
      </c>
      <c r="B108" s="2" t="n">
        <v>43240.81697916667</v>
      </c>
      <c r="C108" t="n">
        <v>5</v>
      </c>
      <c r="D108" t="n">
        <v>2</v>
      </c>
      <c r="E108" t="s">
        <v>119</v>
      </c>
      <c r="F108" t="s"/>
      <c r="G108" t="s"/>
      <c r="H108" t="s"/>
      <c r="I108" t="s"/>
      <c r="J108" t="n">
        <v>0.9058</v>
      </c>
      <c r="K108" t="n">
        <v>0.077</v>
      </c>
      <c r="L108" t="n">
        <v>0.64</v>
      </c>
      <c r="M108" t="n">
        <v>0.283</v>
      </c>
    </row>
    <row r="109" spans="1:13">
      <c r="A109" s="1">
        <f>HYPERLINK("http://www.twitter.com/NathanBLawrence/status/998285882351374341", "998285882351374341")</f>
        <v/>
      </c>
      <c r="B109" s="2" t="n">
        <v>43240.81569444444</v>
      </c>
      <c r="C109" t="n">
        <v>11</v>
      </c>
      <c r="D109" t="n">
        <v>5</v>
      </c>
      <c r="E109" t="s">
        <v>120</v>
      </c>
      <c r="F109" t="s"/>
      <c r="G109" t="s"/>
      <c r="H109" t="s"/>
      <c r="I109" t="s"/>
      <c r="J109" t="n">
        <v>0</v>
      </c>
      <c r="K109" t="n">
        <v>0</v>
      </c>
      <c r="L109" t="n">
        <v>1</v>
      </c>
      <c r="M109" t="n">
        <v>0</v>
      </c>
    </row>
    <row r="110" spans="1:13">
      <c r="A110" s="1">
        <f>HYPERLINK("http://www.twitter.com/NathanBLawrence/status/998285303784800256", "998285303784800256")</f>
        <v/>
      </c>
      <c r="B110" s="2" t="n">
        <v>43240.81409722222</v>
      </c>
      <c r="C110" t="n">
        <v>0</v>
      </c>
      <c r="D110" t="n">
        <v>16</v>
      </c>
      <c r="E110" t="s">
        <v>121</v>
      </c>
      <c r="F110" t="s"/>
      <c r="G110" t="s"/>
      <c r="H110" t="s"/>
      <c r="I110" t="s"/>
      <c r="J110" t="n">
        <v>0</v>
      </c>
      <c r="K110" t="n">
        <v>0</v>
      </c>
      <c r="L110" t="n">
        <v>1</v>
      </c>
      <c r="M110" t="n">
        <v>0</v>
      </c>
    </row>
    <row r="111" spans="1:13">
      <c r="A111" s="1">
        <f>HYPERLINK("http://www.twitter.com/NathanBLawrence/status/998285273216757761", "998285273216757761")</f>
        <v/>
      </c>
      <c r="B111" s="2" t="n">
        <v>43240.8140162037</v>
      </c>
      <c r="C111" t="n">
        <v>0</v>
      </c>
      <c r="D111" t="n">
        <v>10</v>
      </c>
      <c r="E111" t="s">
        <v>122</v>
      </c>
      <c r="F111">
        <f>HYPERLINK("http://pbs.twimg.com/media/DdptqP7VMAAcr-H.jpg", "http://pbs.twimg.com/media/DdptqP7VMAAcr-H.jpg")</f>
        <v/>
      </c>
      <c r="G111">
        <f>HYPERLINK("http://pbs.twimg.com/media/DdptqP7VwAAEjTy.jpg", "http://pbs.twimg.com/media/DdptqP7VwAAEjTy.jpg")</f>
        <v/>
      </c>
      <c r="H111" t="s"/>
      <c r="I111" t="s"/>
      <c r="J111" t="n">
        <v>-0.4648</v>
      </c>
      <c r="K111" t="n">
        <v>0.117</v>
      </c>
      <c r="L111" t="n">
        <v>0.827</v>
      </c>
      <c r="M111" t="n">
        <v>0.055</v>
      </c>
    </row>
    <row r="112" spans="1:13">
      <c r="A112" s="1">
        <f>HYPERLINK("http://www.twitter.com/NathanBLawrence/status/998285262798155777", "998285262798155777")</f>
        <v/>
      </c>
      <c r="B112" s="2" t="n">
        <v>43240.81398148148</v>
      </c>
      <c r="C112" t="n">
        <v>0</v>
      </c>
      <c r="D112" t="n">
        <v>7</v>
      </c>
      <c r="E112" t="s">
        <v>123</v>
      </c>
      <c r="F112" t="s"/>
      <c r="G112" t="s"/>
      <c r="H112" t="s"/>
      <c r="I112" t="s"/>
      <c r="J112" t="n">
        <v>0</v>
      </c>
      <c r="K112" t="n">
        <v>0</v>
      </c>
      <c r="L112" t="n">
        <v>1</v>
      </c>
      <c r="M112" t="n">
        <v>0</v>
      </c>
    </row>
    <row r="113" spans="1:13">
      <c r="A113" s="1">
        <f>HYPERLINK("http://www.twitter.com/NathanBLawrence/status/998285233891012608", "998285233891012608")</f>
        <v/>
      </c>
      <c r="B113" s="2" t="n">
        <v>43240.81390046296</v>
      </c>
      <c r="C113" t="n">
        <v>0</v>
      </c>
      <c r="D113" t="n">
        <v>72</v>
      </c>
      <c r="E113" t="s">
        <v>124</v>
      </c>
      <c r="F113" t="s"/>
      <c r="G113" t="s"/>
      <c r="H113" t="s"/>
      <c r="I113" t="s"/>
      <c r="J113" t="n">
        <v>0.34</v>
      </c>
      <c r="K113" t="n">
        <v>0.115</v>
      </c>
      <c r="L113" t="n">
        <v>0.65</v>
      </c>
      <c r="M113" t="n">
        <v>0.235</v>
      </c>
    </row>
    <row r="114" spans="1:13">
      <c r="A114" s="1">
        <f>HYPERLINK("http://www.twitter.com/NathanBLawrence/status/998285208423223296", "998285208423223296")</f>
        <v/>
      </c>
      <c r="B114" s="2" t="n">
        <v>43240.81383101852</v>
      </c>
      <c r="C114" t="n">
        <v>0</v>
      </c>
      <c r="D114" t="n">
        <v>14</v>
      </c>
      <c r="E114" t="s">
        <v>125</v>
      </c>
      <c r="F114" t="s"/>
      <c r="G114" t="s"/>
      <c r="H114" t="s"/>
      <c r="I114" t="s"/>
      <c r="J114" t="n">
        <v>0.0516</v>
      </c>
      <c r="K114" t="n">
        <v>0.097</v>
      </c>
      <c r="L114" t="n">
        <v>0.798</v>
      </c>
      <c r="M114" t="n">
        <v>0.105</v>
      </c>
    </row>
    <row r="115" spans="1:13">
      <c r="A115" s="1">
        <f>HYPERLINK("http://www.twitter.com/NathanBLawrence/status/998285195420856322", "998285195420856322")</f>
        <v/>
      </c>
      <c r="B115" s="2" t="n">
        <v>43240.81379629629</v>
      </c>
      <c r="C115" t="n">
        <v>5</v>
      </c>
      <c r="D115" t="n">
        <v>4</v>
      </c>
      <c r="E115" t="s">
        <v>126</v>
      </c>
      <c r="F115" t="s"/>
      <c r="G115" t="s"/>
      <c r="H115" t="s"/>
      <c r="I115" t="s"/>
      <c r="J115" t="n">
        <v>-0.5191</v>
      </c>
      <c r="K115" t="n">
        <v>0.08500000000000001</v>
      </c>
      <c r="L115" t="n">
        <v>0.915</v>
      </c>
      <c r="M115" t="n">
        <v>0</v>
      </c>
    </row>
    <row r="116" spans="1:13">
      <c r="A116" s="1">
        <f>HYPERLINK("http://www.twitter.com/NathanBLawrence/status/998284770110001152", "998284770110001152")</f>
        <v/>
      </c>
      <c r="B116" s="2" t="n">
        <v>43240.81262731482</v>
      </c>
      <c r="C116" t="n">
        <v>0</v>
      </c>
      <c r="D116" t="n">
        <v>11</v>
      </c>
      <c r="E116" t="s">
        <v>127</v>
      </c>
      <c r="F116" t="s"/>
      <c r="G116" t="s"/>
      <c r="H116" t="s"/>
      <c r="I116" t="s"/>
      <c r="J116" t="n">
        <v>0.4939</v>
      </c>
      <c r="K116" t="n">
        <v>0</v>
      </c>
      <c r="L116" t="n">
        <v>0.856</v>
      </c>
      <c r="M116" t="n">
        <v>0.144</v>
      </c>
    </row>
    <row r="117" spans="1:13">
      <c r="A117" s="1">
        <f>HYPERLINK("http://www.twitter.com/NathanBLawrence/status/998284668784070657", "998284668784070657")</f>
        <v/>
      </c>
      <c r="B117" s="2" t="n">
        <v>43240.81233796296</v>
      </c>
      <c r="C117" t="n">
        <v>0</v>
      </c>
      <c r="D117" t="n">
        <v>7</v>
      </c>
      <c r="E117" t="s">
        <v>128</v>
      </c>
      <c r="F117" t="s"/>
      <c r="G117" t="s"/>
      <c r="H117" t="s"/>
      <c r="I117" t="s"/>
      <c r="J117" t="n">
        <v>0</v>
      </c>
      <c r="K117" t="n">
        <v>0</v>
      </c>
      <c r="L117" t="n">
        <v>1</v>
      </c>
      <c r="M117" t="n">
        <v>0</v>
      </c>
    </row>
    <row r="118" spans="1:13">
      <c r="A118" s="1">
        <f>HYPERLINK("http://www.twitter.com/NathanBLawrence/status/998284642284433408", "998284642284433408")</f>
        <v/>
      </c>
      <c r="B118" s="2" t="n">
        <v>43240.81226851852</v>
      </c>
      <c r="C118" t="n">
        <v>0</v>
      </c>
      <c r="D118" t="n">
        <v>0</v>
      </c>
      <c r="E118" t="s">
        <v>129</v>
      </c>
      <c r="F118" t="s"/>
      <c r="G118" t="s"/>
      <c r="H118" t="s"/>
      <c r="I118" t="s"/>
      <c r="J118" t="n">
        <v>0</v>
      </c>
      <c r="K118" t="n">
        <v>0</v>
      </c>
      <c r="L118" t="n">
        <v>1</v>
      </c>
      <c r="M118" t="n">
        <v>0</v>
      </c>
    </row>
    <row r="119" spans="1:13">
      <c r="A119" s="1">
        <f>HYPERLINK("http://www.twitter.com/NathanBLawrence/status/998284312754737152", "998284312754737152")</f>
        <v/>
      </c>
      <c r="B119" s="2" t="n">
        <v>43240.81136574074</v>
      </c>
      <c r="C119" t="n">
        <v>0</v>
      </c>
      <c r="D119" t="n">
        <v>2</v>
      </c>
      <c r="E119" t="s">
        <v>130</v>
      </c>
      <c r="F119" t="s"/>
      <c r="G119" t="s"/>
      <c r="H119" t="s"/>
      <c r="I119" t="s"/>
      <c r="J119" t="n">
        <v>-0.5574</v>
      </c>
      <c r="K119" t="n">
        <v>0.146</v>
      </c>
      <c r="L119" t="n">
        <v>0.854</v>
      </c>
      <c r="M119" t="n">
        <v>0</v>
      </c>
    </row>
    <row r="120" spans="1:13">
      <c r="A120" s="1">
        <f>HYPERLINK("http://www.twitter.com/NathanBLawrence/status/998284244001738752", "998284244001738752")</f>
        <v/>
      </c>
      <c r="B120" s="2" t="n">
        <v>43240.81116898148</v>
      </c>
      <c r="C120" t="n">
        <v>0</v>
      </c>
      <c r="D120" t="n">
        <v>2</v>
      </c>
      <c r="E120" t="s">
        <v>131</v>
      </c>
      <c r="F120" t="s"/>
      <c r="G120" t="s"/>
      <c r="H120" t="s"/>
      <c r="I120" t="s"/>
      <c r="J120" t="n">
        <v>0</v>
      </c>
      <c r="K120" t="n">
        <v>0</v>
      </c>
      <c r="L120" t="n">
        <v>1</v>
      </c>
      <c r="M120" t="n">
        <v>0</v>
      </c>
    </row>
    <row r="121" spans="1:13">
      <c r="A121" s="1">
        <f>HYPERLINK("http://www.twitter.com/NathanBLawrence/status/998284211797872640", "998284211797872640")</f>
        <v/>
      </c>
      <c r="B121" s="2" t="n">
        <v>43240.81107638889</v>
      </c>
      <c r="C121" t="n">
        <v>0</v>
      </c>
      <c r="D121" t="n">
        <v>8</v>
      </c>
      <c r="E121" t="s">
        <v>132</v>
      </c>
      <c r="F121" t="s"/>
      <c r="G121" t="s"/>
      <c r="H121" t="s"/>
      <c r="I121" t="s"/>
      <c r="J121" t="n">
        <v>-0.7579</v>
      </c>
      <c r="K121" t="n">
        <v>0.319</v>
      </c>
      <c r="L121" t="n">
        <v>0.681</v>
      </c>
      <c r="M121" t="n">
        <v>0</v>
      </c>
    </row>
    <row r="122" spans="1:13">
      <c r="A122" s="1">
        <f>HYPERLINK("http://www.twitter.com/NathanBLawrence/status/998121691950862337", "998121691950862337")</f>
        <v/>
      </c>
      <c r="B122" s="2" t="n">
        <v>43240.36261574074</v>
      </c>
      <c r="C122" t="n">
        <v>0</v>
      </c>
      <c r="D122" t="n">
        <v>2</v>
      </c>
      <c r="E122" t="s">
        <v>133</v>
      </c>
      <c r="F122">
        <f>HYPERLINK("http://pbs.twimg.com/media/DdoJtZHVQAEgi6m.jpg", "http://pbs.twimg.com/media/DdoJtZHVQAEgi6m.jpg")</f>
        <v/>
      </c>
      <c r="G122" t="s"/>
      <c r="H122" t="s"/>
      <c r="I122" t="s"/>
      <c r="J122" t="n">
        <v>-0.4767</v>
      </c>
      <c r="K122" t="n">
        <v>0.186</v>
      </c>
      <c r="L122" t="n">
        <v>0.724</v>
      </c>
      <c r="M122" t="n">
        <v>0.09</v>
      </c>
    </row>
    <row r="123" spans="1:13">
      <c r="A123" s="1">
        <f>HYPERLINK("http://www.twitter.com/NathanBLawrence/status/998120956106338305", "998120956106338305")</f>
        <v/>
      </c>
      <c r="B123" s="2" t="n">
        <v>43240.3605787037</v>
      </c>
      <c r="C123" t="n">
        <v>2</v>
      </c>
      <c r="D123" t="n">
        <v>2</v>
      </c>
      <c r="E123" t="s">
        <v>134</v>
      </c>
      <c r="F123">
        <f>HYPERLINK("http://pbs.twimg.com/media/DdoJtZHVQAEgi6m.jpg", "http://pbs.twimg.com/media/DdoJtZHVQAEgi6m.jpg")</f>
        <v/>
      </c>
      <c r="G123" t="s"/>
      <c r="H123" t="s"/>
      <c r="I123" t="s"/>
      <c r="J123" t="n">
        <v>-0.4767</v>
      </c>
      <c r="K123" t="n">
        <v>0.117</v>
      </c>
      <c r="L123" t="n">
        <v>0.826</v>
      </c>
      <c r="M123" t="n">
        <v>0.057</v>
      </c>
    </row>
    <row r="124" spans="1:13">
      <c r="A124" s="1">
        <f>HYPERLINK("http://www.twitter.com/NathanBLawrence/status/997969282024734721", "997969282024734721")</f>
        <v/>
      </c>
      <c r="B124" s="2" t="n">
        <v>43239.94203703704</v>
      </c>
      <c r="C124" t="n">
        <v>0</v>
      </c>
      <c r="D124" t="n">
        <v>12</v>
      </c>
      <c r="E124" t="s">
        <v>135</v>
      </c>
      <c r="F124">
        <f>HYPERLINK("http://pbs.twimg.com/media/DdiLNLrVwAA7uNN.jpg", "http://pbs.twimg.com/media/DdiLNLrVwAA7uNN.jpg")</f>
        <v/>
      </c>
      <c r="G124" t="s"/>
      <c r="H124" t="s"/>
      <c r="I124" t="s"/>
      <c r="J124" t="n">
        <v>-0.3382</v>
      </c>
      <c r="K124" t="n">
        <v>0.098</v>
      </c>
      <c r="L124" t="n">
        <v>0.902</v>
      </c>
      <c r="M124" t="n">
        <v>0</v>
      </c>
    </row>
    <row r="125" spans="1:13">
      <c r="A125" s="1">
        <f>HYPERLINK("http://www.twitter.com/NathanBLawrence/status/997969244661932032", "997969244661932032")</f>
        <v/>
      </c>
      <c r="B125" s="2" t="n">
        <v>43239.94193287037</v>
      </c>
      <c r="C125" t="n">
        <v>0</v>
      </c>
      <c r="D125" t="n">
        <v>0</v>
      </c>
      <c r="E125" t="s">
        <v>136</v>
      </c>
      <c r="F125" t="s"/>
      <c r="G125" t="s"/>
      <c r="H125" t="s"/>
      <c r="I125" t="s"/>
      <c r="J125" t="n">
        <v>0.34</v>
      </c>
      <c r="K125" t="n">
        <v>0</v>
      </c>
      <c r="L125" t="n">
        <v>0.625</v>
      </c>
      <c r="M125" t="n">
        <v>0.375</v>
      </c>
    </row>
    <row r="126" spans="1:13">
      <c r="A126" s="1">
        <f>HYPERLINK("http://www.twitter.com/NathanBLawrence/status/997969176735121408", "997969176735121408")</f>
        <v/>
      </c>
      <c r="B126" s="2" t="n">
        <v>43239.94174768519</v>
      </c>
      <c r="C126" t="n">
        <v>4</v>
      </c>
      <c r="D126" t="n">
        <v>3</v>
      </c>
      <c r="E126" t="s">
        <v>137</v>
      </c>
      <c r="F126" t="s"/>
      <c r="G126" t="s"/>
      <c r="H126" t="s"/>
      <c r="I126" t="s"/>
      <c r="J126" t="n">
        <v>0.4588</v>
      </c>
      <c r="K126" t="n">
        <v>0.074</v>
      </c>
      <c r="L126" t="n">
        <v>0.745</v>
      </c>
      <c r="M126" t="n">
        <v>0.181</v>
      </c>
    </row>
    <row r="127" spans="1:13">
      <c r="A127" s="1">
        <f>HYPERLINK("http://www.twitter.com/NathanBLawrence/status/997968950456614913", "997968950456614913")</f>
        <v/>
      </c>
      <c r="B127" s="2" t="n">
        <v>43239.94112268519</v>
      </c>
      <c r="C127" t="n">
        <v>0</v>
      </c>
      <c r="D127" t="n">
        <v>4</v>
      </c>
      <c r="E127" t="s">
        <v>138</v>
      </c>
      <c r="F127" t="s"/>
      <c r="G127" t="s"/>
      <c r="H127" t="s"/>
      <c r="I127" t="s"/>
      <c r="J127" t="n">
        <v>0.4019</v>
      </c>
      <c r="K127" t="n">
        <v>0</v>
      </c>
      <c r="L127" t="n">
        <v>0.87</v>
      </c>
      <c r="M127" t="n">
        <v>0.13</v>
      </c>
    </row>
    <row r="128" spans="1:13">
      <c r="A128" s="1">
        <f>HYPERLINK("http://www.twitter.com/NathanBLawrence/status/997968921021026304", "997968921021026304")</f>
        <v/>
      </c>
      <c r="B128" s="2" t="n">
        <v>43239.94104166667</v>
      </c>
      <c r="C128" t="n">
        <v>0</v>
      </c>
      <c r="D128" t="n">
        <v>2</v>
      </c>
      <c r="E128" t="s">
        <v>139</v>
      </c>
      <c r="F128" t="s"/>
      <c r="G128" t="s"/>
      <c r="H128" t="s"/>
      <c r="I128" t="s"/>
      <c r="J128" t="n">
        <v>-0.4278</v>
      </c>
      <c r="K128" t="n">
        <v>0.321</v>
      </c>
      <c r="L128" t="n">
        <v>0.679</v>
      </c>
      <c r="M128" t="n">
        <v>0</v>
      </c>
    </row>
    <row r="129" spans="1:13">
      <c r="A129" s="1">
        <f>HYPERLINK("http://www.twitter.com/NathanBLawrence/status/997968880118194176", "997968880118194176")</f>
        <v/>
      </c>
      <c r="B129" s="2" t="n">
        <v>43239.9409375</v>
      </c>
      <c r="C129" t="n">
        <v>0</v>
      </c>
      <c r="D129" t="n">
        <v>3</v>
      </c>
      <c r="E129" t="s">
        <v>140</v>
      </c>
      <c r="F129" t="s"/>
      <c r="G129" t="s"/>
      <c r="H129" t="s"/>
      <c r="I129" t="s"/>
      <c r="J129" t="n">
        <v>0.4404</v>
      </c>
      <c r="K129" t="n">
        <v>0.08400000000000001</v>
      </c>
      <c r="L129" t="n">
        <v>0.76</v>
      </c>
      <c r="M129" t="n">
        <v>0.156</v>
      </c>
    </row>
    <row r="130" spans="1:13">
      <c r="A130" s="1">
        <f>HYPERLINK("http://www.twitter.com/NathanBLawrence/status/997968839299207168", "997968839299207168")</f>
        <v/>
      </c>
      <c r="B130" s="2" t="n">
        <v>43239.94082175926</v>
      </c>
      <c r="C130" t="n">
        <v>0</v>
      </c>
      <c r="D130" t="n">
        <v>4</v>
      </c>
      <c r="E130" t="s">
        <v>141</v>
      </c>
      <c r="F130" t="s"/>
      <c r="G130" t="s"/>
      <c r="H130" t="s"/>
      <c r="I130" t="s"/>
      <c r="J130" t="n">
        <v>0.0258</v>
      </c>
      <c r="K130" t="n">
        <v>0.09</v>
      </c>
      <c r="L130" t="n">
        <v>0.8159999999999999</v>
      </c>
      <c r="M130" t="n">
        <v>0.094</v>
      </c>
    </row>
    <row r="131" spans="1:13">
      <c r="A131" s="1">
        <f>HYPERLINK("http://www.twitter.com/NathanBLawrence/status/997968806231371776", "997968806231371776")</f>
        <v/>
      </c>
      <c r="B131" s="2" t="n">
        <v>43239.94072916666</v>
      </c>
      <c r="C131" t="n">
        <v>0</v>
      </c>
      <c r="D131" t="n">
        <v>5</v>
      </c>
      <c r="E131" t="s">
        <v>142</v>
      </c>
      <c r="F131" t="s"/>
      <c r="G131" t="s"/>
      <c r="H131" t="s"/>
      <c r="I131" t="s"/>
      <c r="J131" t="n">
        <v>-0.6239</v>
      </c>
      <c r="K131" t="n">
        <v>0.214</v>
      </c>
      <c r="L131" t="n">
        <v>0.786</v>
      </c>
      <c r="M131" t="n">
        <v>0</v>
      </c>
    </row>
    <row r="132" spans="1:13">
      <c r="A132" s="1">
        <f>HYPERLINK("http://www.twitter.com/NathanBLawrence/status/997968725188980742", "997968725188980742")</f>
        <v/>
      </c>
      <c r="B132" s="2" t="n">
        <v>43239.94050925926</v>
      </c>
      <c r="C132" t="n">
        <v>0</v>
      </c>
      <c r="D132" t="n">
        <v>11</v>
      </c>
      <c r="E132" t="s">
        <v>143</v>
      </c>
      <c r="F132" t="s"/>
      <c r="G132" t="s"/>
      <c r="H132" t="s"/>
      <c r="I132" t="s"/>
      <c r="J132" t="n">
        <v>0.4572</v>
      </c>
      <c r="K132" t="n">
        <v>0</v>
      </c>
      <c r="L132" t="n">
        <v>0.88</v>
      </c>
      <c r="M132" t="n">
        <v>0.12</v>
      </c>
    </row>
    <row r="133" spans="1:13">
      <c r="A133" s="1">
        <f>HYPERLINK("http://www.twitter.com/NathanBLawrence/status/997968707803545600", "997968707803545600")</f>
        <v/>
      </c>
      <c r="B133" s="2" t="n">
        <v>43239.94045138889</v>
      </c>
      <c r="C133" t="n">
        <v>0</v>
      </c>
      <c r="D133" t="n">
        <v>89</v>
      </c>
      <c r="E133" t="s">
        <v>144</v>
      </c>
      <c r="F133" t="s"/>
      <c r="G133" t="s"/>
      <c r="H133" t="s"/>
      <c r="I133" t="s"/>
      <c r="J133" t="n">
        <v>0.2023</v>
      </c>
      <c r="K133" t="n">
        <v>0.075</v>
      </c>
      <c r="L133" t="n">
        <v>0.821</v>
      </c>
      <c r="M133" t="n">
        <v>0.104</v>
      </c>
    </row>
    <row r="134" spans="1:13">
      <c r="A134" s="1">
        <f>HYPERLINK("http://www.twitter.com/NathanBLawrence/status/997968657937510400", "997968657937510400")</f>
        <v/>
      </c>
      <c r="B134" s="2" t="n">
        <v>43239.94032407407</v>
      </c>
      <c r="C134" t="n">
        <v>0</v>
      </c>
      <c r="D134" t="n">
        <v>2</v>
      </c>
      <c r="E134" t="s">
        <v>145</v>
      </c>
      <c r="F134" t="s"/>
      <c r="G134" t="s"/>
      <c r="H134" t="s"/>
      <c r="I134" t="s"/>
      <c r="J134" t="n">
        <v>0</v>
      </c>
      <c r="K134" t="n">
        <v>0</v>
      </c>
      <c r="L134" t="n">
        <v>1</v>
      </c>
      <c r="M134" t="n">
        <v>0</v>
      </c>
    </row>
    <row r="135" spans="1:13">
      <c r="A135" s="1">
        <f>HYPERLINK("http://www.twitter.com/NathanBLawrence/status/997968638538866688", "997968638538866688")</f>
        <v/>
      </c>
      <c r="B135" s="2" t="n">
        <v>43239.9402662037</v>
      </c>
      <c r="C135" t="n">
        <v>0</v>
      </c>
      <c r="D135" t="n">
        <v>3</v>
      </c>
      <c r="E135" t="s">
        <v>146</v>
      </c>
      <c r="F135" t="s"/>
      <c r="G135" t="s"/>
      <c r="H135" t="s"/>
      <c r="I135" t="s"/>
      <c r="J135" t="n">
        <v>0.4404</v>
      </c>
      <c r="K135" t="n">
        <v>0</v>
      </c>
      <c r="L135" t="n">
        <v>0.861</v>
      </c>
      <c r="M135" t="n">
        <v>0.139</v>
      </c>
    </row>
    <row r="136" spans="1:13">
      <c r="A136" s="1">
        <f>HYPERLINK("http://www.twitter.com/NathanBLawrence/status/997968443163987968", "997968443163987968")</f>
        <v/>
      </c>
      <c r="B136" s="2" t="n">
        <v>43239.93972222223</v>
      </c>
      <c r="C136" t="n">
        <v>0</v>
      </c>
      <c r="D136" t="n">
        <v>16</v>
      </c>
      <c r="E136" t="s">
        <v>147</v>
      </c>
      <c r="F136" t="s"/>
      <c r="G136" t="s"/>
      <c r="H136" t="s"/>
      <c r="I136" t="s"/>
      <c r="J136" t="n">
        <v>0.6705</v>
      </c>
      <c r="K136" t="n">
        <v>0</v>
      </c>
      <c r="L136" t="n">
        <v>0.776</v>
      </c>
      <c r="M136" t="n">
        <v>0.224</v>
      </c>
    </row>
    <row r="137" spans="1:13">
      <c r="A137" s="1">
        <f>HYPERLINK("http://www.twitter.com/NathanBLawrence/status/997934258705653761", "997934258705653761")</f>
        <v/>
      </c>
      <c r="B137" s="2" t="n">
        <v>43239.84539351852</v>
      </c>
      <c r="C137" t="n">
        <v>0</v>
      </c>
      <c r="D137" t="n">
        <v>4</v>
      </c>
      <c r="E137" t="s">
        <v>148</v>
      </c>
      <c r="F137" t="s"/>
      <c r="G137" t="s"/>
      <c r="H137" t="s"/>
      <c r="I137" t="s"/>
      <c r="J137" t="n">
        <v>0.1154</v>
      </c>
      <c r="K137" t="n">
        <v>0.07000000000000001</v>
      </c>
      <c r="L137" t="n">
        <v>0.802</v>
      </c>
      <c r="M137" t="n">
        <v>0.128</v>
      </c>
    </row>
    <row r="138" spans="1:13">
      <c r="A138" s="1">
        <f>HYPERLINK("http://www.twitter.com/NathanBLawrence/status/997933559611641856", "997933559611641856")</f>
        <v/>
      </c>
      <c r="B138" s="2" t="n">
        <v>43239.84346064815</v>
      </c>
      <c r="C138" t="n">
        <v>0</v>
      </c>
      <c r="D138" t="n">
        <v>6</v>
      </c>
      <c r="E138" t="s">
        <v>149</v>
      </c>
      <c r="F138" t="s"/>
      <c r="G138" t="s"/>
      <c r="H138" t="s"/>
      <c r="I138" t="s"/>
      <c r="J138" t="n">
        <v>-0.3595</v>
      </c>
      <c r="K138" t="n">
        <v>0.135</v>
      </c>
      <c r="L138" t="n">
        <v>0.865</v>
      </c>
      <c r="M138" t="n">
        <v>0</v>
      </c>
    </row>
    <row r="139" spans="1:13">
      <c r="A139" s="1">
        <f>HYPERLINK("http://www.twitter.com/NathanBLawrence/status/997933517601374208", "997933517601374208")</f>
        <v/>
      </c>
      <c r="B139" s="2" t="n">
        <v>43239.84334490741</v>
      </c>
      <c r="C139" t="n">
        <v>0</v>
      </c>
      <c r="D139" t="n">
        <v>18</v>
      </c>
      <c r="E139" t="s">
        <v>150</v>
      </c>
      <c r="F139" t="s"/>
      <c r="G139" t="s"/>
      <c r="H139" t="s"/>
      <c r="I139" t="s"/>
      <c r="J139" t="n">
        <v>-0.3182</v>
      </c>
      <c r="K139" t="n">
        <v>0.108</v>
      </c>
      <c r="L139" t="n">
        <v>0.892</v>
      </c>
      <c r="M139" t="n">
        <v>0</v>
      </c>
    </row>
    <row r="140" spans="1:13">
      <c r="A140" s="1">
        <f>HYPERLINK("http://www.twitter.com/NathanBLawrence/status/997719360776089601", "997719360776089601")</f>
        <v/>
      </c>
      <c r="B140" s="2" t="n">
        <v>43239.25238425926</v>
      </c>
      <c r="C140" t="n">
        <v>0</v>
      </c>
      <c r="D140" t="n">
        <v>9</v>
      </c>
      <c r="E140" t="s">
        <v>151</v>
      </c>
      <c r="F140" t="s"/>
      <c r="G140" t="s"/>
      <c r="H140" t="s"/>
      <c r="I140" t="s"/>
      <c r="J140" t="n">
        <v>0</v>
      </c>
      <c r="K140" t="n">
        <v>0</v>
      </c>
      <c r="L140" t="n">
        <v>1</v>
      </c>
      <c r="M140" t="n">
        <v>0</v>
      </c>
    </row>
    <row r="141" spans="1:13">
      <c r="A141" s="1">
        <f>HYPERLINK("http://www.twitter.com/NathanBLawrence/status/997628317242150913", "997628317242150913")</f>
        <v/>
      </c>
      <c r="B141" s="2" t="n">
        <v>43239.00115740741</v>
      </c>
      <c r="C141" t="n">
        <v>0</v>
      </c>
      <c r="D141" t="n">
        <v>7</v>
      </c>
      <c r="E141" t="s">
        <v>152</v>
      </c>
      <c r="F141" t="s"/>
      <c r="G141" t="s"/>
      <c r="H141" t="s"/>
      <c r="I141" t="s"/>
      <c r="J141" t="n">
        <v>0.7088</v>
      </c>
      <c r="K141" t="n">
        <v>0</v>
      </c>
      <c r="L141" t="n">
        <v>0.796</v>
      </c>
      <c r="M141" t="n">
        <v>0.204</v>
      </c>
    </row>
    <row r="142" spans="1:13">
      <c r="A142" s="1">
        <f>HYPERLINK("http://www.twitter.com/NathanBLawrence/status/997606382194085888", "997606382194085888")</f>
        <v/>
      </c>
      <c r="B142" s="2" t="n">
        <v>43238.940625</v>
      </c>
      <c r="C142" t="n">
        <v>0</v>
      </c>
      <c r="D142" t="n">
        <v>3</v>
      </c>
      <c r="E142" t="s">
        <v>153</v>
      </c>
      <c r="F142" t="s"/>
      <c r="G142" t="s"/>
      <c r="H142" t="s"/>
      <c r="I142" t="s"/>
      <c r="J142" t="n">
        <v>-0.4588</v>
      </c>
      <c r="K142" t="n">
        <v>0.154</v>
      </c>
      <c r="L142" t="n">
        <v>0.846</v>
      </c>
      <c r="M142" t="n">
        <v>0</v>
      </c>
    </row>
    <row r="143" spans="1:13">
      <c r="A143" s="1">
        <f>HYPERLINK("http://www.twitter.com/NathanBLawrence/status/997606370122887168", "997606370122887168")</f>
        <v/>
      </c>
      <c r="B143" s="2" t="n">
        <v>43238.94059027778</v>
      </c>
      <c r="C143" t="n">
        <v>0</v>
      </c>
      <c r="D143" t="n">
        <v>1</v>
      </c>
      <c r="E143" t="s">
        <v>154</v>
      </c>
      <c r="F143" t="s"/>
      <c r="G143" t="s"/>
      <c r="H143" t="s"/>
      <c r="I143" t="s"/>
      <c r="J143" t="n">
        <v>0.8162</v>
      </c>
      <c r="K143" t="n">
        <v>0</v>
      </c>
      <c r="L143" t="n">
        <v>0.623</v>
      </c>
      <c r="M143" t="n">
        <v>0.377</v>
      </c>
    </row>
    <row r="144" spans="1:13">
      <c r="A144" s="1">
        <f>HYPERLINK("http://www.twitter.com/NathanBLawrence/status/997606271170818050", "997606271170818050")</f>
        <v/>
      </c>
      <c r="B144" s="2" t="n">
        <v>43238.94032407407</v>
      </c>
      <c r="C144" t="n">
        <v>0</v>
      </c>
      <c r="D144" t="n">
        <v>20</v>
      </c>
      <c r="E144" t="s">
        <v>155</v>
      </c>
      <c r="F144" t="s"/>
      <c r="G144" t="s"/>
      <c r="H144" t="s"/>
      <c r="I144" t="s"/>
      <c r="J144" t="n">
        <v>0.5719</v>
      </c>
      <c r="K144" t="n">
        <v>0</v>
      </c>
      <c r="L144" t="n">
        <v>0.824</v>
      </c>
      <c r="M144" t="n">
        <v>0.176</v>
      </c>
    </row>
    <row r="145" spans="1:13">
      <c r="A145" s="1">
        <f>HYPERLINK("http://www.twitter.com/NathanBLawrence/status/997606218347827200", "997606218347827200")</f>
        <v/>
      </c>
      <c r="B145" s="2" t="n">
        <v>43238.94017361111</v>
      </c>
      <c r="C145" t="n">
        <v>11</v>
      </c>
      <c r="D145" t="n">
        <v>7</v>
      </c>
      <c r="E145" t="s">
        <v>156</v>
      </c>
      <c r="F145" t="s"/>
      <c r="G145" t="s"/>
      <c r="H145" t="s"/>
      <c r="I145" t="s"/>
      <c r="J145" t="n">
        <v>0.6467000000000001</v>
      </c>
      <c r="K145" t="n">
        <v>0.062</v>
      </c>
      <c r="L145" t="n">
        <v>0.782</v>
      </c>
      <c r="M145" t="n">
        <v>0.156</v>
      </c>
    </row>
    <row r="146" spans="1:13">
      <c r="A146" s="1">
        <f>HYPERLINK("http://www.twitter.com/NathanBLawrence/status/997604091760136193", "997604091760136193")</f>
        <v/>
      </c>
      <c r="B146" s="2" t="n">
        <v>43238.93430555556</v>
      </c>
      <c r="C146" t="n">
        <v>1</v>
      </c>
      <c r="D146" t="n">
        <v>0</v>
      </c>
      <c r="E146" t="s">
        <v>157</v>
      </c>
      <c r="F146" t="s"/>
      <c r="G146" t="s"/>
      <c r="H146" t="s"/>
      <c r="I146" t="s"/>
      <c r="J146" t="n">
        <v>0</v>
      </c>
      <c r="K146" t="n">
        <v>0</v>
      </c>
      <c r="L146" t="n">
        <v>1</v>
      </c>
      <c r="M146" t="n">
        <v>0</v>
      </c>
    </row>
    <row r="147" spans="1:13">
      <c r="A147" s="1">
        <f>HYPERLINK("http://www.twitter.com/NathanBLawrence/status/997604040598020096", "997604040598020096")</f>
        <v/>
      </c>
      <c r="B147" s="2" t="n">
        <v>43238.93416666667</v>
      </c>
      <c r="C147" t="n">
        <v>0</v>
      </c>
      <c r="D147" t="n">
        <v>18</v>
      </c>
      <c r="E147" t="s">
        <v>158</v>
      </c>
      <c r="F147" t="s"/>
      <c r="G147" t="s"/>
      <c r="H147" t="s"/>
      <c r="I147" t="s"/>
      <c r="J147" t="n">
        <v>0.34</v>
      </c>
      <c r="K147" t="n">
        <v>0</v>
      </c>
      <c r="L147" t="n">
        <v>0.897</v>
      </c>
      <c r="M147" t="n">
        <v>0.103</v>
      </c>
    </row>
    <row r="148" spans="1:13">
      <c r="A148" s="1">
        <f>HYPERLINK("http://www.twitter.com/NathanBLawrence/status/997603990283186176", "997603990283186176")</f>
        <v/>
      </c>
      <c r="B148" s="2" t="n">
        <v>43238.93402777778</v>
      </c>
      <c r="C148" t="n">
        <v>0</v>
      </c>
      <c r="D148" t="n">
        <v>10</v>
      </c>
      <c r="E148" t="s">
        <v>159</v>
      </c>
      <c r="F148" t="s"/>
      <c r="G148" t="s"/>
      <c r="H148" t="s"/>
      <c r="I148" t="s"/>
      <c r="J148" t="n">
        <v>-0.6908</v>
      </c>
      <c r="K148" t="n">
        <v>0.265</v>
      </c>
      <c r="L148" t="n">
        <v>0.671</v>
      </c>
      <c r="M148" t="n">
        <v>0.064</v>
      </c>
    </row>
    <row r="149" spans="1:13">
      <c r="A149" s="1">
        <f>HYPERLINK("http://www.twitter.com/NathanBLawrence/status/997603969177448450", "997603969177448450")</f>
        <v/>
      </c>
      <c r="B149" s="2" t="n">
        <v>43238.9339699074</v>
      </c>
      <c r="C149" t="n">
        <v>0</v>
      </c>
      <c r="D149" t="n">
        <v>0</v>
      </c>
      <c r="E149" t="s">
        <v>160</v>
      </c>
      <c r="F149" t="s"/>
      <c r="G149" t="s"/>
      <c r="H149" t="s"/>
      <c r="I149" t="s"/>
      <c r="J149" t="n">
        <v>0.6588000000000001</v>
      </c>
      <c r="K149" t="n">
        <v>0</v>
      </c>
      <c r="L149" t="n">
        <v>0.313</v>
      </c>
      <c r="M149" t="n">
        <v>0.6870000000000001</v>
      </c>
    </row>
    <row r="150" spans="1:13">
      <c r="A150" s="1">
        <f>HYPERLINK("http://www.twitter.com/NathanBLawrence/status/997603941788667904", "997603941788667904")</f>
        <v/>
      </c>
      <c r="B150" s="2" t="n">
        <v>43238.93388888889</v>
      </c>
      <c r="C150" t="n">
        <v>0</v>
      </c>
      <c r="D150" t="n">
        <v>1</v>
      </c>
      <c r="E150" t="s">
        <v>161</v>
      </c>
      <c r="F150" t="s"/>
      <c r="G150" t="s"/>
      <c r="H150" t="s"/>
      <c r="I150" t="s"/>
      <c r="J150" t="n">
        <v>0.7269</v>
      </c>
      <c r="K150" t="n">
        <v>0</v>
      </c>
      <c r="L150" t="n">
        <v>0.705</v>
      </c>
      <c r="M150" t="n">
        <v>0.295</v>
      </c>
    </row>
    <row r="151" spans="1:13">
      <c r="A151" s="1">
        <f>HYPERLINK("http://www.twitter.com/NathanBLawrence/status/997603929872584704", "997603929872584704")</f>
        <v/>
      </c>
      <c r="B151" s="2" t="n">
        <v>43238.93386574074</v>
      </c>
      <c r="C151" t="n">
        <v>0</v>
      </c>
      <c r="D151" t="n">
        <v>1</v>
      </c>
      <c r="E151" t="s">
        <v>162</v>
      </c>
      <c r="F151" t="s"/>
      <c r="G151" t="s"/>
      <c r="H151" t="s"/>
      <c r="I151" t="s"/>
      <c r="J151" t="n">
        <v>0.6705</v>
      </c>
      <c r="K151" t="n">
        <v>0</v>
      </c>
      <c r="L151" t="n">
        <v>0.744</v>
      </c>
      <c r="M151" t="n">
        <v>0.256</v>
      </c>
    </row>
    <row r="152" spans="1:13">
      <c r="A152" s="1">
        <f>HYPERLINK("http://www.twitter.com/NathanBLawrence/status/997603920200552448", "997603920200552448")</f>
        <v/>
      </c>
      <c r="B152" s="2" t="n">
        <v>43238.93383101852</v>
      </c>
      <c r="C152" t="n">
        <v>0</v>
      </c>
      <c r="D152" t="n">
        <v>2</v>
      </c>
      <c r="E152" t="s">
        <v>163</v>
      </c>
      <c r="F152" t="s"/>
      <c r="G152" t="s"/>
      <c r="H152" t="s"/>
      <c r="I152" t="s"/>
      <c r="J152" t="n">
        <v>0.891</v>
      </c>
      <c r="K152" t="n">
        <v>0</v>
      </c>
      <c r="L152" t="n">
        <v>0.594</v>
      </c>
      <c r="M152" t="n">
        <v>0.406</v>
      </c>
    </row>
    <row r="153" spans="1:13">
      <c r="A153" s="1">
        <f>HYPERLINK("http://www.twitter.com/NathanBLawrence/status/997603903045865472", "997603903045865472")</f>
        <v/>
      </c>
      <c r="B153" s="2" t="n">
        <v>43238.93378472222</v>
      </c>
      <c r="C153" t="n">
        <v>0</v>
      </c>
      <c r="D153" t="n">
        <v>22</v>
      </c>
      <c r="E153" t="s">
        <v>164</v>
      </c>
      <c r="F153" t="s"/>
      <c r="G153" t="s"/>
      <c r="H153" t="s"/>
      <c r="I153" t="s"/>
      <c r="J153" t="n">
        <v>0.4926</v>
      </c>
      <c r="K153" t="n">
        <v>0.054</v>
      </c>
      <c r="L153" t="n">
        <v>0.8080000000000001</v>
      </c>
      <c r="M153" t="n">
        <v>0.138</v>
      </c>
    </row>
    <row r="154" spans="1:13">
      <c r="A154" s="1">
        <f>HYPERLINK("http://www.twitter.com/NathanBLawrence/status/997603820187381762", "997603820187381762")</f>
        <v/>
      </c>
      <c r="B154" s="2" t="n">
        <v>43238.93355324074</v>
      </c>
      <c r="C154" t="n">
        <v>10</v>
      </c>
      <c r="D154" t="n">
        <v>5</v>
      </c>
      <c r="E154" t="s">
        <v>165</v>
      </c>
      <c r="F154">
        <f>HYPERLINK("http://pbs.twimg.com/media/DdgzYWEX4AEozNk.jpg", "http://pbs.twimg.com/media/DdgzYWEX4AEozNk.jpg")</f>
        <v/>
      </c>
      <c r="G154" t="s"/>
      <c r="H154" t="s"/>
      <c r="I154" t="s"/>
      <c r="J154" t="n">
        <v>0</v>
      </c>
      <c r="K154" t="n">
        <v>0</v>
      </c>
      <c r="L154" t="n">
        <v>1</v>
      </c>
      <c r="M154" t="n">
        <v>0</v>
      </c>
    </row>
    <row r="155" spans="1:13">
      <c r="A155" s="1">
        <f>HYPERLINK("http://www.twitter.com/NathanBLawrence/status/997575757688918016", "997575757688918016")</f>
        <v/>
      </c>
      <c r="B155" s="2" t="n">
        <v>43238.85612268518</v>
      </c>
      <c r="C155" t="n">
        <v>0</v>
      </c>
      <c r="D155" t="n">
        <v>16</v>
      </c>
      <c r="E155" t="s">
        <v>90</v>
      </c>
      <c r="F155">
        <f>HYPERLINK("http://pbs.twimg.com/media/DdgZjAKWsAAtKh8.jpg", "http://pbs.twimg.com/media/DdgZjAKWsAAtKh8.jpg")</f>
        <v/>
      </c>
      <c r="G155" t="s"/>
      <c r="H155" t="s"/>
      <c r="I155" t="s"/>
      <c r="J155" t="n">
        <v>-0.2387</v>
      </c>
      <c r="K155" t="n">
        <v>0.176</v>
      </c>
      <c r="L155" t="n">
        <v>0.6889999999999999</v>
      </c>
      <c r="M155" t="n">
        <v>0.135</v>
      </c>
    </row>
    <row r="156" spans="1:13">
      <c r="A156" s="1">
        <f>HYPERLINK("http://www.twitter.com/NathanBLawrence/status/997575429715365888", "997575429715365888")</f>
        <v/>
      </c>
      <c r="B156" s="2" t="n">
        <v>43238.8552199074</v>
      </c>
      <c r="C156" t="n">
        <v>20</v>
      </c>
      <c r="D156" t="n">
        <v>16</v>
      </c>
      <c r="E156" t="s">
        <v>166</v>
      </c>
      <c r="F156">
        <f>HYPERLINK("http://pbs.twimg.com/media/DdgZjAKWsAAtKh8.jpg", "http://pbs.twimg.com/media/DdgZjAKWsAAtKh8.jpg")</f>
        <v/>
      </c>
      <c r="G156" t="s"/>
      <c r="H156" t="s"/>
      <c r="I156" t="s"/>
      <c r="J156" t="n">
        <v>-0.8336</v>
      </c>
      <c r="K156" t="n">
        <v>0.275</v>
      </c>
      <c r="L156" t="n">
        <v>0.608</v>
      </c>
      <c r="M156" t="n">
        <v>0.116</v>
      </c>
    </row>
    <row r="157" spans="1:13">
      <c r="A157" s="1">
        <f>HYPERLINK("http://www.twitter.com/NathanBLawrence/status/997572757784285184", "997572757784285184")</f>
        <v/>
      </c>
      <c r="B157" s="2" t="n">
        <v>43238.84784722222</v>
      </c>
      <c r="C157" t="n">
        <v>1</v>
      </c>
      <c r="D157" t="n">
        <v>0</v>
      </c>
      <c r="E157" t="s">
        <v>167</v>
      </c>
      <c r="F157" t="s"/>
      <c r="G157" t="s"/>
      <c r="H157" t="s"/>
      <c r="I157" t="s"/>
      <c r="J157" t="n">
        <v>0.6249</v>
      </c>
      <c r="K157" t="n">
        <v>0</v>
      </c>
      <c r="L157" t="n">
        <v>0.423</v>
      </c>
      <c r="M157" t="n">
        <v>0.577</v>
      </c>
    </row>
    <row r="158" spans="1:13">
      <c r="A158" s="1">
        <f>HYPERLINK("http://www.twitter.com/NathanBLawrence/status/997572736133337088", "997572736133337088")</f>
        <v/>
      </c>
      <c r="B158" s="2" t="n">
        <v>43238.84777777778</v>
      </c>
      <c r="C158" t="n">
        <v>0</v>
      </c>
      <c r="D158" t="n">
        <v>6</v>
      </c>
      <c r="E158" t="s">
        <v>168</v>
      </c>
      <c r="F158" t="s"/>
      <c r="G158" t="s"/>
      <c r="H158" t="s"/>
      <c r="I158" t="s"/>
      <c r="J158" t="n">
        <v>0.4939</v>
      </c>
      <c r="K158" t="n">
        <v>0.073</v>
      </c>
      <c r="L158" t="n">
        <v>0.769</v>
      </c>
      <c r="M158" t="n">
        <v>0.158</v>
      </c>
    </row>
    <row r="159" spans="1:13">
      <c r="A159" s="1">
        <f>HYPERLINK("http://www.twitter.com/NathanBLawrence/status/997519566568939520", "997519566568939520")</f>
        <v/>
      </c>
      <c r="B159" s="2" t="n">
        <v>43238.70106481481</v>
      </c>
      <c r="C159" t="n">
        <v>0</v>
      </c>
      <c r="D159" t="n">
        <v>0</v>
      </c>
      <c r="E159" t="s">
        <v>169</v>
      </c>
      <c r="F159" t="s"/>
      <c r="G159" t="s"/>
      <c r="H159" t="s"/>
      <c r="I159" t="s"/>
      <c r="J159" t="n">
        <v>-0.4019</v>
      </c>
      <c r="K159" t="n">
        <v>0.213</v>
      </c>
      <c r="L159" t="n">
        <v>0.787</v>
      </c>
      <c r="M159" t="n">
        <v>0</v>
      </c>
    </row>
    <row r="160" spans="1:13">
      <c r="A160" s="1">
        <f>HYPERLINK("http://www.twitter.com/NathanBLawrence/status/997519189190602752", "997519189190602752")</f>
        <v/>
      </c>
      <c r="B160" s="2" t="n">
        <v>43238.70002314815</v>
      </c>
      <c r="C160" t="n">
        <v>0</v>
      </c>
      <c r="D160" t="n">
        <v>0</v>
      </c>
      <c r="E160" t="s">
        <v>170</v>
      </c>
      <c r="F160" t="s"/>
      <c r="G160" t="s"/>
      <c r="H160" t="s"/>
      <c r="I160" t="s"/>
      <c r="J160" t="n">
        <v>0</v>
      </c>
      <c r="K160" t="n">
        <v>0</v>
      </c>
      <c r="L160" t="n">
        <v>1</v>
      </c>
      <c r="M160" t="n">
        <v>0</v>
      </c>
    </row>
    <row r="161" spans="1:13">
      <c r="A161" s="1">
        <f>HYPERLINK("http://www.twitter.com/NathanBLawrence/status/997519086530809862", "997519086530809862")</f>
        <v/>
      </c>
      <c r="B161" s="2" t="n">
        <v>43238.6997337963</v>
      </c>
      <c r="C161" t="n">
        <v>4</v>
      </c>
      <c r="D161" t="n">
        <v>1</v>
      </c>
      <c r="E161" t="s">
        <v>170</v>
      </c>
      <c r="F161" t="s"/>
      <c r="G161" t="s"/>
      <c r="H161" t="s"/>
      <c r="I161" t="s"/>
      <c r="J161" t="n">
        <v>0</v>
      </c>
      <c r="K161" t="n">
        <v>0</v>
      </c>
      <c r="L161" t="n">
        <v>1</v>
      </c>
      <c r="M161" t="n">
        <v>0</v>
      </c>
    </row>
    <row r="162" spans="1:13">
      <c r="A162" s="1">
        <f>HYPERLINK("http://www.twitter.com/NathanBLawrence/status/997519060274438146", "997519060274438146")</f>
        <v/>
      </c>
      <c r="B162" s="2" t="n">
        <v>43238.69966435185</v>
      </c>
      <c r="C162" t="n">
        <v>0</v>
      </c>
      <c r="D162" t="n">
        <v>36</v>
      </c>
      <c r="E162" t="s">
        <v>171</v>
      </c>
      <c r="F162" t="s"/>
      <c r="G162" t="s"/>
      <c r="H162" t="s"/>
      <c r="I162" t="s"/>
      <c r="J162" t="n">
        <v>0.2732</v>
      </c>
      <c r="K162" t="n">
        <v>0</v>
      </c>
      <c r="L162" t="n">
        <v>0.877</v>
      </c>
      <c r="M162" t="n">
        <v>0.123</v>
      </c>
    </row>
    <row r="163" spans="1:13">
      <c r="A163" s="1">
        <f>HYPERLINK("http://www.twitter.com/NathanBLawrence/status/997518916405645313", "997518916405645313")</f>
        <v/>
      </c>
      <c r="B163" s="2" t="n">
        <v>43238.69927083333</v>
      </c>
      <c r="C163" t="n">
        <v>5</v>
      </c>
      <c r="D163" t="n">
        <v>6</v>
      </c>
      <c r="E163" t="s">
        <v>172</v>
      </c>
      <c r="F163" t="s"/>
      <c r="G163" t="s"/>
      <c r="H163" t="s"/>
      <c r="I163" t="s"/>
      <c r="J163" t="n">
        <v>-0.4157</v>
      </c>
      <c r="K163" t="n">
        <v>0.175</v>
      </c>
      <c r="L163" t="n">
        <v>0.701</v>
      </c>
      <c r="M163" t="n">
        <v>0.124</v>
      </c>
    </row>
    <row r="164" spans="1:13">
      <c r="A164" s="1">
        <f>HYPERLINK("http://www.twitter.com/NathanBLawrence/status/997360377536176128", "997360377536176128")</f>
        <v/>
      </c>
      <c r="B164" s="2" t="n">
        <v>43238.2617824074</v>
      </c>
      <c r="C164" t="n">
        <v>2</v>
      </c>
      <c r="D164" t="n">
        <v>0</v>
      </c>
      <c r="E164" t="s">
        <v>173</v>
      </c>
      <c r="F164" t="s"/>
      <c r="G164" t="s"/>
      <c r="H164" t="s"/>
      <c r="I164" t="s"/>
      <c r="J164" t="n">
        <v>0</v>
      </c>
      <c r="K164" t="n">
        <v>0</v>
      </c>
      <c r="L164" t="n">
        <v>1</v>
      </c>
      <c r="M164" t="n">
        <v>0</v>
      </c>
    </row>
    <row r="165" spans="1:13">
      <c r="A165" s="1">
        <f>HYPERLINK("http://www.twitter.com/NathanBLawrence/status/997360092461850624", "997360092461850624")</f>
        <v/>
      </c>
      <c r="B165" s="2" t="n">
        <v>43238.26099537037</v>
      </c>
      <c r="C165" t="n">
        <v>0</v>
      </c>
      <c r="D165" t="n">
        <v>67</v>
      </c>
      <c r="E165" t="s">
        <v>174</v>
      </c>
      <c r="F165" t="s"/>
      <c r="G165" t="s"/>
      <c r="H165" t="s"/>
      <c r="I165" t="s"/>
      <c r="J165" t="n">
        <v>0.4716</v>
      </c>
      <c r="K165" t="n">
        <v>0</v>
      </c>
      <c r="L165" t="n">
        <v>0.877</v>
      </c>
      <c r="M165" t="n">
        <v>0.123</v>
      </c>
    </row>
    <row r="166" spans="1:13">
      <c r="A166" s="1">
        <f>HYPERLINK("http://www.twitter.com/NathanBLawrence/status/997360059461046272", "997360059461046272")</f>
        <v/>
      </c>
      <c r="B166" s="2" t="n">
        <v>43238.26090277778</v>
      </c>
      <c r="C166" t="n">
        <v>0</v>
      </c>
      <c r="D166" t="n">
        <v>46</v>
      </c>
      <c r="E166" t="s">
        <v>175</v>
      </c>
      <c r="F166" t="s"/>
      <c r="G166" t="s"/>
      <c r="H166" t="s"/>
      <c r="I166" t="s"/>
      <c r="J166" t="n">
        <v>0</v>
      </c>
      <c r="K166" t="n">
        <v>0</v>
      </c>
      <c r="L166" t="n">
        <v>1</v>
      </c>
      <c r="M166" t="n">
        <v>0</v>
      </c>
    </row>
    <row r="167" spans="1:13">
      <c r="A167" s="1">
        <f>HYPERLINK("http://www.twitter.com/NathanBLawrence/status/997360031233380352", "997360031233380352")</f>
        <v/>
      </c>
      <c r="B167" s="2" t="n">
        <v>43238.26083333333</v>
      </c>
      <c r="C167" t="n">
        <v>0</v>
      </c>
      <c r="D167" t="n">
        <v>226</v>
      </c>
      <c r="E167" t="s">
        <v>176</v>
      </c>
      <c r="F167" t="s"/>
      <c r="G167" t="s"/>
      <c r="H167" t="s"/>
      <c r="I167" t="s"/>
      <c r="J167" t="n">
        <v>0</v>
      </c>
      <c r="K167" t="n">
        <v>0</v>
      </c>
      <c r="L167" t="n">
        <v>1</v>
      </c>
      <c r="M167" t="n">
        <v>0</v>
      </c>
    </row>
    <row r="168" spans="1:13">
      <c r="A168" s="1">
        <f>HYPERLINK("http://www.twitter.com/NathanBLawrence/status/997359697878552576", "997359697878552576")</f>
        <v/>
      </c>
      <c r="B168" s="2" t="n">
        <v>43238.25990740741</v>
      </c>
      <c r="C168" t="n">
        <v>0</v>
      </c>
      <c r="D168" t="n">
        <v>67</v>
      </c>
      <c r="E168" t="s">
        <v>177</v>
      </c>
      <c r="F168" t="s"/>
      <c r="G168" t="s"/>
      <c r="H168" t="s"/>
      <c r="I168" t="s"/>
      <c r="J168" t="n">
        <v>-0.2732</v>
      </c>
      <c r="K168" t="n">
        <v>0.104</v>
      </c>
      <c r="L168" t="n">
        <v>0.896</v>
      </c>
      <c r="M168" t="n">
        <v>0</v>
      </c>
    </row>
    <row r="169" spans="1:13">
      <c r="A169" s="1">
        <f>HYPERLINK("http://www.twitter.com/NathanBLawrence/status/997359685652054017", "997359685652054017")</f>
        <v/>
      </c>
      <c r="B169" s="2" t="n">
        <v>43238.25987268519</v>
      </c>
      <c r="C169" t="n">
        <v>0</v>
      </c>
      <c r="D169" t="n">
        <v>53</v>
      </c>
      <c r="E169" t="s">
        <v>178</v>
      </c>
      <c r="F169" t="s"/>
      <c r="G169" t="s"/>
      <c r="H169" t="s"/>
      <c r="I169" t="s"/>
      <c r="J169" t="n">
        <v>0</v>
      </c>
      <c r="K169" t="n">
        <v>0</v>
      </c>
      <c r="L169" t="n">
        <v>1</v>
      </c>
      <c r="M169" t="n">
        <v>0</v>
      </c>
    </row>
    <row r="170" spans="1:13">
      <c r="A170" s="1">
        <f>HYPERLINK("http://www.twitter.com/NathanBLawrence/status/997359673065005056", "997359673065005056")</f>
        <v/>
      </c>
      <c r="B170" s="2" t="n">
        <v>43238.25983796296</v>
      </c>
      <c r="C170" t="n">
        <v>0</v>
      </c>
      <c r="D170" t="n">
        <v>7</v>
      </c>
      <c r="E170" t="s">
        <v>179</v>
      </c>
      <c r="F170" t="s"/>
      <c r="G170" t="s"/>
      <c r="H170" t="s"/>
      <c r="I170" t="s"/>
      <c r="J170" t="n">
        <v>0.5688</v>
      </c>
      <c r="K170" t="n">
        <v>0</v>
      </c>
      <c r="L170" t="n">
        <v>0.794</v>
      </c>
      <c r="M170" t="n">
        <v>0.206</v>
      </c>
    </row>
    <row r="171" spans="1:13">
      <c r="A171" s="1">
        <f>HYPERLINK("http://www.twitter.com/NathanBLawrence/status/997359649782452224", "997359649782452224")</f>
        <v/>
      </c>
      <c r="B171" s="2" t="n">
        <v>43238.25978009259</v>
      </c>
      <c r="C171" t="n">
        <v>0</v>
      </c>
      <c r="D171" t="n">
        <v>78</v>
      </c>
      <c r="E171" t="s">
        <v>180</v>
      </c>
      <c r="F171" t="s"/>
      <c r="G171" t="s"/>
      <c r="H171" t="s"/>
      <c r="I171" t="s"/>
      <c r="J171" t="n">
        <v>0</v>
      </c>
      <c r="K171" t="n">
        <v>0</v>
      </c>
      <c r="L171" t="n">
        <v>1</v>
      </c>
      <c r="M171" t="n">
        <v>0</v>
      </c>
    </row>
    <row r="172" spans="1:13">
      <c r="A172" s="1">
        <f>HYPERLINK("http://www.twitter.com/NathanBLawrence/status/997359632971681792", "997359632971681792")</f>
        <v/>
      </c>
      <c r="B172" s="2" t="n">
        <v>43238.25973379629</v>
      </c>
      <c r="C172" t="n">
        <v>0</v>
      </c>
      <c r="D172" t="n">
        <v>308</v>
      </c>
      <c r="E172" t="s">
        <v>181</v>
      </c>
      <c r="F172">
        <f>HYPERLINK("https://video.twimg.com/ext_tw_video/997201208304521216/pu/vid/240x240/UkHll7I_gi6X5Sry.mp4?tag=3", "https://video.twimg.com/ext_tw_video/997201208304521216/pu/vid/240x240/UkHll7I_gi6X5Sry.mp4?tag=3")</f>
        <v/>
      </c>
      <c r="G172" t="s"/>
      <c r="H172" t="s"/>
      <c r="I172" t="s"/>
      <c r="J172" t="n">
        <v>0.5719</v>
      </c>
      <c r="K172" t="n">
        <v>0</v>
      </c>
      <c r="L172" t="n">
        <v>0.793</v>
      </c>
      <c r="M172" t="n">
        <v>0.207</v>
      </c>
    </row>
    <row r="173" spans="1:13">
      <c r="A173" s="1">
        <f>HYPERLINK("http://www.twitter.com/NathanBLawrence/status/997264027297501189", "997264027297501189")</f>
        <v/>
      </c>
      <c r="B173" s="2" t="n">
        <v>43237.99591435185</v>
      </c>
      <c r="C173" t="n">
        <v>0</v>
      </c>
      <c r="D173" t="n">
        <v>10</v>
      </c>
      <c r="E173" t="s">
        <v>182</v>
      </c>
      <c r="F173" t="s"/>
      <c r="G173" t="s"/>
      <c r="H173" t="s"/>
      <c r="I173" t="s"/>
      <c r="J173" t="n">
        <v>0.4767</v>
      </c>
      <c r="K173" t="n">
        <v>0.08599999999999999</v>
      </c>
      <c r="L173" t="n">
        <v>0.722</v>
      </c>
      <c r="M173" t="n">
        <v>0.192</v>
      </c>
    </row>
    <row r="174" spans="1:13">
      <c r="A174" s="1">
        <f>HYPERLINK("http://www.twitter.com/NathanBLawrence/status/997264008641155073", "997264008641155073")</f>
        <v/>
      </c>
      <c r="B174" s="2" t="n">
        <v>43237.99585648148</v>
      </c>
      <c r="C174" t="n">
        <v>0</v>
      </c>
      <c r="D174" t="n">
        <v>13</v>
      </c>
      <c r="E174" t="s">
        <v>183</v>
      </c>
      <c r="F174">
        <f>HYPERLINK("https://video.twimg.com/ext_tw_video/997202367824084993/pu/vid/240x240/W8QrrZx51cAl8PDE.mp4?tag=3", "https://video.twimg.com/ext_tw_video/997202367824084993/pu/vid/240x240/W8QrrZx51cAl8PDE.mp4?tag=3")</f>
        <v/>
      </c>
      <c r="G174" t="s"/>
      <c r="H174" t="s"/>
      <c r="I174" t="s"/>
      <c r="J174" t="n">
        <v>0.4767</v>
      </c>
      <c r="K174" t="n">
        <v>0</v>
      </c>
      <c r="L174" t="n">
        <v>0.881</v>
      </c>
      <c r="M174" t="n">
        <v>0.119</v>
      </c>
    </row>
    <row r="175" spans="1:13">
      <c r="A175" s="1">
        <f>HYPERLINK("http://www.twitter.com/NathanBLawrence/status/997263964508573696", "997263964508573696")</f>
        <v/>
      </c>
      <c r="B175" s="2" t="n">
        <v>43237.99574074074</v>
      </c>
      <c r="C175" t="n">
        <v>0</v>
      </c>
      <c r="D175" t="n">
        <v>7</v>
      </c>
      <c r="E175" t="s">
        <v>184</v>
      </c>
      <c r="F175">
        <f>HYPERLINK("https://video.twimg.com/ext_tw_video/997195990133129217/pu/vid/240x240/fr6kJJh93czIZQ_r.mp4?tag=3", "https://video.twimg.com/ext_tw_video/997195990133129217/pu/vid/240x240/fr6kJJh93czIZQ_r.mp4?tag=3")</f>
        <v/>
      </c>
      <c r="G175" t="s"/>
      <c r="H175" t="s"/>
      <c r="I175" t="s"/>
      <c r="J175" t="n">
        <v>-0.4939</v>
      </c>
      <c r="K175" t="n">
        <v>0.167</v>
      </c>
      <c r="L175" t="n">
        <v>0.833</v>
      </c>
      <c r="M175" t="n">
        <v>0</v>
      </c>
    </row>
    <row r="176" spans="1:13">
      <c r="A176" s="1">
        <f>HYPERLINK("http://www.twitter.com/NathanBLawrence/status/997263950688505856", "997263950688505856")</f>
        <v/>
      </c>
      <c r="B176" s="2" t="n">
        <v>43237.99569444444</v>
      </c>
      <c r="C176" t="n">
        <v>0</v>
      </c>
      <c r="D176" t="n">
        <v>8</v>
      </c>
      <c r="E176" t="s">
        <v>185</v>
      </c>
      <c r="F176">
        <f>HYPERLINK("https://video.twimg.com/ext_tw_video/997192668462530560/pu/vid/240x240/8z8upb1LwhpRv-51.mp4?tag=3", "https://video.twimg.com/ext_tw_video/997192668462530560/pu/vid/240x240/8z8upb1LwhpRv-51.mp4?tag=3")</f>
        <v/>
      </c>
      <c r="G176" t="s"/>
      <c r="H176" t="s"/>
      <c r="I176" t="s"/>
      <c r="J176" t="n">
        <v>0</v>
      </c>
      <c r="K176" t="n">
        <v>0</v>
      </c>
      <c r="L176" t="n">
        <v>1</v>
      </c>
      <c r="M176" t="n">
        <v>0</v>
      </c>
    </row>
    <row r="177" spans="1:13">
      <c r="A177" s="1">
        <f>HYPERLINK("http://www.twitter.com/NathanBLawrence/status/997263936016830470", "997263936016830470")</f>
        <v/>
      </c>
      <c r="B177" s="2" t="n">
        <v>43237.99565972222</v>
      </c>
      <c r="C177" t="n">
        <v>0</v>
      </c>
      <c r="D177" t="n">
        <v>14</v>
      </c>
      <c r="E177" t="s">
        <v>186</v>
      </c>
      <c r="F177">
        <f>HYPERLINK("https://video.twimg.com/ext_tw_video/997179013641613312/pu/vid/240x240/uoOk75L5w6u69R0X.mp4?tag=3", "https://video.twimg.com/ext_tw_video/997179013641613312/pu/vid/240x240/uoOk75L5w6u69R0X.mp4?tag=3")</f>
        <v/>
      </c>
      <c r="G177" t="s"/>
      <c r="H177" t="s"/>
      <c r="I177" t="s"/>
      <c r="J177" t="n">
        <v>-0.5266999999999999</v>
      </c>
      <c r="K177" t="n">
        <v>0.188</v>
      </c>
      <c r="L177" t="n">
        <v>0.8120000000000001</v>
      </c>
      <c r="M177" t="n">
        <v>0</v>
      </c>
    </row>
    <row r="178" spans="1:13">
      <c r="A178" s="1">
        <f>HYPERLINK("http://www.twitter.com/NathanBLawrence/status/997259132687138816", "997259132687138816")</f>
        <v/>
      </c>
      <c r="B178" s="2" t="n">
        <v>43237.98240740741</v>
      </c>
      <c r="C178" t="n">
        <v>1</v>
      </c>
      <c r="D178" t="n">
        <v>1</v>
      </c>
      <c r="E178" t="s">
        <v>187</v>
      </c>
      <c r="F178" t="s"/>
      <c r="G178" t="s"/>
      <c r="H178" t="s"/>
      <c r="I178" t="s"/>
      <c r="J178" t="n">
        <v>0</v>
      </c>
      <c r="K178" t="n">
        <v>0</v>
      </c>
      <c r="L178" t="n">
        <v>1</v>
      </c>
      <c r="M178" t="n">
        <v>0</v>
      </c>
    </row>
    <row r="179" spans="1:13">
      <c r="A179" s="1">
        <f>HYPERLINK("http://www.twitter.com/NathanBLawrence/status/997205771694813185", "997205771694813185")</f>
        <v/>
      </c>
      <c r="B179" s="2" t="n">
        <v>43237.83515046296</v>
      </c>
      <c r="C179" t="n">
        <v>0</v>
      </c>
      <c r="D179" t="n">
        <v>995</v>
      </c>
      <c r="E179" t="s">
        <v>188</v>
      </c>
      <c r="F179" t="s"/>
      <c r="G179" t="s"/>
      <c r="H179" t="s"/>
      <c r="I179" t="s"/>
      <c r="J179" t="n">
        <v>0.5574</v>
      </c>
      <c r="K179" t="n">
        <v>0</v>
      </c>
      <c r="L179" t="n">
        <v>0.6850000000000001</v>
      </c>
      <c r="M179" t="n">
        <v>0.315</v>
      </c>
    </row>
    <row r="180" spans="1:13">
      <c r="A180" s="1">
        <f>HYPERLINK("http://www.twitter.com/NathanBLawrence/status/997197041959948289", "997197041959948289")</f>
        <v/>
      </c>
      <c r="B180" s="2" t="n">
        <v>43237.81106481481</v>
      </c>
      <c r="C180" t="n">
        <v>0</v>
      </c>
      <c r="D180" t="n">
        <v>7</v>
      </c>
      <c r="E180" t="s">
        <v>189</v>
      </c>
      <c r="F180" t="s"/>
      <c r="G180" t="s"/>
      <c r="H180" t="s"/>
      <c r="I180" t="s"/>
      <c r="J180" t="n">
        <v>0.4939</v>
      </c>
      <c r="K180" t="n">
        <v>0.076</v>
      </c>
      <c r="L180" t="n">
        <v>0.76</v>
      </c>
      <c r="M180" t="n">
        <v>0.164</v>
      </c>
    </row>
    <row r="181" spans="1:13">
      <c r="A181" s="1">
        <f>HYPERLINK("http://www.twitter.com/NathanBLawrence/status/997186098383204352", "997186098383204352")</f>
        <v/>
      </c>
      <c r="B181" s="2" t="n">
        <v>43237.78086805555</v>
      </c>
      <c r="C181" t="n">
        <v>0</v>
      </c>
      <c r="D181" t="n">
        <v>2613</v>
      </c>
      <c r="E181" t="s">
        <v>190</v>
      </c>
      <c r="F181">
        <f>HYPERLINK("http://pbs.twimg.com/media/DdaoJLhVMAAPKkr.jpg", "http://pbs.twimg.com/media/DdaoJLhVMAAPKkr.jpg")</f>
        <v/>
      </c>
      <c r="G181" t="s"/>
      <c r="H181" t="s"/>
      <c r="I181" t="s"/>
      <c r="J181" t="n">
        <v>0</v>
      </c>
      <c r="K181" t="n">
        <v>0</v>
      </c>
      <c r="L181" t="n">
        <v>1</v>
      </c>
      <c r="M181" t="n">
        <v>0</v>
      </c>
    </row>
    <row r="182" spans="1:13">
      <c r="A182" s="1">
        <f>HYPERLINK("http://www.twitter.com/NathanBLawrence/status/997186084013527040", "997186084013527040")</f>
        <v/>
      </c>
      <c r="B182" s="2" t="n">
        <v>43237.78082175926</v>
      </c>
      <c r="C182" t="n">
        <v>0</v>
      </c>
      <c r="D182" t="n">
        <v>998</v>
      </c>
      <c r="E182" t="s">
        <v>191</v>
      </c>
      <c r="F182" t="s"/>
      <c r="G182" t="s"/>
      <c r="H182" t="s"/>
      <c r="I182" t="s"/>
      <c r="J182" t="n">
        <v>0.5574</v>
      </c>
      <c r="K182" t="n">
        <v>0</v>
      </c>
      <c r="L182" t="n">
        <v>0.841</v>
      </c>
      <c r="M182" t="n">
        <v>0.159</v>
      </c>
    </row>
    <row r="183" spans="1:13">
      <c r="A183" s="1">
        <f>HYPERLINK("http://www.twitter.com/NathanBLawrence/status/997185477827596288", "997185477827596288")</f>
        <v/>
      </c>
      <c r="B183" s="2" t="n">
        <v>43237.77915509259</v>
      </c>
      <c r="C183" t="n">
        <v>0</v>
      </c>
      <c r="D183" t="n">
        <v>0</v>
      </c>
      <c r="E183" t="s">
        <v>192</v>
      </c>
      <c r="F183" t="s"/>
      <c r="G183" t="s"/>
      <c r="H183" t="s"/>
      <c r="I183" t="s"/>
      <c r="J183" t="n">
        <v>0.4574</v>
      </c>
      <c r="K183" t="n">
        <v>0</v>
      </c>
      <c r="L183" t="n">
        <v>0.8</v>
      </c>
      <c r="M183" t="n">
        <v>0.2</v>
      </c>
    </row>
    <row r="184" spans="1:13">
      <c r="A184" s="1">
        <f>HYPERLINK("http://www.twitter.com/NathanBLawrence/status/997185259916623872", "997185259916623872")</f>
        <v/>
      </c>
      <c r="B184" s="2" t="n">
        <v>43237.77855324074</v>
      </c>
      <c r="C184" t="n">
        <v>0</v>
      </c>
      <c r="D184" t="n">
        <v>0</v>
      </c>
      <c r="E184" t="s">
        <v>193</v>
      </c>
      <c r="F184" t="s"/>
      <c r="G184" t="s"/>
      <c r="H184" t="s"/>
      <c r="I184" t="s"/>
      <c r="J184" t="n">
        <v>0</v>
      </c>
      <c r="K184" t="n">
        <v>0</v>
      </c>
      <c r="L184" t="n">
        <v>1</v>
      </c>
      <c r="M184" t="n">
        <v>0</v>
      </c>
    </row>
    <row r="185" spans="1:13">
      <c r="A185" s="1">
        <f>HYPERLINK("http://www.twitter.com/NathanBLawrence/status/997185229046648833", "997185229046648833")</f>
        <v/>
      </c>
      <c r="B185" s="2" t="n">
        <v>43237.77847222222</v>
      </c>
      <c r="C185" t="n">
        <v>0</v>
      </c>
      <c r="D185" t="n">
        <v>15</v>
      </c>
      <c r="E185" t="s">
        <v>194</v>
      </c>
      <c r="F185" t="s"/>
      <c r="G185" t="s"/>
      <c r="H185" t="s"/>
      <c r="I185" t="s"/>
      <c r="J185" t="n">
        <v>0.1477</v>
      </c>
      <c r="K185" t="n">
        <v>0.108</v>
      </c>
      <c r="L185" t="n">
        <v>0.73</v>
      </c>
      <c r="M185" t="n">
        <v>0.163</v>
      </c>
    </row>
    <row r="186" spans="1:13">
      <c r="A186" s="1">
        <f>HYPERLINK("http://www.twitter.com/NathanBLawrence/status/997182873169006592", "997182873169006592")</f>
        <v/>
      </c>
      <c r="B186" s="2" t="n">
        <v>43237.77196759259</v>
      </c>
      <c r="C186" t="n">
        <v>2</v>
      </c>
      <c r="D186" t="n">
        <v>1</v>
      </c>
      <c r="E186" t="s">
        <v>195</v>
      </c>
      <c r="F186" t="s"/>
      <c r="G186" t="s"/>
      <c r="H186" t="s"/>
      <c r="I186" t="s"/>
      <c r="J186" t="n">
        <v>0</v>
      </c>
      <c r="K186" t="n">
        <v>0</v>
      </c>
      <c r="L186" t="n">
        <v>1</v>
      </c>
      <c r="M186" t="n">
        <v>0</v>
      </c>
    </row>
    <row r="187" spans="1:13">
      <c r="A187" s="1">
        <f>HYPERLINK("http://www.twitter.com/NathanBLawrence/status/997182084023291904", "997182084023291904")</f>
        <v/>
      </c>
      <c r="B187" s="2" t="n">
        <v>43237.76979166667</v>
      </c>
      <c r="C187" t="n">
        <v>7</v>
      </c>
      <c r="D187" t="n">
        <v>7</v>
      </c>
      <c r="E187" t="s">
        <v>196</v>
      </c>
      <c r="F187" t="s"/>
      <c r="G187" t="s"/>
      <c r="H187" t="s"/>
      <c r="I187" t="s"/>
      <c r="J187" t="n">
        <v>-0.3773</v>
      </c>
      <c r="K187" t="n">
        <v>0.171</v>
      </c>
      <c r="L187" t="n">
        <v>0.707</v>
      </c>
      <c r="M187" t="n">
        <v>0.123</v>
      </c>
    </row>
    <row r="188" spans="1:13">
      <c r="A188" s="1">
        <f>HYPERLINK("http://www.twitter.com/NathanBLawrence/status/997151981163642880", "997151981163642880")</f>
        <v/>
      </c>
      <c r="B188" s="2" t="n">
        <v>43237.68672453704</v>
      </c>
      <c r="C188" t="n">
        <v>0</v>
      </c>
      <c r="D188" t="n">
        <v>6</v>
      </c>
      <c r="E188" t="s">
        <v>197</v>
      </c>
      <c r="F188" t="s"/>
      <c r="G188" t="s"/>
      <c r="H188" t="s"/>
      <c r="I188" t="s"/>
      <c r="J188" t="n">
        <v>-0.3612</v>
      </c>
      <c r="K188" t="n">
        <v>0.106</v>
      </c>
      <c r="L188" t="n">
        <v>0.894</v>
      </c>
      <c r="M188" t="n">
        <v>0</v>
      </c>
    </row>
    <row r="189" spans="1:13">
      <c r="A189" s="1">
        <f>HYPERLINK("http://www.twitter.com/NathanBLawrence/status/997151706269003776", "997151706269003776")</f>
        <v/>
      </c>
      <c r="B189" s="2" t="n">
        <v>43237.68596064814</v>
      </c>
      <c r="C189" t="n">
        <v>1</v>
      </c>
      <c r="D189" t="n">
        <v>0</v>
      </c>
      <c r="E189" t="s">
        <v>198</v>
      </c>
      <c r="F189" t="s"/>
      <c r="G189" t="s"/>
      <c r="H189" t="s"/>
      <c r="I189" t="s"/>
      <c r="J189" t="n">
        <v>0</v>
      </c>
      <c r="K189" t="n">
        <v>0</v>
      </c>
      <c r="L189" t="n">
        <v>1</v>
      </c>
      <c r="M189" t="n">
        <v>0</v>
      </c>
    </row>
    <row r="190" spans="1:13">
      <c r="A190" s="1">
        <f>HYPERLINK("http://www.twitter.com/NathanBLawrence/status/997151656696524800", "997151656696524800")</f>
        <v/>
      </c>
      <c r="B190" s="2" t="n">
        <v>43237.68582175926</v>
      </c>
      <c r="C190" t="n">
        <v>0</v>
      </c>
      <c r="D190" t="n">
        <v>13</v>
      </c>
      <c r="E190" t="s">
        <v>199</v>
      </c>
      <c r="F190">
        <f>HYPERLINK("http://pbs.twimg.com/media/DdaUHBUVAAA9WDr.jpg", "http://pbs.twimg.com/media/DdaUHBUVAAA9WDr.jpg")</f>
        <v/>
      </c>
      <c r="G190" t="s"/>
      <c r="H190" t="s"/>
      <c r="I190" t="s"/>
      <c r="J190" t="n">
        <v>0.4019</v>
      </c>
      <c r="K190" t="n">
        <v>0</v>
      </c>
      <c r="L190" t="n">
        <v>0.881</v>
      </c>
      <c r="M190" t="n">
        <v>0.119</v>
      </c>
    </row>
    <row r="191" spans="1:13">
      <c r="A191" s="1">
        <f>HYPERLINK("http://www.twitter.com/NathanBLawrence/status/997151620646473728", "997151620646473728")</f>
        <v/>
      </c>
      <c r="B191" s="2" t="n">
        <v>43237.68572916667</v>
      </c>
      <c r="C191" t="n">
        <v>0</v>
      </c>
      <c r="D191" t="n">
        <v>5</v>
      </c>
      <c r="E191" t="s">
        <v>200</v>
      </c>
      <c r="F191">
        <f>HYPERLINK("http://pbs.twimg.com/media/DdXd51mW4AEwHQv.jpg", "http://pbs.twimg.com/media/DdXd51mW4AEwHQv.jpg")</f>
        <v/>
      </c>
      <c r="G191" t="s"/>
      <c r="H191" t="s"/>
      <c r="I191" t="s"/>
      <c r="J191" t="n">
        <v>0</v>
      </c>
      <c r="K191" t="n">
        <v>0</v>
      </c>
      <c r="L191" t="n">
        <v>1</v>
      </c>
      <c r="M191" t="n">
        <v>0</v>
      </c>
    </row>
    <row r="192" spans="1:13">
      <c r="A192" s="1">
        <f>HYPERLINK("http://www.twitter.com/NathanBLawrence/status/996973113018540032", "996973113018540032")</f>
        <v/>
      </c>
      <c r="B192" s="2" t="n">
        <v>43237.19313657407</v>
      </c>
      <c r="C192" t="n">
        <v>0</v>
      </c>
      <c r="D192" t="n">
        <v>6</v>
      </c>
      <c r="E192" t="s">
        <v>201</v>
      </c>
      <c r="F192" t="s"/>
      <c r="G192" t="s"/>
      <c r="H192" t="s"/>
      <c r="I192" t="s"/>
      <c r="J192" t="n">
        <v>-0.1027</v>
      </c>
      <c r="K192" t="n">
        <v>0.055</v>
      </c>
      <c r="L192" t="n">
        <v>0.945</v>
      </c>
      <c r="M192" t="n">
        <v>0</v>
      </c>
    </row>
    <row r="193" spans="1:13">
      <c r="A193" s="1">
        <f>HYPERLINK("http://www.twitter.com/NathanBLawrence/status/996969913641242624", "996969913641242624")</f>
        <v/>
      </c>
      <c r="B193" s="2" t="n">
        <v>43237.18430555556</v>
      </c>
      <c r="C193" t="n">
        <v>0</v>
      </c>
      <c r="D193" t="n">
        <v>8</v>
      </c>
      <c r="E193" t="s">
        <v>202</v>
      </c>
      <c r="F193" t="s"/>
      <c r="G193" t="s"/>
      <c r="H193" t="s"/>
      <c r="I193" t="s"/>
      <c r="J193" t="n">
        <v>-0.9528</v>
      </c>
      <c r="K193" t="n">
        <v>0.502</v>
      </c>
      <c r="L193" t="n">
        <v>0.498</v>
      </c>
      <c r="M193" t="n">
        <v>0</v>
      </c>
    </row>
    <row r="194" spans="1:13">
      <c r="A194" s="1">
        <f>HYPERLINK("http://www.twitter.com/NathanBLawrence/status/996969898692751360", "996969898692751360")</f>
        <v/>
      </c>
      <c r="B194" s="2" t="n">
        <v>43237.18427083334</v>
      </c>
      <c r="C194" t="n">
        <v>0</v>
      </c>
      <c r="D194" t="n">
        <v>14</v>
      </c>
      <c r="E194" t="s">
        <v>203</v>
      </c>
      <c r="F194" t="s"/>
      <c r="G194" t="s"/>
      <c r="H194" t="s"/>
      <c r="I194" t="s"/>
      <c r="J194" t="n">
        <v>-0.2732</v>
      </c>
      <c r="K194" t="n">
        <v>0.091</v>
      </c>
      <c r="L194" t="n">
        <v>0.909</v>
      </c>
      <c r="M194" t="n">
        <v>0</v>
      </c>
    </row>
    <row r="195" spans="1:13">
      <c r="A195" s="1">
        <f>HYPERLINK("http://www.twitter.com/NathanBLawrence/status/996969885610790912", "996969885610790912")</f>
        <v/>
      </c>
      <c r="B195" s="2" t="n">
        <v>43237.18423611111</v>
      </c>
      <c r="C195" t="n">
        <v>0</v>
      </c>
      <c r="D195" t="n">
        <v>35</v>
      </c>
      <c r="E195" t="s">
        <v>204</v>
      </c>
      <c r="F195" t="s"/>
      <c r="G195" t="s"/>
      <c r="H195" t="s"/>
      <c r="I195" t="s"/>
      <c r="J195" t="n">
        <v>-0.8016</v>
      </c>
      <c r="K195" t="n">
        <v>0.304</v>
      </c>
      <c r="L195" t="n">
        <v>0.696</v>
      </c>
      <c r="M195" t="n">
        <v>0</v>
      </c>
    </row>
    <row r="196" spans="1:13">
      <c r="A196" s="1">
        <f>HYPERLINK("http://www.twitter.com/NathanBLawrence/status/996969844229771269", "996969844229771269")</f>
        <v/>
      </c>
      <c r="B196" s="2" t="n">
        <v>43237.18412037037</v>
      </c>
      <c r="C196" t="n">
        <v>0</v>
      </c>
      <c r="D196" t="n">
        <v>15</v>
      </c>
      <c r="E196" t="s">
        <v>205</v>
      </c>
      <c r="F196" t="s"/>
      <c r="G196" t="s"/>
      <c r="H196" t="s"/>
      <c r="I196" t="s"/>
      <c r="J196" t="n">
        <v>0.5707</v>
      </c>
      <c r="K196" t="n">
        <v>0</v>
      </c>
      <c r="L196" t="n">
        <v>0.822</v>
      </c>
      <c r="M196" t="n">
        <v>0.178</v>
      </c>
    </row>
    <row r="197" spans="1:13">
      <c r="A197" s="1">
        <f>HYPERLINK("http://www.twitter.com/NathanBLawrence/status/996969817046429697", "996969817046429697")</f>
        <v/>
      </c>
      <c r="B197" s="2" t="n">
        <v>43237.18403935185</v>
      </c>
      <c r="C197" t="n">
        <v>0</v>
      </c>
      <c r="D197" t="n">
        <v>13</v>
      </c>
      <c r="E197" t="s">
        <v>206</v>
      </c>
      <c r="F197" t="s"/>
      <c r="G197" t="s"/>
      <c r="H197" t="s"/>
      <c r="I197" t="s"/>
      <c r="J197" t="n">
        <v>0</v>
      </c>
      <c r="K197" t="n">
        <v>0</v>
      </c>
      <c r="L197" t="n">
        <v>1</v>
      </c>
      <c r="M197" t="n">
        <v>0</v>
      </c>
    </row>
    <row r="198" spans="1:13">
      <c r="A198" s="1">
        <f>HYPERLINK("http://www.twitter.com/NathanBLawrence/status/996948505699803136", "996948505699803136")</f>
        <v/>
      </c>
      <c r="B198" s="2" t="n">
        <v>43237.12523148148</v>
      </c>
      <c r="C198" t="n">
        <v>0</v>
      </c>
      <c r="D198" t="n">
        <v>37</v>
      </c>
      <c r="E198" t="s">
        <v>207</v>
      </c>
      <c r="F198">
        <f>HYPERLINK("http://pbs.twimg.com/media/DdXNHd7VMAEO5bP.jpg", "http://pbs.twimg.com/media/DdXNHd7VMAEO5bP.jpg")</f>
        <v/>
      </c>
      <c r="G198" t="s"/>
      <c r="H198" t="s"/>
      <c r="I198" t="s"/>
      <c r="J198" t="n">
        <v>0</v>
      </c>
      <c r="K198" t="n">
        <v>0</v>
      </c>
      <c r="L198" t="n">
        <v>1</v>
      </c>
      <c r="M198" t="n">
        <v>0</v>
      </c>
    </row>
    <row r="199" spans="1:13">
      <c r="A199" s="1">
        <f>HYPERLINK("http://www.twitter.com/NathanBLawrence/status/996946883359723520", "996946883359723520")</f>
        <v/>
      </c>
      <c r="B199" s="2" t="n">
        <v>43237.12076388889</v>
      </c>
      <c r="C199" t="n">
        <v>14</v>
      </c>
      <c r="D199" t="n">
        <v>5</v>
      </c>
      <c r="E199" t="s">
        <v>208</v>
      </c>
      <c r="F199">
        <f>HYPERLINK("http://pbs.twimg.com/media/DdXd51mW4AEwHQv.jpg", "http://pbs.twimg.com/media/DdXd51mW4AEwHQv.jpg")</f>
        <v/>
      </c>
      <c r="G199" t="s"/>
      <c r="H199" t="s"/>
      <c r="I199" t="s"/>
      <c r="J199" t="n">
        <v>0.4995</v>
      </c>
      <c r="K199" t="n">
        <v>0</v>
      </c>
      <c r="L199" t="n">
        <v>0.9330000000000001</v>
      </c>
      <c r="M199" t="n">
        <v>0.067</v>
      </c>
    </row>
    <row r="200" spans="1:13">
      <c r="A200" s="1">
        <f>HYPERLINK("http://www.twitter.com/NathanBLawrence/status/996945901510955009", "996945901510955009")</f>
        <v/>
      </c>
      <c r="B200" s="2" t="n">
        <v>43237.11804398148</v>
      </c>
      <c r="C200" t="n">
        <v>12</v>
      </c>
      <c r="D200" t="n">
        <v>9</v>
      </c>
      <c r="E200" t="s">
        <v>209</v>
      </c>
      <c r="F200" t="s"/>
      <c r="G200" t="s"/>
      <c r="H200" t="s"/>
      <c r="I200" t="s"/>
      <c r="J200" t="n">
        <v>-0.8270999999999999</v>
      </c>
      <c r="K200" t="n">
        <v>0.168</v>
      </c>
      <c r="L200" t="n">
        <v>0.832</v>
      </c>
      <c r="M200" t="n">
        <v>0</v>
      </c>
    </row>
    <row r="201" spans="1:13">
      <c r="A201" s="1">
        <f>HYPERLINK("http://www.twitter.com/NathanBLawrence/status/996942751362093057", "996942751362093057")</f>
        <v/>
      </c>
      <c r="B201" s="2" t="n">
        <v>43237.10935185185</v>
      </c>
      <c r="C201" t="n">
        <v>0</v>
      </c>
      <c r="D201" t="n">
        <v>9</v>
      </c>
      <c r="E201" t="s">
        <v>210</v>
      </c>
      <c r="F201">
        <f>HYPERLINK("http://pbs.twimg.com/media/DdW7H2rWkAERjav.jpg", "http://pbs.twimg.com/media/DdW7H2rWkAERjav.jpg")</f>
        <v/>
      </c>
      <c r="G201" t="s"/>
      <c r="H201" t="s"/>
      <c r="I201" t="s"/>
      <c r="J201" t="n">
        <v>0</v>
      </c>
      <c r="K201" t="n">
        <v>0</v>
      </c>
      <c r="L201" t="n">
        <v>1</v>
      </c>
      <c r="M201" t="n">
        <v>0</v>
      </c>
    </row>
    <row r="202" spans="1:13">
      <c r="A202" s="1">
        <f>HYPERLINK("http://www.twitter.com/NathanBLawrence/status/996942732294868997", "996942732294868997")</f>
        <v/>
      </c>
      <c r="B202" s="2" t="n">
        <v>43237.10930555555</v>
      </c>
      <c r="C202" t="n">
        <v>0</v>
      </c>
      <c r="D202" t="n">
        <v>1</v>
      </c>
      <c r="E202" t="s">
        <v>211</v>
      </c>
      <c r="F202" t="s"/>
      <c r="G202" t="s"/>
      <c r="H202" t="s"/>
      <c r="I202" t="s"/>
      <c r="J202" t="n">
        <v>-0.7096</v>
      </c>
      <c r="K202" t="n">
        <v>0.189</v>
      </c>
      <c r="L202" t="n">
        <v>0.8110000000000001</v>
      </c>
      <c r="M202" t="n">
        <v>0</v>
      </c>
    </row>
    <row r="203" spans="1:13">
      <c r="A203" s="1">
        <f>HYPERLINK("http://www.twitter.com/NathanBLawrence/status/996942693845651458", "996942693845651458")</f>
        <v/>
      </c>
      <c r="B203" s="2" t="n">
        <v>43237.10920138889</v>
      </c>
      <c r="C203" t="n">
        <v>0</v>
      </c>
      <c r="D203" t="n">
        <v>4</v>
      </c>
      <c r="E203" t="s">
        <v>212</v>
      </c>
      <c r="F203">
        <f>HYPERLINK("http://pbs.twimg.com/media/DdXXWS2W4AICFhF.jpg", "http://pbs.twimg.com/media/DdXXWS2W4AICFhF.jpg")</f>
        <v/>
      </c>
      <c r="G203" t="s"/>
      <c r="H203" t="s"/>
      <c r="I203" t="s"/>
      <c r="J203" t="n">
        <v>0</v>
      </c>
      <c r="K203" t="n">
        <v>0</v>
      </c>
      <c r="L203" t="n">
        <v>1</v>
      </c>
      <c r="M203" t="n">
        <v>0</v>
      </c>
    </row>
    <row r="204" spans="1:13">
      <c r="A204" s="1">
        <f>HYPERLINK("http://www.twitter.com/NathanBLawrence/status/996942472868716544", "996942472868716544")</f>
        <v/>
      </c>
      <c r="B204" s="2" t="n">
        <v>43237.10858796296</v>
      </c>
      <c r="C204" t="n">
        <v>0</v>
      </c>
      <c r="D204" t="n">
        <v>6</v>
      </c>
      <c r="E204" t="s">
        <v>213</v>
      </c>
      <c r="F204">
        <f>HYPERLINK("http://pbs.twimg.com/media/DdXZi1VXUAA9syn.jpg", "http://pbs.twimg.com/media/DdXZi1VXUAA9syn.jpg")</f>
        <v/>
      </c>
      <c r="G204" t="s"/>
      <c r="H204" t="s"/>
      <c r="I204" t="s"/>
      <c r="J204" t="n">
        <v>-0.5423</v>
      </c>
      <c r="K204" t="n">
        <v>0.17</v>
      </c>
      <c r="L204" t="n">
        <v>0.83</v>
      </c>
      <c r="M204" t="n">
        <v>0</v>
      </c>
    </row>
    <row r="205" spans="1:13">
      <c r="A205" s="1">
        <f>HYPERLINK("http://www.twitter.com/NathanBLawrence/status/996942092235489280", "996942092235489280")</f>
        <v/>
      </c>
      <c r="B205" s="2" t="n">
        <v>43237.10753472222</v>
      </c>
      <c r="C205" t="n">
        <v>6</v>
      </c>
      <c r="D205" t="n">
        <v>6</v>
      </c>
      <c r="E205" t="s">
        <v>214</v>
      </c>
      <c r="F205">
        <f>HYPERLINK("http://pbs.twimg.com/media/DdXZi1VXUAA9syn.jpg", "http://pbs.twimg.com/media/DdXZi1VXUAA9syn.jpg")</f>
        <v/>
      </c>
      <c r="G205" t="s"/>
      <c r="H205" t="s"/>
      <c r="I205" t="s"/>
      <c r="J205" t="n">
        <v>0.168</v>
      </c>
      <c r="K205" t="n">
        <v>0.137</v>
      </c>
      <c r="L205" t="n">
        <v>0.744</v>
      </c>
      <c r="M205" t="n">
        <v>0.119</v>
      </c>
    </row>
    <row r="206" spans="1:13">
      <c r="A206" s="1">
        <f>HYPERLINK("http://www.twitter.com/NathanBLawrence/status/996940857646440448", "996940857646440448")</f>
        <v/>
      </c>
      <c r="B206" s="2" t="n">
        <v>43237.10413194444</v>
      </c>
      <c r="C206" t="n">
        <v>8</v>
      </c>
      <c r="D206" t="n">
        <v>6</v>
      </c>
      <c r="E206" t="s">
        <v>215</v>
      </c>
      <c r="F206" t="s"/>
      <c r="G206" t="s"/>
      <c r="H206" t="s"/>
      <c r="I206" t="s"/>
      <c r="J206" t="n">
        <v>-0.0258</v>
      </c>
      <c r="K206" t="n">
        <v>0.029</v>
      </c>
      <c r="L206" t="n">
        <v>0.945</v>
      </c>
      <c r="M206" t="n">
        <v>0.027</v>
      </c>
    </row>
    <row r="207" spans="1:13">
      <c r="A207" s="1">
        <f>HYPERLINK("http://www.twitter.com/NathanBLawrence/status/996936100773064704", "996936100773064704")</f>
        <v/>
      </c>
      <c r="B207" s="2" t="n">
        <v>43237.09100694444</v>
      </c>
      <c r="C207" t="n">
        <v>0</v>
      </c>
      <c r="D207" t="n">
        <v>8</v>
      </c>
      <c r="E207" t="s">
        <v>216</v>
      </c>
      <c r="F207" t="s"/>
      <c r="G207" t="s"/>
      <c r="H207" t="s"/>
      <c r="I207" t="s"/>
      <c r="J207" t="n">
        <v>0</v>
      </c>
      <c r="K207" t="n">
        <v>0</v>
      </c>
      <c r="L207" t="n">
        <v>1</v>
      </c>
      <c r="M207" t="n">
        <v>0</v>
      </c>
    </row>
    <row r="208" spans="1:13">
      <c r="A208" s="1">
        <f>HYPERLINK("http://www.twitter.com/NathanBLawrence/status/996936046263881733", "996936046263881733")</f>
        <v/>
      </c>
      <c r="B208" s="2" t="n">
        <v>43237.09085648148</v>
      </c>
      <c r="C208" t="n">
        <v>0</v>
      </c>
      <c r="D208" t="n">
        <v>7</v>
      </c>
      <c r="E208" t="s">
        <v>217</v>
      </c>
      <c r="F208" t="s"/>
      <c r="G208" t="s"/>
      <c r="H208" t="s"/>
      <c r="I208" t="s"/>
      <c r="J208" t="n">
        <v>0.4019</v>
      </c>
      <c r="K208" t="n">
        <v>0</v>
      </c>
      <c r="L208" t="n">
        <v>0.891</v>
      </c>
      <c r="M208" t="n">
        <v>0.109</v>
      </c>
    </row>
    <row r="209" spans="1:13">
      <c r="A209" s="1">
        <f>HYPERLINK("http://www.twitter.com/NathanBLawrence/status/996935941162926080", "996935941162926080")</f>
        <v/>
      </c>
      <c r="B209" s="2" t="n">
        <v>43237.09056712963</v>
      </c>
      <c r="C209" t="n">
        <v>0</v>
      </c>
      <c r="D209" t="n">
        <v>8</v>
      </c>
      <c r="E209" t="s">
        <v>218</v>
      </c>
      <c r="F209" t="s"/>
      <c r="G209" t="s"/>
      <c r="H209" t="s"/>
      <c r="I209" t="s"/>
      <c r="J209" t="n">
        <v>0</v>
      </c>
      <c r="K209" t="n">
        <v>0</v>
      </c>
      <c r="L209" t="n">
        <v>1</v>
      </c>
      <c r="M209" t="n">
        <v>0</v>
      </c>
    </row>
    <row r="210" spans="1:13">
      <c r="A210" s="1">
        <f>HYPERLINK("http://www.twitter.com/NathanBLawrence/status/996935843779694592", "996935843779694592")</f>
        <v/>
      </c>
      <c r="B210" s="2" t="n">
        <v>43237.09028935185</v>
      </c>
      <c r="C210" t="n">
        <v>0</v>
      </c>
      <c r="D210" t="n">
        <v>9</v>
      </c>
      <c r="E210" t="s">
        <v>219</v>
      </c>
      <c r="F210" t="s"/>
      <c r="G210" t="s"/>
      <c r="H210" t="s"/>
      <c r="I210" t="s"/>
      <c r="J210" t="n">
        <v>0.2057</v>
      </c>
      <c r="K210" t="n">
        <v>0</v>
      </c>
      <c r="L210" t="n">
        <v>0.904</v>
      </c>
      <c r="M210" t="n">
        <v>0.096</v>
      </c>
    </row>
    <row r="211" spans="1:13">
      <c r="A211" s="1">
        <f>HYPERLINK("http://www.twitter.com/NathanBLawrence/status/996935712074321921", "996935712074321921")</f>
        <v/>
      </c>
      <c r="B211" s="2" t="n">
        <v>43237.08993055556</v>
      </c>
      <c r="C211" t="n">
        <v>0</v>
      </c>
      <c r="D211" t="n">
        <v>19</v>
      </c>
      <c r="E211" t="s">
        <v>220</v>
      </c>
      <c r="F211" t="s"/>
      <c r="G211" t="s"/>
      <c r="H211" t="s"/>
      <c r="I211" t="s"/>
      <c r="J211" t="n">
        <v>0.4939</v>
      </c>
      <c r="K211" t="n">
        <v>0</v>
      </c>
      <c r="L211" t="n">
        <v>0.862</v>
      </c>
      <c r="M211" t="n">
        <v>0.138</v>
      </c>
    </row>
    <row r="212" spans="1:13">
      <c r="A212" s="1">
        <f>HYPERLINK("http://www.twitter.com/NathanBLawrence/status/996933470634078213", "996933470634078213")</f>
        <v/>
      </c>
      <c r="B212" s="2" t="n">
        <v>43237.08375</v>
      </c>
      <c r="C212" t="n">
        <v>15</v>
      </c>
      <c r="D212" t="n">
        <v>7</v>
      </c>
      <c r="E212" t="s">
        <v>221</v>
      </c>
      <c r="F212" t="s"/>
      <c r="G212" t="s"/>
      <c r="H212" t="s"/>
      <c r="I212" t="s"/>
      <c r="J212" t="n">
        <v>0.7003</v>
      </c>
      <c r="K212" t="n">
        <v>0</v>
      </c>
      <c r="L212" t="n">
        <v>0.886</v>
      </c>
      <c r="M212" t="n">
        <v>0.114</v>
      </c>
    </row>
    <row r="213" spans="1:13">
      <c r="A213" s="1">
        <f>HYPERLINK("http://www.twitter.com/NathanBLawrence/status/996933058669563904", "996933058669563904")</f>
        <v/>
      </c>
      <c r="B213" s="2" t="n">
        <v>43237.08260416667</v>
      </c>
      <c r="C213" t="n">
        <v>11</v>
      </c>
      <c r="D213" t="n">
        <v>8</v>
      </c>
      <c r="E213" t="s">
        <v>222</v>
      </c>
      <c r="F213" t="s"/>
      <c r="G213" t="s"/>
      <c r="H213" t="s"/>
      <c r="I213" t="s"/>
      <c r="J213" t="n">
        <v>0</v>
      </c>
      <c r="K213" t="n">
        <v>0</v>
      </c>
      <c r="L213" t="n">
        <v>1</v>
      </c>
      <c r="M213" t="n">
        <v>0</v>
      </c>
    </row>
    <row r="214" spans="1:13">
      <c r="A214" s="1">
        <f>HYPERLINK("http://www.twitter.com/NathanBLawrence/status/996923254139969537", "996923254139969537")</f>
        <v/>
      </c>
      <c r="B214" s="2" t="n">
        <v>43237.05555555555</v>
      </c>
      <c r="C214" t="n">
        <v>0</v>
      </c>
      <c r="D214" t="n">
        <v>910</v>
      </c>
      <c r="E214" t="s">
        <v>223</v>
      </c>
      <c r="F214">
        <f>HYPERLINK("https://video.twimg.com/amplify_video/996821486089441282/vid/1280x720/4_BjlDSnVP_QjGvY.mp4?tag=2", "https://video.twimg.com/amplify_video/996821486089441282/vid/1280x720/4_BjlDSnVP_QjGvY.mp4?tag=2")</f>
        <v/>
      </c>
      <c r="G214" t="s"/>
      <c r="H214" t="s"/>
      <c r="I214" t="s"/>
      <c r="J214" t="n">
        <v>0.128</v>
      </c>
      <c r="K214" t="n">
        <v>0</v>
      </c>
      <c r="L214" t="n">
        <v>0.923</v>
      </c>
      <c r="M214" t="n">
        <v>0.077</v>
      </c>
    </row>
    <row r="215" spans="1:13">
      <c r="A215" s="1">
        <f>HYPERLINK("http://www.twitter.com/NathanBLawrence/status/996923166172819456", "996923166172819456")</f>
        <v/>
      </c>
      <c r="B215" s="2" t="n">
        <v>43237.0553125</v>
      </c>
      <c r="C215" t="n">
        <v>1</v>
      </c>
      <c r="D215" t="n">
        <v>1</v>
      </c>
      <c r="E215" t="s">
        <v>224</v>
      </c>
      <c r="F215" t="s"/>
      <c r="G215" t="s"/>
      <c r="H215" t="s"/>
      <c r="I215" t="s"/>
      <c r="J215" t="n">
        <v>0</v>
      </c>
      <c r="K215" t="n">
        <v>0</v>
      </c>
      <c r="L215" t="n">
        <v>1</v>
      </c>
      <c r="M215" t="n">
        <v>0</v>
      </c>
    </row>
    <row r="216" spans="1:13">
      <c r="A216" s="1">
        <f>HYPERLINK("http://www.twitter.com/NathanBLawrence/status/996923063324282881", "996923063324282881")</f>
        <v/>
      </c>
      <c r="B216" s="2" t="n">
        <v>43237.05502314815</v>
      </c>
      <c r="C216" t="n">
        <v>1</v>
      </c>
      <c r="D216" t="n">
        <v>0</v>
      </c>
      <c r="E216" t="s">
        <v>225</v>
      </c>
      <c r="F216" t="s"/>
      <c r="G216" t="s"/>
      <c r="H216" t="s"/>
      <c r="I216" t="s"/>
      <c r="J216" t="n">
        <v>0.8885</v>
      </c>
      <c r="K216" t="n">
        <v>0</v>
      </c>
      <c r="L216" t="n">
        <v>0.796</v>
      </c>
      <c r="M216" t="n">
        <v>0.204</v>
      </c>
    </row>
    <row r="217" spans="1:13">
      <c r="A217" s="1">
        <f>HYPERLINK("http://www.twitter.com/NathanBLawrence/status/996921980589957120", "996921980589957120")</f>
        <v/>
      </c>
      <c r="B217" s="2" t="n">
        <v>43237.05203703704</v>
      </c>
      <c r="C217" t="n">
        <v>0</v>
      </c>
      <c r="D217" t="n">
        <v>15</v>
      </c>
      <c r="E217" t="s">
        <v>226</v>
      </c>
      <c r="F217">
        <f>HYPERLINK("http://pbs.twimg.com/media/DdXD2a8X0AErRiC.jpg", "http://pbs.twimg.com/media/DdXD2a8X0AErRiC.jpg")</f>
        <v/>
      </c>
      <c r="G217" t="s"/>
      <c r="H217" t="s"/>
      <c r="I217" t="s"/>
      <c r="J217" t="n">
        <v>0.7756999999999999</v>
      </c>
      <c r="K217" t="n">
        <v>0</v>
      </c>
      <c r="L217" t="n">
        <v>0.73</v>
      </c>
      <c r="M217" t="n">
        <v>0.27</v>
      </c>
    </row>
    <row r="218" spans="1:13">
      <c r="A218" s="1">
        <f>HYPERLINK("http://www.twitter.com/NathanBLawrence/status/996919770925666305", "996919770925666305")</f>
        <v/>
      </c>
      <c r="B218" s="2" t="n">
        <v>43237.0459375</v>
      </c>
      <c r="C218" t="n">
        <v>2</v>
      </c>
      <c r="D218" t="n">
        <v>0</v>
      </c>
      <c r="E218" t="s">
        <v>227</v>
      </c>
      <c r="F218" t="s"/>
      <c r="G218" t="s"/>
      <c r="H218" t="s"/>
      <c r="I218" t="s"/>
      <c r="J218" t="n">
        <v>0.5106000000000001</v>
      </c>
      <c r="K218" t="n">
        <v>0.098</v>
      </c>
      <c r="L218" t="n">
        <v>0.697</v>
      </c>
      <c r="M218" t="n">
        <v>0.205</v>
      </c>
    </row>
    <row r="219" spans="1:13">
      <c r="A219" s="1">
        <f>HYPERLINK("http://www.twitter.com/NathanBLawrence/status/996909634089881602", "996909634089881602")</f>
        <v/>
      </c>
      <c r="B219" s="2" t="n">
        <v>43237.01797453704</v>
      </c>
      <c r="C219" t="n">
        <v>0</v>
      </c>
      <c r="D219" t="n">
        <v>6</v>
      </c>
      <c r="E219" t="s">
        <v>228</v>
      </c>
      <c r="F219" t="s"/>
      <c r="G219" t="s"/>
      <c r="H219" t="s"/>
      <c r="I219" t="s"/>
      <c r="J219" t="n">
        <v>0</v>
      </c>
      <c r="K219" t="n">
        <v>0</v>
      </c>
      <c r="L219" t="n">
        <v>1</v>
      </c>
      <c r="M219" t="n">
        <v>0</v>
      </c>
    </row>
    <row r="220" spans="1:13">
      <c r="A220" s="1">
        <f>HYPERLINK("http://www.twitter.com/NathanBLawrence/status/996907161841225733", "996907161841225733")</f>
        <v/>
      </c>
      <c r="B220" s="2" t="n">
        <v>43237.01114583333</v>
      </c>
      <c r="C220" t="n">
        <v>0</v>
      </c>
      <c r="D220" t="n">
        <v>5</v>
      </c>
      <c r="E220" t="s">
        <v>229</v>
      </c>
      <c r="F220">
        <f>HYPERLINK("http://pbs.twimg.com/media/DdVJJv8V0AAXRop.jpg", "http://pbs.twimg.com/media/DdVJJv8V0AAXRop.jpg")</f>
        <v/>
      </c>
      <c r="G220" t="s"/>
      <c r="H220" t="s"/>
      <c r="I220" t="s"/>
      <c r="J220" t="n">
        <v>0.296</v>
      </c>
      <c r="K220" t="n">
        <v>0</v>
      </c>
      <c r="L220" t="n">
        <v>0.891</v>
      </c>
      <c r="M220" t="n">
        <v>0.109</v>
      </c>
    </row>
    <row r="221" spans="1:13">
      <c r="A221" s="1">
        <f>HYPERLINK("http://www.twitter.com/NathanBLawrence/status/996907124939743234", "996907124939743234")</f>
        <v/>
      </c>
      <c r="B221" s="2" t="n">
        <v>43237.01104166666</v>
      </c>
      <c r="C221" t="n">
        <v>0</v>
      </c>
      <c r="D221" t="n">
        <v>9</v>
      </c>
      <c r="E221" t="s">
        <v>230</v>
      </c>
      <c r="F221">
        <f>HYPERLINK("http://pbs.twimg.com/media/DdVBM6jU8AEnQVJ.jpg", "http://pbs.twimg.com/media/DdVBM6jU8AEnQVJ.jpg")</f>
        <v/>
      </c>
      <c r="G221" t="s"/>
      <c r="H221" t="s"/>
      <c r="I221" t="s"/>
      <c r="J221" t="n">
        <v>0</v>
      </c>
      <c r="K221" t="n">
        <v>0</v>
      </c>
      <c r="L221" t="n">
        <v>1</v>
      </c>
      <c r="M221" t="n">
        <v>0</v>
      </c>
    </row>
    <row r="222" spans="1:13">
      <c r="A222" s="1">
        <f>HYPERLINK("http://www.twitter.com/NathanBLawrence/status/996907098406604800", "996907098406604800")</f>
        <v/>
      </c>
      <c r="B222" s="2" t="n">
        <v>43237.01097222222</v>
      </c>
      <c r="C222" t="n">
        <v>0</v>
      </c>
      <c r="D222" t="n">
        <v>6</v>
      </c>
      <c r="E222" t="s">
        <v>231</v>
      </c>
      <c r="F222">
        <f>HYPERLINK("http://pbs.twimg.com/media/DdVB4qHVwAAbVAC.jpg", "http://pbs.twimg.com/media/DdVB4qHVwAAbVAC.jpg")</f>
        <v/>
      </c>
      <c r="G222" t="s"/>
      <c r="H222" t="s"/>
      <c r="I222" t="s"/>
      <c r="J222" t="n">
        <v>-0.5106000000000001</v>
      </c>
      <c r="K222" t="n">
        <v>0.223</v>
      </c>
      <c r="L222" t="n">
        <v>0.679</v>
      </c>
      <c r="M222" t="n">
        <v>0.098</v>
      </c>
    </row>
    <row r="223" spans="1:13">
      <c r="A223" s="1">
        <f>HYPERLINK("http://www.twitter.com/NathanBLawrence/status/996907064524984321", "996907064524984321")</f>
        <v/>
      </c>
      <c r="B223" s="2" t="n">
        <v>43237.01087962963</v>
      </c>
      <c r="C223" t="n">
        <v>0</v>
      </c>
      <c r="D223" t="n">
        <v>3</v>
      </c>
      <c r="E223" t="s">
        <v>232</v>
      </c>
      <c r="F223" t="s"/>
      <c r="G223" t="s"/>
      <c r="H223" t="s"/>
      <c r="I223" t="s"/>
      <c r="J223" t="n">
        <v>0.6369</v>
      </c>
      <c r="K223" t="n">
        <v>0</v>
      </c>
      <c r="L223" t="n">
        <v>0.819</v>
      </c>
      <c r="M223" t="n">
        <v>0.181</v>
      </c>
    </row>
    <row r="224" spans="1:13">
      <c r="A224" s="1">
        <f>HYPERLINK("http://www.twitter.com/NathanBLawrence/status/996907047265415168", "996907047265415168")</f>
        <v/>
      </c>
      <c r="B224" s="2" t="n">
        <v>43237.01083333333</v>
      </c>
      <c r="C224" t="n">
        <v>0</v>
      </c>
      <c r="D224" t="n">
        <v>10</v>
      </c>
      <c r="E224" t="s">
        <v>233</v>
      </c>
      <c r="F224">
        <f>HYPERLINK("http://pbs.twimg.com/media/DdVAbpjU0AEI-Nd.jpg", "http://pbs.twimg.com/media/DdVAbpjU0AEI-Nd.jpg")</f>
        <v/>
      </c>
      <c r="G224" t="s"/>
      <c r="H224" t="s"/>
      <c r="I224" t="s"/>
      <c r="J224" t="n">
        <v>0.3818</v>
      </c>
      <c r="K224" t="n">
        <v>0</v>
      </c>
      <c r="L224" t="n">
        <v>0.885</v>
      </c>
      <c r="M224" t="n">
        <v>0.115</v>
      </c>
    </row>
    <row r="225" spans="1:13">
      <c r="A225" s="1">
        <f>HYPERLINK("http://www.twitter.com/NathanBLawrence/status/996907019872428033", "996907019872428033")</f>
        <v/>
      </c>
      <c r="B225" s="2" t="n">
        <v>43237.01075231482</v>
      </c>
      <c r="C225" t="n">
        <v>0</v>
      </c>
      <c r="D225" t="n">
        <v>10</v>
      </c>
      <c r="E225" t="s">
        <v>234</v>
      </c>
      <c r="F225">
        <f>HYPERLINK("http://pbs.twimg.com/media/DdW2eNpVAAAqYaJ.jpg", "http://pbs.twimg.com/media/DdW2eNpVAAAqYaJ.jpg")</f>
        <v/>
      </c>
      <c r="G225" t="s"/>
      <c r="H225" t="s"/>
      <c r="I225" t="s"/>
      <c r="J225" t="n">
        <v>0</v>
      </c>
      <c r="K225" t="n">
        <v>0</v>
      </c>
      <c r="L225" t="n">
        <v>1</v>
      </c>
      <c r="M225" t="n">
        <v>0</v>
      </c>
    </row>
    <row r="226" spans="1:13">
      <c r="A226" s="1">
        <f>HYPERLINK("http://www.twitter.com/NathanBLawrence/status/996905955685273600", "996905955685273600")</f>
        <v/>
      </c>
      <c r="B226" s="2" t="n">
        <v>43237.00782407408</v>
      </c>
      <c r="C226" t="n">
        <v>0</v>
      </c>
      <c r="D226" t="n">
        <v>6</v>
      </c>
      <c r="E226" t="s">
        <v>235</v>
      </c>
      <c r="F226">
        <f>HYPERLINK("http://pbs.twimg.com/media/DdW4SquXcAEA4Ue.jpg", "http://pbs.twimg.com/media/DdW4SquXcAEA4Ue.jpg")</f>
        <v/>
      </c>
      <c r="G226" t="s"/>
      <c r="H226" t="s"/>
      <c r="I226" t="s"/>
      <c r="J226" t="n">
        <v>0</v>
      </c>
      <c r="K226" t="n">
        <v>0</v>
      </c>
      <c r="L226" t="n">
        <v>1</v>
      </c>
      <c r="M226" t="n">
        <v>0</v>
      </c>
    </row>
    <row r="227" spans="1:13">
      <c r="A227" s="1">
        <f>HYPERLINK("http://www.twitter.com/NathanBLawrence/status/996905672687136768", "996905672687136768")</f>
        <v/>
      </c>
      <c r="B227" s="2" t="n">
        <v>43237.00703703704</v>
      </c>
      <c r="C227" t="n">
        <v>0</v>
      </c>
      <c r="D227" t="n">
        <v>0</v>
      </c>
      <c r="E227" t="s">
        <v>236</v>
      </c>
      <c r="F227" t="s"/>
      <c r="G227" t="s"/>
      <c r="H227" t="s"/>
      <c r="I227" t="s"/>
      <c r="J227" t="n">
        <v>0.5204</v>
      </c>
      <c r="K227" t="n">
        <v>0</v>
      </c>
      <c r="L227" t="n">
        <v>0.85</v>
      </c>
      <c r="M227" t="n">
        <v>0.15</v>
      </c>
    </row>
    <row r="228" spans="1:13">
      <c r="A228" s="1">
        <f>HYPERLINK("http://www.twitter.com/NathanBLawrence/status/996905529887911937", "996905529887911937")</f>
        <v/>
      </c>
      <c r="B228" s="2" t="n">
        <v>43237.00664351852</v>
      </c>
      <c r="C228" t="n">
        <v>15</v>
      </c>
      <c r="D228" t="n">
        <v>6</v>
      </c>
      <c r="E228" t="s">
        <v>237</v>
      </c>
      <c r="F228">
        <f>HYPERLINK("http://pbs.twimg.com/media/DdW4SquXcAEA4Ue.jpg", "http://pbs.twimg.com/media/DdW4SquXcAEA4Ue.jpg")</f>
        <v/>
      </c>
      <c r="G228" t="s"/>
      <c r="H228" t="s"/>
      <c r="I228" t="s"/>
      <c r="J228" t="n">
        <v>0.6239</v>
      </c>
      <c r="K228" t="n">
        <v>0</v>
      </c>
      <c r="L228" t="n">
        <v>0.896</v>
      </c>
      <c r="M228" t="n">
        <v>0.104</v>
      </c>
    </row>
    <row r="229" spans="1:13">
      <c r="A229" s="1">
        <f>HYPERLINK("http://www.twitter.com/NathanBLawrence/status/996904875983343616", "996904875983343616")</f>
        <v/>
      </c>
      <c r="B229" s="2" t="n">
        <v>43237.00483796297</v>
      </c>
      <c r="C229" t="n">
        <v>0</v>
      </c>
      <c r="D229" t="n">
        <v>0</v>
      </c>
      <c r="E229" t="s">
        <v>238</v>
      </c>
      <c r="F229" t="s"/>
      <c r="G229" t="s"/>
      <c r="H229" t="s"/>
      <c r="I229" t="s"/>
      <c r="J229" t="n">
        <v>-0.2023</v>
      </c>
      <c r="K229" t="n">
        <v>0.11</v>
      </c>
      <c r="L229" t="n">
        <v>0.8129999999999999</v>
      </c>
      <c r="M229" t="n">
        <v>0.077</v>
      </c>
    </row>
    <row r="230" spans="1:13">
      <c r="A230" s="1">
        <f>HYPERLINK("http://www.twitter.com/NathanBLawrence/status/996904727190392832", "996904727190392832")</f>
        <v/>
      </c>
      <c r="B230" s="2" t="n">
        <v>43237.00443287037</v>
      </c>
      <c r="C230" t="n">
        <v>0</v>
      </c>
      <c r="D230" t="n">
        <v>0</v>
      </c>
      <c r="E230" t="s">
        <v>239</v>
      </c>
      <c r="F230" t="s"/>
      <c r="G230" t="s"/>
      <c r="H230" t="s"/>
      <c r="I230" t="s"/>
      <c r="J230" t="n">
        <v>-0.5106000000000001</v>
      </c>
      <c r="K230" t="n">
        <v>0.14</v>
      </c>
      <c r="L230" t="n">
        <v>0.784</v>
      </c>
      <c r="M230" t="n">
        <v>0.076</v>
      </c>
    </row>
    <row r="231" spans="1:13">
      <c r="A231" s="1">
        <f>HYPERLINK("http://www.twitter.com/NathanBLawrence/status/996904029082046464", "996904029082046464")</f>
        <v/>
      </c>
      <c r="B231" s="2" t="n">
        <v>43237.0025</v>
      </c>
      <c r="C231" t="n">
        <v>0</v>
      </c>
      <c r="D231" t="n">
        <v>2030</v>
      </c>
      <c r="E231" t="s">
        <v>240</v>
      </c>
      <c r="F231" t="s"/>
      <c r="G231" t="s"/>
      <c r="H231" t="s"/>
      <c r="I231" t="s"/>
      <c r="J231" t="n">
        <v>-0.4215</v>
      </c>
      <c r="K231" t="n">
        <v>0.128</v>
      </c>
      <c r="L231" t="n">
        <v>0.872</v>
      </c>
      <c r="M231" t="n">
        <v>0</v>
      </c>
    </row>
    <row r="232" spans="1:13">
      <c r="A232" s="1">
        <f>HYPERLINK("http://www.twitter.com/NathanBLawrence/status/996903995728908289", "996903995728908289")</f>
        <v/>
      </c>
      <c r="B232" s="2" t="n">
        <v>43237.00240740741</v>
      </c>
      <c r="C232" t="n">
        <v>0</v>
      </c>
      <c r="D232" t="n">
        <v>14457</v>
      </c>
      <c r="E232" t="s">
        <v>241</v>
      </c>
      <c r="F232" t="s"/>
      <c r="G232" t="s"/>
      <c r="H232" t="s"/>
      <c r="I232" t="s"/>
      <c r="J232" t="n">
        <v>-0.8761</v>
      </c>
      <c r="K232" t="n">
        <v>0.394</v>
      </c>
      <c r="L232" t="n">
        <v>0.606</v>
      </c>
      <c r="M232" t="n">
        <v>0</v>
      </c>
    </row>
    <row r="233" spans="1:13">
      <c r="A233" s="1">
        <f>HYPERLINK("http://www.twitter.com/NathanBLawrence/status/996903899998113792", "996903899998113792")</f>
        <v/>
      </c>
      <c r="B233" s="2" t="n">
        <v>43237.0021412037</v>
      </c>
      <c r="C233" t="n">
        <v>0</v>
      </c>
      <c r="D233" t="n">
        <v>0</v>
      </c>
      <c r="E233" t="s">
        <v>242</v>
      </c>
      <c r="F233" t="s"/>
      <c r="G233" t="s"/>
      <c r="H233" t="s"/>
      <c r="I233" t="s"/>
      <c r="J233" t="n">
        <v>0.4019</v>
      </c>
      <c r="K233" t="n">
        <v>0</v>
      </c>
      <c r="L233" t="n">
        <v>0.924</v>
      </c>
      <c r="M233" t="n">
        <v>0.076</v>
      </c>
    </row>
    <row r="234" spans="1:13">
      <c r="A234" s="1">
        <f>HYPERLINK("http://www.twitter.com/NathanBLawrence/status/996903655931547650", "996903655931547650")</f>
        <v/>
      </c>
      <c r="B234" s="2" t="n">
        <v>43237.00146990741</v>
      </c>
      <c r="C234" t="n">
        <v>0</v>
      </c>
      <c r="D234" t="n">
        <v>5</v>
      </c>
      <c r="E234" t="s">
        <v>243</v>
      </c>
      <c r="F234" t="s"/>
      <c r="G234" t="s"/>
      <c r="H234" t="s"/>
      <c r="I234" t="s"/>
      <c r="J234" t="n">
        <v>0.0258</v>
      </c>
      <c r="K234" t="n">
        <v>0.095</v>
      </c>
      <c r="L234" t="n">
        <v>0.806</v>
      </c>
      <c r="M234" t="n">
        <v>0.099</v>
      </c>
    </row>
    <row r="235" spans="1:13">
      <c r="A235" s="1">
        <f>HYPERLINK("http://www.twitter.com/NathanBLawrence/status/996902514732732421", "996902514732732421")</f>
        <v/>
      </c>
      <c r="B235" s="2" t="n">
        <v>43236.99832175926</v>
      </c>
      <c r="C235" t="n">
        <v>0</v>
      </c>
      <c r="D235" t="n">
        <v>7</v>
      </c>
      <c r="E235" t="s">
        <v>244</v>
      </c>
      <c r="F235">
        <f>HYPERLINK("http://pbs.twimg.com/media/DdWy4U1VQAA8U-m.jpg", "http://pbs.twimg.com/media/DdWy4U1VQAA8U-m.jpg")</f>
        <v/>
      </c>
      <c r="G235" t="s"/>
      <c r="H235" t="s"/>
      <c r="I235" t="s"/>
      <c r="J235" t="n">
        <v>-0.7906</v>
      </c>
      <c r="K235" t="n">
        <v>0.25</v>
      </c>
      <c r="L235" t="n">
        <v>0.75</v>
      </c>
      <c r="M235" t="n">
        <v>0</v>
      </c>
    </row>
    <row r="236" spans="1:13">
      <c r="A236" s="1">
        <f>HYPERLINK("http://www.twitter.com/NathanBLawrence/status/996901884920287233", "996901884920287233")</f>
        <v/>
      </c>
      <c r="B236" s="2" t="n">
        <v>43236.99658564815</v>
      </c>
      <c r="C236" t="n">
        <v>7</v>
      </c>
      <c r="D236" t="n">
        <v>5</v>
      </c>
      <c r="E236" t="s">
        <v>245</v>
      </c>
      <c r="F236" t="s"/>
      <c r="G236" t="s"/>
      <c r="H236" t="s"/>
      <c r="I236" t="s"/>
      <c r="J236" t="n">
        <v>0.1531</v>
      </c>
      <c r="K236" t="n">
        <v>0.131</v>
      </c>
      <c r="L236" t="n">
        <v>0.727</v>
      </c>
      <c r="M236" t="n">
        <v>0.142</v>
      </c>
    </row>
    <row r="237" spans="1:13">
      <c r="A237" s="1">
        <f>HYPERLINK("http://www.twitter.com/NathanBLawrence/status/996894336796233728", "996894336796233728")</f>
        <v/>
      </c>
      <c r="B237" s="2" t="n">
        <v>43236.97575231481</v>
      </c>
      <c r="C237" t="n">
        <v>0</v>
      </c>
      <c r="D237" t="n">
        <v>5</v>
      </c>
      <c r="E237" t="s">
        <v>246</v>
      </c>
      <c r="F237" t="s"/>
      <c r="G237" t="s"/>
      <c r="H237" t="s"/>
      <c r="I237" t="s"/>
      <c r="J237" t="n">
        <v>0</v>
      </c>
      <c r="K237" t="n">
        <v>0</v>
      </c>
      <c r="L237" t="n">
        <v>1</v>
      </c>
      <c r="M237" t="n">
        <v>0</v>
      </c>
    </row>
    <row r="238" spans="1:13">
      <c r="A238" s="1">
        <f>HYPERLINK("http://www.twitter.com/NathanBLawrence/status/996894240360845312", "996894240360845312")</f>
        <v/>
      </c>
      <c r="B238" s="2" t="n">
        <v>43236.97548611111</v>
      </c>
      <c r="C238" t="n">
        <v>4</v>
      </c>
      <c r="D238" t="n">
        <v>3</v>
      </c>
      <c r="E238" t="s">
        <v>247</v>
      </c>
      <c r="F238" t="s"/>
      <c r="G238" t="s"/>
      <c r="H238" t="s"/>
      <c r="I238" t="s"/>
      <c r="J238" t="n">
        <v>-0.25</v>
      </c>
      <c r="K238" t="n">
        <v>0.125</v>
      </c>
      <c r="L238" t="n">
        <v>0.875</v>
      </c>
      <c r="M238" t="n">
        <v>0</v>
      </c>
    </row>
    <row r="239" spans="1:13">
      <c r="A239" s="1">
        <f>HYPERLINK("http://www.twitter.com/NathanBLawrence/status/996894093128224770", "996894093128224770")</f>
        <v/>
      </c>
      <c r="B239" s="2" t="n">
        <v>43236.97508101852</v>
      </c>
      <c r="C239" t="n">
        <v>0</v>
      </c>
      <c r="D239" t="n">
        <v>1</v>
      </c>
      <c r="E239" t="s">
        <v>248</v>
      </c>
      <c r="F239">
        <f>HYPERLINK("http://pbs.twimg.com/media/DdV8TpHVwAA0xDe.jpg", "http://pbs.twimg.com/media/DdV8TpHVwAA0xDe.jpg")</f>
        <v/>
      </c>
      <c r="G239" t="s"/>
      <c r="H239" t="s"/>
      <c r="I239" t="s"/>
      <c r="J239" t="n">
        <v>-0.3291</v>
      </c>
      <c r="K239" t="n">
        <v>0.15</v>
      </c>
      <c r="L239" t="n">
        <v>0.85</v>
      </c>
      <c r="M239" t="n">
        <v>0</v>
      </c>
    </row>
    <row r="240" spans="1:13">
      <c r="A240" s="1">
        <f>HYPERLINK("http://www.twitter.com/NathanBLawrence/status/996894060290994176", "996894060290994176")</f>
        <v/>
      </c>
      <c r="B240" s="2" t="n">
        <v>43236.975</v>
      </c>
      <c r="C240" t="n">
        <v>0</v>
      </c>
      <c r="D240" t="n">
        <v>0</v>
      </c>
      <c r="E240" t="s">
        <v>249</v>
      </c>
      <c r="F240" t="s"/>
      <c r="G240" t="s"/>
      <c r="H240" t="s"/>
      <c r="I240" t="s"/>
      <c r="J240" t="n">
        <v>-0.4019</v>
      </c>
      <c r="K240" t="n">
        <v>0.172</v>
      </c>
      <c r="L240" t="n">
        <v>0.828</v>
      </c>
      <c r="M240" t="n">
        <v>0</v>
      </c>
    </row>
    <row r="241" spans="1:13">
      <c r="A241" s="1">
        <f>HYPERLINK("http://www.twitter.com/NathanBLawrence/status/996893888014176258", "996893888014176258")</f>
        <v/>
      </c>
      <c r="B241" s="2" t="n">
        <v>43236.97451388889</v>
      </c>
      <c r="C241" t="n">
        <v>0</v>
      </c>
      <c r="D241" t="n">
        <v>1</v>
      </c>
      <c r="E241" t="s">
        <v>250</v>
      </c>
      <c r="F241" t="s"/>
      <c r="G241" t="s"/>
      <c r="H241" t="s"/>
      <c r="I241" t="s"/>
      <c r="J241" t="n">
        <v>0</v>
      </c>
      <c r="K241" t="n">
        <v>0</v>
      </c>
      <c r="L241" t="n">
        <v>1</v>
      </c>
      <c r="M241" t="n">
        <v>0</v>
      </c>
    </row>
    <row r="242" spans="1:13">
      <c r="A242" s="1">
        <f>HYPERLINK("http://www.twitter.com/NathanBLawrence/status/996893797161357312", "996893797161357312")</f>
        <v/>
      </c>
      <c r="B242" s="2" t="n">
        <v>43236.97427083334</v>
      </c>
      <c r="C242" t="n">
        <v>0</v>
      </c>
      <c r="D242" t="n">
        <v>3</v>
      </c>
      <c r="E242" t="s">
        <v>251</v>
      </c>
      <c r="F242" t="s"/>
      <c r="G242" t="s"/>
      <c r="H242" t="s"/>
      <c r="I242" t="s"/>
      <c r="J242" t="n">
        <v>-0.7334000000000001</v>
      </c>
      <c r="K242" t="n">
        <v>0.267</v>
      </c>
      <c r="L242" t="n">
        <v>0.733</v>
      </c>
      <c r="M242" t="n">
        <v>0</v>
      </c>
    </row>
    <row r="243" spans="1:13">
      <c r="A243" s="1">
        <f>HYPERLINK("http://www.twitter.com/NathanBLawrence/status/996893778031071232", "996893778031071232")</f>
        <v/>
      </c>
      <c r="B243" s="2" t="n">
        <v>43236.97421296296</v>
      </c>
      <c r="C243" t="n">
        <v>0</v>
      </c>
      <c r="D243" t="n">
        <v>3</v>
      </c>
      <c r="E243" t="s">
        <v>252</v>
      </c>
      <c r="F243" t="s"/>
      <c r="G243" t="s"/>
      <c r="H243" t="s"/>
      <c r="I243" t="s"/>
      <c r="J243" t="n">
        <v>0.4663</v>
      </c>
      <c r="K243" t="n">
        <v>0.101</v>
      </c>
      <c r="L243" t="n">
        <v>0.6830000000000001</v>
      </c>
      <c r="M243" t="n">
        <v>0.216</v>
      </c>
    </row>
    <row r="244" spans="1:13">
      <c r="A244" s="1">
        <f>HYPERLINK("http://www.twitter.com/NathanBLawrence/status/996893602088407040", "996893602088407040")</f>
        <v/>
      </c>
      <c r="B244" s="2" t="n">
        <v>43236.97372685185</v>
      </c>
      <c r="C244" t="n">
        <v>0</v>
      </c>
      <c r="D244" t="n">
        <v>0</v>
      </c>
      <c r="E244" t="s">
        <v>253</v>
      </c>
      <c r="F244" t="s"/>
      <c r="G244" t="s"/>
      <c r="H244" t="s"/>
      <c r="I244" t="s"/>
      <c r="J244" t="n">
        <v>0.5106000000000001</v>
      </c>
      <c r="K244" t="n">
        <v>0.06</v>
      </c>
      <c r="L244" t="n">
        <v>0.789</v>
      </c>
      <c r="M244" t="n">
        <v>0.151</v>
      </c>
    </row>
    <row r="245" spans="1:13">
      <c r="A245" s="1">
        <f>HYPERLINK("http://www.twitter.com/NathanBLawrence/status/996893257836658689", "996893257836658689")</f>
        <v/>
      </c>
      <c r="B245" s="2" t="n">
        <v>43236.97277777778</v>
      </c>
      <c r="C245" t="n">
        <v>0</v>
      </c>
      <c r="D245" t="n">
        <v>5</v>
      </c>
      <c r="E245" t="s">
        <v>254</v>
      </c>
      <c r="F245" t="s"/>
      <c r="G245" t="s"/>
      <c r="H245" t="s"/>
      <c r="I245" t="s"/>
      <c r="J245" t="n">
        <v>0</v>
      </c>
      <c r="K245" t="n">
        <v>0</v>
      </c>
      <c r="L245" t="n">
        <v>1</v>
      </c>
      <c r="M245" t="n">
        <v>0</v>
      </c>
    </row>
    <row r="246" spans="1:13">
      <c r="A246" s="1">
        <f>HYPERLINK("http://www.twitter.com/NathanBLawrence/status/996893086193242113", "996893086193242113")</f>
        <v/>
      </c>
      <c r="B246" s="2" t="n">
        <v>43236.97230324074</v>
      </c>
      <c r="C246" t="n">
        <v>0</v>
      </c>
      <c r="D246" t="n">
        <v>7</v>
      </c>
      <c r="E246" t="s">
        <v>255</v>
      </c>
      <c r="F246" t="s"/>
      <c r="G246" t="s"/>
      <c r="H246" t="s"/>
      <c r="I246" t="s"/>
      <c r="J246" t="n">
        <v>-0.4723</v>
      </c>
      <c r="K246" t="n">
        <v>0.256</v>
      </c>
      <c r="L246" t="n">
        <v>0.642</v>
      </c>
      <c r="M246" t="n">
        <v>0.102</v>
      </c>
    </row>
    <row r="247" spans="1:13">
      <c r="A247" s="1">
        <f>HYPERLINK("http://www.twitter.com/NathanBLawrence/status/996893011719196673", "996893011719196673")</f>
        <v/>
      </c>
      <c r="B247" s="2" t="n">
        <v>43236.97210648148</v>
      </c>
      <c r="C247" t="n">
        <v>0</v>
      </c>
      <c r="D247" t="n">
        <v>12</v>
      </c>
      <c r="E247" t="s">
        <v>256</v>
      </c>
      <c r="F247" t="s"/>
      <c r="G247" t="s"/>
      <c r="H247" t="s"/>
      <c r="I247" t="s"/>
      <c r="J247" t="n">
        <v>-0.5574</v>
      </c>
      <c r="K247" t="n">
        <v>0.159</v>
      </c>
      <c r="L247" t="n">
        <v>0.841</v>
      </c>
      <c r="M247" t="n">
        <v>0</v>
      </c>
    </row>
    <row r="248" spans="1:13">
      <c r="A248" s="1">
        <f>HYPERLINK("http://www.twitter.com/NathanBLawrence/status/996892993155227649", "996892993155227649")</f>
        <v/>
      </c>
      <c r="B248" s="2" t="n">
        <v>43236.97204861111</v>
      </c>
      <c r="C248" t="n">
        <v>0</v>
      </c>
      <c r="D248" t="n">
        <v>5</v>
      </c>
      <c r="E248" t="s">
        <v>257</v>
      </c>
      <c r="F248" t="s"/>
      <c r="G248" t="s"/>
      <c r="H248" t="s"/>
      <c r="I248" t="s"/>
      <c r="J248" t="n">
        <v>-0.1531</v>
      </c>
      <c r="K248" t="n">
        <v>0.115</v>
      </c>
      <c r="L248" t="n">
        <v>0.791</v>
      </c>
      <c r="M248" t="n">
        <v>0.094</v>
      </c>
    </row>
    <row r="249" spans="1:13">
      <c r="A249" s="1">
        <f>HYPERLINK("http://www.twitter.com/NathanBLawrence/status/996892924108529664", "996892924108529664")</f>
        <v/>
      </c>
      <c r="B249" s="2" t="n">
        <v>43236.97186342593</v>
      </c>
      <c r="C249" t="n">
        <v>0</v>
      </c>
      <c r="D249" t="n">
        <v>5</v>
      </c>
      <c r="E249" t="s">
        <v>258</v>
      </c>
      <c r="F249" t="s"/>
      <c r="G249" t="s"/>
      <c r="H249" t="s"/>
      <c r="I249" t="s"/>
      <c r="J249" t="n">
        <v>0.2263</v>
      </c>
      <c r="K249" t="n">
        <v>0</v>
      </c>
      <c r="L249" t="n">
        <v>0.9320000000000001</v>
      </c>
      <c r="M249" t="n">
        <v>0.068</v>
      </c>
    </row>
    <row r="250" spans="1:13">
      <c r="A250" s="1">
        <f>HYPERLINK("http://www.twitter.com/NathanBLawrence/status/996892864708739072", "996892864708739072")</f>
        <v/>
      </c>
      <c r="B250" s="2" t="n">
        <v>43236.97168981482</v>
      </c>
      <c r="C250" t="n">
        <v>0</v>
      </c>
      <c r="D250" t="n">
        <v>7</v>
      </c>
      <c r="E250" t="s">
        <v>259</v>
      </c>
      <c r="F250">
        <f>HYPERLINK("http://pbs.twimg.com/media/DdWsfPGVAAIP_iS.jpg", "http://pbs.twimg.com/media/DdWsfPGVAAIP_iS.jpg")</f>
        <v/>
      </c>
      <c r="G250" t="s"/>
      <c r="H250" t="s"/>
      <c r="I250" t="s"/>
      <c r="J250" t="n">
        <v>0.1406</v>
      </c>
      <c r="K250" t="n">
        <v>0</v>
      </c>
      <c r="L250" t="n">
        <v>0.921</v>
      </c>
      <c r="M250" t="n">
        <v>0.079</v>
      </c>
    </row>
    <row r="251" spans="1:13">
      <c r="A251" s="1">
        <f>HYPERLINK("http://www.twitter.com/NathanBLawrence/status/996838736578129921", "996838736578129921")</f>
        <v/>
      </c>
      <c r="B251" s="2" t="n">
        <v>43236.82232638889</v>
      </c>
      <c r="C251" t="n">
        <v>0</v>
      </c>
      <c r="D251" t="n">
        <v>17</v>
      </c>
      <c r="E251" t="s">
        <v>260</v>
      </c>
      <c r="F251" t="s"/>
      <c r="G251" t="s"/>
      <c r="H251" t="s"/>
      <c r="I251" t="s"/>
      <c r="J251" t="n">
        <v>0</v>
      </c>
      <c r="K251" t="n">
        <v>0</v>
      </c>
      <c r="L251" t="n">
        <v>1</v>
      </c>
      <c r="M251" t="n">
        <v>0</v>
      </c>
    </row>
    <row r="252" spans="1:13">
      <c r="A252" s="1">
        <f>HYPERLINK("http://www.twitter.com/NathanBLawrence/status/996838707171921921", "996838707171921921")</f>
        <v/>
      </c>
      <c r="B252" s="2" t="n">
        <v>43236.82224537037</v>
      </c>
      <c r="C252" t="n">
        <v>0</v>
      </c>
      <c r="D252" t="n">
        <v>8</v>
      </c>
      <c r="E252" t="s">
        <v>261</v>
      </c>
      <c r="F252" t="s"/>
      <c r="G252" t="s"/>
      <c r="H252" t="s"/>
      <c r="I252" t="s"/>
      <c r="J252" t="n">
        <v>0</v>
      </c>
      <c r="K252" t="n">
        <v>0</v>
      </c>
      <c r="L252" t="n">
        <v>1</v>
      </c>
      <c r="M252" t="n">
        <v>0</v>
      </c>
    </row>
    <row r="253" spans="1:13">
      <c r="A253" s="1">
        <f>HYPERLINK("http://www.twitter.com/NathanBLawrence/status/996838678336081920", "996838678336081920")</f>
        <v/>
      </c>
      <c r="B253" s="2" t="n">
        <v>43236.82216435186</v>
      </c>
      <c r="C253" t="n">
        <v>0</v>
      </c>
      <c r="D253" t="n">
        <v>8</v>
      </c>
      <c r="E253" t="s">
        <v>262</v>
      </c>
      <c r="F253" t="s"/>
      <c r="G253" t="s"/>
      <c r="H253" t="s"/>
      <c r="I253" t="s"/>
      <c r="J253" t="n">
        <v>0</v>
      </c>
      <c r="K253" t="n">
        <v>0</v>
      </c>
      <c r="L253" t="n">
        <v>1</v>
      </c>
      <c r="M253" t="n">
        <v>0</v>
      </c>
    </row>
    <row r="254" spans="1:13">
      <c r="A254" s="1">
        <f>HYPERLINK("http://www.twitter.com/NathanBLawrence/status/996824833685106689", "996824833685106689")</f>
        <v/>
      </c>
      <c r="B254" s="2" t="n">
        <v>43236.78396990741</v>
      </c>
      <c r="C254" t="n">
        <v>0</v>
      </c>
      <c r="D254" t="n">
        <v>8</v>
      </c>
      <c r="E254" t="s">
        <v>263</v>
      </c>
      <c r="F254" t="s"/>
      <c r="G254" t="s"/>
      <c r="H254" t="s"/>
      <c r="I254" t="s"/>
      <c r="J254" t="n">
        <v>0</v>
      </c>
      <c r="K254" t="n">
        <v>0</v>
      </c>
      <c r="L254" t="n">
        <v>1</v>
      </c>
      <c r="M254" t="n">
        <v>0</v>
      </c>
    </row>
    <row r="255" spans="1:13">
      <c r="A255" s="1">
        <f>HYPERLINK("http://www.twitter.com/NathanBLawrence/status/996824770137198595", "996824770137198595")</f>
        <v/>
      </c>
      <c r="B255" s="2" t="n">
        <v>43236.78378472223</v>
      </c>
      <c r="C255" t="n">
        <v>3</v>
      </c>
      <c r="D255" t="n">
        <v>0</v>
      </c>
      <c r="E255" t="s">
        <v>264</v>
      </c>
      <c r="F255" t="s"/>
      <c r="G255" t="s"/>
      <c r="H255" t="s"/>
      <c r="I255" t="s"/>
      <c r="J255" t="n">
        <v>0</v>
      </c>
      <c r="K255" t="n">
        <v>0</v>
      </c>
      <c r="L255" t="n">
        <v>1</v>
      </c>
      <c r="M255" t="n">
        <v>0</v>
      </c>
    </row>
    <row r="256" spans="1:13">
      <c r="A256" s="1">
        <f>HYPERLINK("http://www.twitter.com/NathanBLawrence/status/996823426517135367", "996823426517135367")</f>
        <v/>
      </c>
      <c r="B256" s="2" t="n">
        <v>43236.78008101852</v>
      </c>
      <c r="C256" t="n">
        <v>0</v>
      </c>
      <c r="D256" t="n">
        <v>16</v>
      </c>
      <c r="E256" t="s">
        <v>265</v>
      </c>
      <c r="F256" t="s"/>
      <c r="G256" t="s"/>
      <c r="H256" t="s"/>
      <c r="I256" t="s"/>
      <c r="J256" t="n">
        <v>-0.3182</v>
      </c>
      <c r="K256" t="n">
        <v>0.119</v>
      </c>
      <c r="L256" t="n">
        <v>0.881</v>
      </c>
      <c r="M256" t="n">
        <v>0</v>
      </c>
    </row>
    <row r="257" spans="1:13">
      <c r="A257" s="1">
        <f>HYPERLINK("http://www.twitter.com/NathanBLawrence/status/996823384741875713", "996823384741875713")</f>
        <v/>
      </c>
      <c r="B257" s="2" t="n">
        <v>43236.77996527778</v>
      </c>
      <c r="C257" t="n">
        <v>11</v>
      </c>
      <c r="D257" t="n">
        <v>8</v>
      </c>
      <c r="E257" t="s">
        <v>266</v>
      </c>
      <c r="F257" t="s"/>
      <c r="G257" t="s"/>
      <c r="H257" t="s"/>
      <c r="I257" t="s"/>
      <c r="J257" t="n">
        <v>-0.0516</v>
      </c>
      <c r="K257" t="n">
        <v>0.079</v>
      </c>
      <c r="L257" t="n">
        <v>0.865</v>
      </c>
      <c r="M257" t="n">
        <v>0.056</v>
      </c>
    </row>
    <row r="258" spans="1:13">
      <c r="A258" s="1">
        <f>HYPERLINK("http://www.twitter.com/NathanBLawrence/status/996822702139805696", "996822702139805696")</f>
        <v/>
      </c>
      <c r="B258" s="2" t="n">
        <v>43236.7780787037</v>
      </c>
      <c r="C258" t="n">
        <v>0</v>
      </c>
      <c r="D258" t="n">
        <v>6</v>
      </c>
      <c r="E258" t="s">
        <v>267</v>
      </c>
      <c r="F258" t="s"/>
      <c r="G258" t="s"/>
      <c r="H258" t="s"/>
      <c r="I258" t="s"/>
      <c r="J258" t="n">
        <v>0.4404</v>
      </c>
      <c r="K258" t="n">
        <v>0</v>
      </c>
      <c r="L258" t="n">
        <v>0.888</v>
      </c>
      <c r="M258" t="n">
        <v>0.112</v>
      </c>
    </row>
    <row r="259" spans="1:13">
      <c r="A259" s="1">
        <f>HYPERLINK("http://www.twitter.com/NathanBLawrence/status/996822606148972544", "996822606148972544")</f>
        <v/>
      </c>
      <c r="B259" s="2" t="n">
        <v>43236.77782407407</v>
      </c>
      <c r="C259" t="n">
        <v>0</v>
      </c>
      <c r="D259" t="n">
        <v>16</v>
      </c>
      <c r="E259" t="s">
        <v>268</v>
      </c>
      <c r="F259">
        <f>HYPERLINK("http://pbs.twimg.com/media/DdVoL0IXcAAr1Ph.jpg", "http://pbs.twimg.com/media/DdVoL0IXcAAr1Ph.jpg")</f>
        <v/>
      </c>
      <c r="G259" t="s"/>
      <c r="H259" t="s"/>
      <c r="I259" t="s"/>
      <c r="J259" t="n">
        <v>-0.6114000000000001</v>
      </c>
      <c r="K259" t="n">
        <v>0.192</v>
      </c>
      <c r="L259" t="n">
        <v>0.8080000000000001</v>
      </c>
      <c r="M259" t="n">
        <v>0</v>
      </c>
    </row>
    <row r="260" spans="1:13">
      <c r="A260" s="1">
        <f>HYPERLINK("http://www.twitter.com/NathanBLawrence/status/996817446970580992", "996817446970580992")</f>
        <v/>
      </c>
      <c r="B260" s="2" t="n">
        <v>43236.76357638889</v>
      </c>
      <c r="C260" t="n">
        <v>19</v>
      </c>
      <c r="D260" t="n">
        <v>16</v>
      </c>
      <c r="E260" t="s">
        <v>269</v>
      </c>
      <c r="F260">
        <f>HYPERLINK("http://pbs.twimg.com/media/DdVoL0IXcAAr1Ph.jpg", "http://pbs.twimg.com/media/DdVoL0IXcAAr1Ph.jpg")</f>
        <v/>
      </c>
      <c r="G260" t="s"/>
      <c r="H260" t="s"/>
      <c r="I260" t="s"/>
      <c r="J260" t="n">
        <v>-0.471</v>
      </c>
      <c r="K260" t="n">
        <v>0.107</v>
      </c>
      <c r="L260" t="n">
        <v>0.841</v>
      </c>
      <c r="M260" t="n">
        <v>0.051</v>
      </c>
    </row>
    <row r="261" spans="1:13">
      <c r="A261" s="1">
        <f>HYPERLINK("http://www.twitter.com/NathanBLawrence/status/996816359471370240", "996816359471370240")</f>
        <v/>
      </c>
      <c r="B261" s="2" t="n">
        <v>43236.7605787037</v>
      </c>
      <c r="C261" t="n">
        <v>0</v>
      </c>
      <c r="D261" t="n">
        <v>643</v>
      </c>
      <c r="E261" t="s">
        <v>270</v>
      </c>
      <c r="F261" t="s"/>
      <c r="G261" t="s"/>
      <c r="H261" t="s"/>
      <c r="I261" t="s"/>
      <c r="J261" t="n">
        <v>0.2023</v>
      </c>
      <c r="K261" t="n">
        <v>0</v>
      </c>
      <c r="L261" t="n">
        <v>0.909</v>
      </c>
      <c r="M261" t="n">
        <v>0.091</v>
      </c>
    </row>
    <row r="262" spans="1:13">
      <c r="A262" s="1">
        <f>HYPERLINK("http://www.twitter.com/NathanBLawrence/status/996812943378583553", "996812943378583553")</f>
        <v/>
      </c>
      <c r="B262" s="2" t="n">
        <v>43236.75115740741</v>
      </c>
      <c r="C262" t="n">
        <v>0</v>
      </c>
      <c r="D262" t="n">
        <v>0</v>
      </c>
      <c r="E262" t="s">
        <v>271</v>
      </c>
      <c r="F262" t="s"/>
      <c r="G262" t="s"/>
      <c r="H262" t="s"/>
      <c r="I262" t="s"/>
      <c r="J262" t="n">
        <v>0.1705</v>
      </c>
      <c r="K262" t="n">
        <v>0.137</v>
      </c>
      <c r="L262" t="n">
        <v>0.777</v>
      </c>
      <c r="M262" t="n">
        <v>0.08599999999999999</v>
      </c>
    </row>
    <row r="263" spans="1:13">
      <c r="A263" s="1">
        <f>HYPERLINK("http://www.twitter.com/NathanBLawrence/status/996812560446951424", "996812560446951424")</f>
        <v/>
      </c>
      <c r="B263" s="2" t="n">
        <v>43236.75009259259</v>
      </c>
      <c r="C263" t="n">
        <v>0</v>
      </c>
      <c r="D263" t="n">
        <v>6</v>
      </c>
      <c r="E263" t="s">
        <v>272</v>
      </c>
      <c r="F263">
        <f>HYPERLINK("http://pbs.twimg.com/media/DdVZq0FVMAAfOln.jpg", "http://pbs.twimg.com/media/DdVZq0FVMAAfOln.jpg")</f>
        <v/>
      </c>
      <c r="G263" t="s"/>
      <c r="H263" t="s"/>
      <c r="I263" t="s"/>
      <c r="J263" t="n">
        <v>0</v>
      </c>
      <c r="K263" t="n">
        <v>0</v>
      </c>
      <c r="L263" t="n">
        <v>1</v>
      </c>
      <c r="M263" t="n">
        <v>0</v>
      </c>
    </row>
    <row r="264" spans="1:13">
      <c r="A264" s="1">
        <f>HYPERLINK("http://www.twitter.com/NathanBLawrence/status/996812525621661696", "996812525621661696")</f>
        <v/>
      </c>
      <c r="B264" s="2" t="n">
        <v>43236.75</v>
      </c>
      <c r="C264" t="n">
        <v>7</v>
      </c>
      <c r="D264" t="n">
        <v>1</v>
      </c>
      <c r="E264" t="s">
        <v>273</v>
      </c>
      <c r="F264" t="s"/>
      <c r="G264" t="s"/>
      <c r="H264" t="s"/>
      <c r="I264" t="s"/>
      <c r="J264" t="n">
        <v>0.3612</v>
      </c>
      <c r="K264" t="n">
        <v>0</v>
      </c>
      <c r="L264" t="n">
        <v>0.444</v>
      </c>
      <c r="M264" t="n">
        <v>0.556</v>
      </c>
    </row>
    <row r="265" spans="1:13">
      <c r="A265" s="1">
        <f>HYPERLINK("http://www.twitter.com/NathanBLawrence/status/996812477269790721", "996812477269790721")</f>
        <v/>
      </c>
      <c r="B265" s="2" t="n">
        <v>43236.74987268518</v>
      </c>
      <c r="C265" t="n">
        <v>0</v>
      </c>
      <c r="D265" t="n">
        <v>17</v>
      </c>
      <c r="E265" t="s">
        <v>274</v>
      </c>
      <c r="F265" t="s"/>
      <c r="G265" t="s"/>
      <c r="H265" t="s"/>
      <c r="I265" t="s"/>
      <c r="J265" t="n">
        <v>-0.2732</v>
      </c>
      <c r="K265" t="n">
        <v>0.13</v>
      </c>
      <c r="L265" t="n">
        <v>0.87</v>
      </c>
      <c r="M265" t="n">
        <v>0</v>
      </c>
    </row>
    <row r="266" spans="1:13">
      <c r="A266" s="1">
        <f>HYPERLINK("http://www.twitter.com/NathanBLawrence/status/996812448702353413", "996812448702353413")</f>
        <v/>
      </c>
      <c r="B266" s="2" t="n">
        <v>43236.74979166667</v>
      </c>
      <c r="C266" t="n">
        <v>8</v>
      </c>
      <c r="D266" t="n">
        <v>5</v>
      </c>
      <c r="E266" t="s">
        <v>275</v>
      </c>
      <c r="F266" t="s"/>
      <c r="G266" t="s"/>
      <c r="H266" t="s"/>
      <c r="I266" t="s"/>
      <c r="J266" t="n">
        <v>0</v>
      </c>
      <c r="K266" t="n">
        <v>0</v>
      </c>
      <c r="L266" t="n">
        <v>1</v>
      </c>
      <c r="M266" t="n">
        <v>0</v>
      </c>
    </row>
    <row r="267" spans="1:13">
      <c r="A267" s="1">
        <f>HYPERLINK("http://www.twitter.com/NathanBLawrence/status/996812176752078849", "996812176752078849")</f>
        <v/>
      </c>
      <c r="B267" s="2" t="n">
        <v>43236.74903935185</v>
      </c>
      <c r="C267" t="n">
        <v>0</v>
      </c>
      <c r="D267" t="n">
        <v>0</v>
      </c>
      <c r="E267" t="s">
        <v>276</v>
      </c>
      <c r="F267" t="s"/>
      <c r="G267" t="s"/>
      <c r="H267" t="s"/>
      <c r="I267" t="s"/>
      <c r="J267" t="n">
        <v>0</v>
      </c>
      <c r="K267" t="n">
        <v>0</v>
      </c>
      <c r="L267" t="n">
        <v>1</v>
      </c>
      <c r="M267" t="n">
        <v>0</v>
      </c>
    </row>
    <row r="268" spans="1:13">
      <c r="A268" s="1">
        <f>HYPERLINK("http://www.twitter.com/NathanBLawrence/status/996812152047656960", "996812152047656960")</f>
        <v/>
      </c>
      <c r="B268" s="2" t="n">
        <v>43236.74896990741</v>
      </c>
      <c r="C268" t="n">
        <v>0</v>
      </c>
      <c r="D268" t="n">
        <v>106</v>
      </c>
      <c r="E268" t="s">
        <v>277</v>
      </c>
      <c r="F268" t="s"/>
      <c r="G268" t="s"/>
      <c r="H268" t="s"/>
      <c r="I268" t="s"/>
      <c r="J268" t="n">
        <v>0.3612</v>
      </c>
      <c r="K268" t="n">
        <v>0</v>
      </c>
      <c r="L268" t="n">
        <v>0.898</v>
      </c>
      <c r="M268" t="n">
        <v>0.102</v>
      </c>
    </row>
    <row r="269" spans="1:13">
      <c r="A269" s="1">
        <f>HYPERLINK("http://www.twitter.com/NathanBLawrence/status/996812119801827329", "996812119801827329")</f>
        <v/>
      </c>
      <c r="B269" s="2" t="n">
        <v>43236.74887731481</v>
      </c>
      <c r="C269" t="n">
        <v>0</v>
      </c>
      <c r="D269" t="n">
        <v>7833</v>
      </c>
      <c r="E269" t="s">
        <v>278</v>
      </c>
      <c r="F269" t="s"/>
      <c r="G269" t="s"/>
      <c r="H269" t="s"/>
      <c r="I269" t="s"/>
      <c r="J269" t="n">
        <v>0.7269</v>
      </c>
      <c r="K269" t="n">
        <v>0</v>
      </c>
      <c r="L269" t="n">
        <v>0.757</v>
      </c>
      <c r="M269" t="n">
        <v>0.243</v>
      </c>
    </row>
    <row r="270" spans="1:13">
      <c r="A270" s="1">
        <f>HYPERLINK("http://www.twitter.com/NathanBLawrence/status/996812076462067712", "996812076462067712")</f>
        <v/>
      </c>
      <c r="B270" s="2" t="n">
        <v>43236.74876157408</v>
      </c>
      <c r="C270" t="n">
        <v>0</v>
      </c>
      <c r="D270" t="n">
        <v>0</v>
      </c>
      <c r="E270" t="s">
        <v>279</v>
      </c>
      <c r="F270" t="s"/>
      <c r="G270" t="s"/>
      <c r="H270" t="s"/>
      <c r="I270" t="s"/>
      <c r="J270" t="n">
        <v>0</v>
      </c>
      <c r="K270" t="n">
        <v>0</v>
      </c>
      <c r="L270" t="n">
        <v>1</v>
      </c>
      <c r="M270" t="n">
        <v>0</v>
      </c>
    </row>
    <row r="271" spans="1:13">
      <c r="A271" s="1">
        <f>HYPERLINK("http://www.twitter.com/NathanBLawrence/status/996811928856072198", "996811928856072198")</f>
        <v/>
      </c>
      <c r="B271" s="2" t="n">
        <v>43236.74835648148</v>
      </c>
      <c r="C271" t="n">
        <v>0</v>
      </c>
      <c r="D271" t="n">
        <v>4</v>
      </c>
      <c r="E271" t="s">
        <v>280</v>
      </c>
      <c r="F271" t="s"/>
      <c r="G271" t="s"/>
      <c r="H271" t="s"/>
      <c r="I271" t="s"/>
      <c r="J271" t="n">
        <v>0.0382</v>
      </c>
      <c r="K271" t="n">
        <v>0.096</v>
      </c>
      <c r="L271" t="n">
        <v>0.803</v>
      </c>
      <c r="M271" t="n">
        <v>0.101</v>
      </c>
    </row>
    <row r="272" spans="1:13">
      <c r="A272" s="1">
        <f>HYPERLINK("http://www.twitter.com/NathanBLawrence/status/996794389987983360", "996794389987983360")</f>
        <v/>
      </c>
      <c r="B272" s="2" t="n">
        <v>43236.6999537037</v>
      </c>
      <c r="C272" t="n">
        <v>0</v>
      </c>
      <c r="D272" t="n">
        <v>6</v>
      </c>
      <c r="E272" t="s">
        <v>281</v>
      </c>
      <c r="F272" t="s"/>
      <c r="G272" t="s"/>
      <c r="H272" t="s"/>
      <c r="I272" t="s"/>
      <c r="J272" t="n">
        <v>0</v>
      </c>
      <c r="K272" t="n">
        <v>0</v>
      </c>
      <c r="L272" t="n">
        <v>1</v>
      </c>
      <c r="M272" t="n">
        <v>0</v>
      </c>
    </row>
    <row r="273" spans="1:13">
      <c r="A273" s="1">
        <f>HYPERLINK("http://www.twitter.com/NathanBLawrence/status/996565963742081024", "996565963742081024")</f>
        <v/>
      </c>
      <c r="B273" s="2" t="n">
        <v>43236.06961805555</v>
      </c>
      <c r="C273" t="n">
        <v>0</v>
      </c>
      <c r="D273" t="n">
        <v>4</v>
      </c>
      <c r="E273" t="s">
        <v>282</v>
      </c>
      <c r="F273" t="s"/>
      <c r="G273" t="s"/>
      <c r="H273" t="s"/>
      <c r="I273" t="s"/>
      <c r="J273" t="n">
        <v>0.3182</v>
      </c>
      <c r="K273" t="n">
        <v>0</v>
      </c>
      <c r="L273" t="n">
        <v>0.897</v>
      </c>
      <c r="M273" t="n">
        <v>0.103</v>
      </c>
    </row>
    <row r="274" spans="1:13">
      <c r="A274" s="1">
        <f>HYPERLINK("http://www.twitter.com/NathanBLawrence/status/996565954409644032", "996565954409644032")</f>
        <v/>
      </c>
      <c r="B274" s="2" t="n">
        <v>43236.06959490741</v>
      </c>
      <c r="C274" t="n">
        <v>0</v>
      </c>
      <c r="D274" t="n">
        <v>4</v>
      </c>
      <c r="E274" t="s">
        <v>283</v>
      </c>
      <c r="F274" t="s"/>
      <c r="G274" t="s"/>
      <c r="H274" t="s"/>
      <c r="I274" t="s"/>
      <c r="J274" t="n">
        <v>-0.7351</v>
      </c>
      <c r="K274" t="n">
        <v>0.311</v>
      </c>
      <c r="L274" t="n">
        <v>0.594</v>
      </c>
      <c r="M274" t="n">
        <v>0.094</v>
      </c>
    </row>
    <row r="275" spans="1:13">
      <c r="A275" s="1">
        <f>HYPERLINK("http://www.twitter.com/NathanBLawrence/status/996565931353694208", "996565931353694208")</f>
        <v/>
      </c>
      <c r="B275" s="2" t="n">
        <v>43236.06952546296</v>
      </c>
      <c r="C275" t="n">
        <v>0</v>
      </c>
      <c r="D275" t="n">
        <v>14</v>
      </c>
      <c r="E275" t="s">
        <v>284</v>
      </c>
      <c r="F275" t="s"/>
      <c r="G275" t="s"/>
      <c r="H275" t="s"/>
      <c r="I275" t="s"/>
      <c r="J275" t="n">
        <v>0</v>
      </c>
      <c r="K275" t="n">
        <v>0</v>
      </c>
      <c r="L275" t="n">
        <v>1</v>
      </c>
      <c r="M275" t="n">
        <v>0</v>
      </c>
    </row>
    <row r="276" spans="1:13">
      <c r="A276" s="1">
        <f>HYPERLINK("http://www.twitter.com/NathanBLawrence/status/996565920075145216", "996565920075145216")</f>
        <v/>
      </c>
      <c r="B276" s="2" t="n">
        <v>43236.06950231481</v>
      </c>
      <c r="C276" t="n">
        <v>0</v>
      </c>
      <c r="D276" t="n">
        <v>3</v>
      </c>
      <c r="E276" t="s">
        <v>285</v>
      </c>
      <c r="F276" t="s"/>
      <c r="G276" t="s"/>
      <c r="H276" t="s"/>
      <c r="I276" t="s"/>
      <c r="J276" t="n">
        <v>0.5106000000000001</v>
      </c>
      <c r="K276" t="n">
        <v>0</v>
      </c>
      <c r="L276" t="n">
        <v>0.879</v>
      </c>
      <c r="M276" t="n">
        <v>0.121</v>
      </c>
    </row>
    <row r="277" spans="1:13">
      <c r="A277" s="1">
        <f>HYPERLINK("http://www.twitter.com/NathanBLawrence/status/996565901997674496", "996565901997674496")</f>
        <v/>
      </c>
      <c r="B277" s="2" t="n">
        <v>43236.06944444445</v>
      </c>
      <c r="C277" t="n">
        <v>0</v>
      </c>
      <c r="D277" t="n">
        <v>7</v>
      </c>
      <c r="E277" t="s">
        <v>286</v>
      </c>
      <c r="F277" t="s"/>
      <c r="G277" t="s"/>
      <c r="H277" t="s"/>
      <c r="I277" t="s"/>
      <c r="J277" t="n">
        <v>0.0772</v>
      </c>
      <c r="K277" t="n">
        <v>0</v>
      </c>
      <c r="L277" t="n">
        <v>0.947</v>
      </c>
      <c r="M277" t="n">
        <v>0.053</v>
      </c>
    </row>
    <row r="278" spans="1:13">
      <c r="A278" s="1">
        <f>HYPERLINK("http://www.twitter.com/NathanBLawrence/status/996565870909579269", "996565870909579269")</f>
        <v/>
      </c>
      <c r="B278" s="2" t="n">
        <v>43236.06936342592</v>
      </c>
      <c r="C278" t="n">
        <v>0</v>
      </c>
      <c r="D278" t="n">
        <v>116</v>
      </c>
      <c r="E278" t="s">
        <v>287</v>
      </c>
      <c r="F278" t="s"/>
      <c r="G278" t="s"/>
      <c r="H278" t="s"/>
      <c r="I278" t="s"/>
      <c r="J278" t="n">
        <v>-0.5849</v>
      </c>
      <c r="K278" t="n">
        <v>0.166</v>
      </c>
      <c r="L278" t="n">
        <v>0.834</v>
      </c>
      <c r="M278" t="n">
        <v>0</v>
      </c>
    </row>
    <row r="279" spans="1:13">
      <c r="A279" s="1">
        <f>HYPERLINK("http://www.twitter.com/NathanBLawrence/status/996565844594495490", "996565844594495490")</f>
        <v/>
      </c>
      <c r="B279" s="2" t="n">
        <v>43236.06929398148</v>
      </c>
      <c r="C279" t="n">
        <v>0</v>
      </c>
      <c r="D279" t="n">
        <v>22</v>
      </c>
      <c r="E279" t="s">
        <v>288</v>
      </c>
      <c r="F279" t="s"/>
      <c r="G279" t="s"/>
      <c r="H279" t="s"/>
      <c r="I279" t="s"/>
      <c r="J279" t="n">
        <v>0.2481</v>
      </c>
      <c r="K279" t="n">
        <v>0.096</v>
      </c>
      <c r="L279" t="n">
        <v>0.731</v>
      </c>
      <c r="M279" t="n">
        <v>0.173</v>
      </c>
    </row>
    <row r="280" spans="1:13">
      <c r="A280" s="1">
        <f>HYPERLINK("http://www.twitter.com/NathanBLawrence/status/996565829339828224", "996565829339828224")</f>
        <v/>
      </c>
      <c r="B280" s="2" t="n">
        <v>43236.06924768518</v>
      </c>
      <c r="C280" t="n">
        <v>0</v>
      </c>
      <c r="D280" t="n">
        <v>10</v>
      </c>
      <c r="E280" t="s">
        <v>289</v>
      </c>
      <c r="F280" t="s"/>
      <c r="G280" t="s"/>
      <c r="H280" t="s"/>
      <c r="I280" t="s"/>
      <c r="J280" t="n">
        <v>0.0493</v>
      </c>
      <c r="K280" t="n">
        <v>0.229</v>
      </c>
      <c r="L280" t="n">
        <v>0.5659999999999999</v>
      </c>
      <c r="M280" t="n">
        <v>0.205</v>
      </c>
    </row>
    <row r="281" spans="1:13">
      <c r="A281" s="1">
        <f>HYPERLINK("http://www.twitter.com/NathanBLawrence/status/996565817390256129", "996565817390256129")</f>
        <v/>
      </c>
      <c r="B281" s="2" t="n">
        <v>43236.06921296296</v>
      </c>
      <c r="C281" t="n">
        <v>0</v>
      </c>
      <c r="D281" t="n">
        <v>5</v>
      </c>
      <c r="E281" t="s">
        <v>290</v>
      </c>
      <c r="F281">
        <f>HYPERLINK("http://pbs.twimg.com/media/DdNNmBfWkAIePMt.jpg", "http://pbs.twimg.com/media/DdNNmBfWkAIePMt.jpg")</f>
        <v/>
      </c>
      <c r="G281" t="s"/>
      <c r="H281" t="s"/>
      <c r="I281" t="s"/>
      <c r="J281" t="n">
        <v>-0.4939</v>
      </c>
      <c r="K281" t="n">
        <v>0.167</v>
      </c>
      <c r="L281" t="n">
        <v>0.833</v>
      </c>
      <c r="M281" t="n">
        <v>0</v>
      </c>
    </row>
    <row r="282" spans="1:13">
      <c r="A282" s="1">
        <f>HYPERLINK("http://www.twitter.com/NathanBLawrence/status/996565800445235201", "996565800445235201")</f>
        <v/>
      </c>
      <c r="B282" s="2" t="n">
        <v>43236.06916666667</v>
      </c>
      <c r="C282" t="n">
        <v>0</v>
      </c>
      <c r="D282" t="n">
        <v>8</v>
      </c>
      <c r="E282" t="s">
        <v>291</v>
      </c>
      <c r="F282" t="s"/>
      <c r="G282" t="s"/>
      <c r="H282" t="s"/>
      <c r="I282" t="s"/>
      <c r="J282" t="n">
        <v>0</v>
      </c>
      <c r="K282" t="n">
        <v>0</v>
      </c>
      <c r="L282" t="n">
        <v>1</v>
      </c>
      <c r="M282" t="n">
        <v>0</v>
      </c>
    </row>
    <row r="283" spans="1:13">
      <c r="A283" s="1">
        <f>HYPERLINK("http://www.twitter.com/NathanBLawrence/status/996565773090021376", "996565773090021376")</f>
        <v/>
      </c>
      <c r="B283" s="2" t="n">
        <v>43236.06909722222</v>
      </c>
      <c r="C283" t="n">
        <v>0</v>
      </c>
      <c r="D283" t="n">
        <v>13</v>
      </c>
      <c r="E283" t="s">
        <v>292</v>
      </c>
      <c r="F283" t="s"/>
      <c r="G283" t="s"/>
      <c r="H283" t="s"/>
      <c r="I283" t="s"/>
      <c r="J283" t="n">
        <v>0</v>
      </c>
      <c r="K283" t="n">
        <v>0.109</v>
      </c>
      <c r="L283" t="n">
        <v>0.783</v>
      </c>
      <c r="M283" t="n">
        <v>0.109</v>
      </c>
    </row>
    <row r="284" spans="1:13">
      <c r="A284" s="1">
        <f>HYPERLINK("http://www.twitter.com/NathanBLawrence/status/996565760003620864", "996565760003620864")</f>
        <v/>
      </c>
      <c r="B284" s="2" t="n">
        <v>43236.0690625</v>
      </c>
      <c r="C284" t="n">
        <v>0</v>
      </c>
      <c r="D284" t="n">
        <v>10</v>
      </c>
      <c r="E284" t="s">
        <v>293</v>
      </c>
      <c r="F284" t="s"/>
      <c r="G284" t="s"/>
      <c r="H284" t="s"/>
      <c r="I284" t="s"/>
      <c r="J284" t="n">
        <v>0.4215</v>
      </c>
      <c r="K284" t="n">
        <v>0</v>
      </c>
      <c r="L284" t="n">
        <v>0.833</v>
      </c>
      <c r="M284" t="n">
        <v>0.167</v>
      </c>
    </row>
    <row r="285" spans="1:13">
      <c r="A285" s="1">
        <f>HYPERLINK("http://www.twitter.com/NathanBLawrence/status/996565740814786560", "996565740814786560")</f>
        <v/>
      </c>
      <c r="B285" s="2" t="n">
        <v>43236.06900462963</v>
      </c>
      <c r="C285" t="n">
        <v>0</v>
      </c>
      <c r="D285" t="n">
        <v>10</v>
      </c>
      <c r="E285" t="s">
        <v>294</v>
      </c>
      <c r="F285" t="s"/>
      <c r="G285" t="s"/>
      <c r="H285" t="s"/>
      <c r="I285" t="s"/>
      <c r="J285" t="n">
        <v>-0.3818</v>
      </c>
      <c r="K285" t="n">
        <v>0.102</v>
      </c>
      <c r="L285" t="n">
        <v>0.898</v>
      </c>
      <c r="M285" t="n">
        <v>0</v>
      </c>
    </row>
    <row r="286" spans="1:13">
      <c r="A286" s="1">
        <f>HYPERLINK("http://www.twitter.com/NathanBLawrence/status/996565715892269056", "996565715892269056")</f>
        <v/>
      </c>
      <c r="B286" s="2" t="n">
        <v>43236.06893518518</v>
      </c>
      <c r="C286" t="n">
        <v>0</v>
      </c>
      <c r="D286" t="n">
        <v>6</v>
      </c>
      <c r="E286" t="s">
        <v>295</v>
      </c>
      <c r="F286" t="s"/>
      <c r="G286" t="s"/>
      <c r="H286" t="s"/>
      <c r="I286" t="s"/>
      <c r="J286" t="n">
        <v>0.0258</v>
      </c>
      <c r="K286" t="n">
        <v>0.094</v>
      </c>
      <c r="L286" t="n">
        <v>0.8090000000000001</v>
      </c>
      <c r="M286" t="n">
        <v>0.098</v>
      </c>
    </row>
    <row r="287" spans="1:13">
      <c r="A287" s="1">
        <f>HYPERLINK("http://www.twitter.com/NathanBLawrence/status/996565706023034880", "996565706023034880")</f>
        <v/>
      </c>
      <c r="B287" s="2" t="n">
        <v>43236.06891203704</v>
      </c>
      <c r="C287" t="n">
        <v>0</v>
      </c>
      <c r="D287" t="n">
        <v>11</v>
      </c>
      <c r="E287" t="s">
        <v>296</v>
      </c>
      <c r="F287" t="s"/>
      <c r="G287" t="s"/>
      <c r="H287" t="s"/>
      <c r="I287" t="s"/>
      <c r="J287" t="n">
        <v>0.4939</v>
      </c>
      <c r="K287" t="n">
        <v>0</v>
      </c>
      <c r="L287" t="n">
        <v>0.824</v>
      </c>
      <c r="M287" t="n">
        <v>0.176</v>
      </c>
    </row>
    <row r="288" spans="1:13">
      <c r="A288" s="1">
        <f>HYPERLINK("http://www.twitter.com/NathanBLawrence/status/996565681368915969", "996565681368915969")</f>
        <v/>
      </c>
      <c r="B288" s="2" t="n">
        <v>43236.06884259259</v>
      </c>
      <c r="C288" t="n">
        <v>0</v>
      </c>
      <c r="D288" t="n">
        <v>14</v>
      </c>
      <c r="E288" t="s">
        <v>297</v>
      </c>
      <c r="F288">
        <f>HYPERLINK("http://pbs.twimg.com/media/DdKSOVQXcAAFpad.jpg", "http://pbs.twimg.com/media/DdKSOVQXcAAFpad.jpg")</f>
        <v/>
      </c>
      <c r="G288" t="s"/>
      <c r="H288" t="s"/>
      <c r="I288" t="s"/>
      <c r="J288" t="n">
        <v>-0.34</v>
      </c>
      <c r="K288" t="n">
        <v>0.192</v>
      </c>
      <c r="L288" t="n">
        <v>0.698</v>
      </c>
      <c r="M288" t="n">
        <v>0.11</v>
      </c>
    </row>
    <row r="289" spans="1:13">
      <c r="A289" s="1">
        <f>HYPERLINK("http://www.twitter.com/NathanBLawrence/status/996565649949364225", "996565649949364225")</f>
        <v/>
      </c>
      <c r="B289" s="2" t="n">
        <v>43236.06875</v>
      </c>
      <c r="C289" t="n">
        <v>0</v>
      </c>
      <c r="D289" t="n">
        <v>7</v>
      </c>
      <c r="E289" t="s">
        <v>298</v>
      </c>
      <c r="F289" t="s"/>
      <c r="G289" t="s"/>
      <c r="H289" t="s"/>
      <c r="I289" t="s"/>
      <c r="J289" t="n">
        <v>-0.4767</v>
      </c>
      <c r="K289" t="n">
        <v>0.129</v>
      </c>
      <c r="L289" t="n">
        <v>0.871</v>
      </c>
      <c r="M289" t="n">
        <v>0</v>
      </c>
    </row>
    <row r="290" spans="1:13">
      <c r="A290" s="1">
        <f>HYPERLINK("http://www.twitter.com/NathanBLawrence/status/996565622665416704", "996565622665416704")</f>
        <v/>
      </c>
      <c r="B290" s="2" t="n">
        <v>43236.06868055555</v>
      </c>
      <c r="C290" t="n">
        <v>0</v>
      </c>
      <c r="D290" t="n">
        <v>9</v>
      </c>
      <c r="E290" t="s">
        <v>299</v>
      </c>
      <c r="F290" t="s"/>
      <c r="G290" t="s"/>
      <c r="H290" t="s"/>
      <c r="I290" t="s"/>
      <c r="J290" t="n">
        <v>-0.9062</v>
      </c>
      <c r="K290" t="n">
        <v>0.359</v>
      </c>
      <c r="L290" t="n">
        <v>0.641</v>
      </c>
      <c r="M290" t="n">
        <v>0</v>
      </c>
    </row>
    <row r="291" spans="1:13">
      <c r="A291" s="1">
        <f>HYPERLINK("http://www.twitter.com/NathanBLawrence/status/996565606165045248", "996565606165045248")</f>
        <v/>
      </c>
      <c r="B291" s="2" t="n">
        <v>43236.06863425926</v>
      </c>
      <c r="C291" t="n">
        <v>0</v>
      </c>
      <c r="D291" t="n">
        <v>14</v>
      </c>
      <c r="E291" t="s">
        <v>300</v>
      </c>
      <c r="F291" t="s"/>
      <c r="G291" t="s"/>
      <c r="H291" t="s"/>
      <c r="I291" t="s"/>
      <c r="J291" t="n">
        <v>0</v>
      </c>
      <c r="K291" t="n">
        <v>0</v>
      </c>
      <c r="L291" t="n">
        <v>1</v>
      </c>
      <c r="M291" t="n">
        <v>0</v>
      </c>
    </row>
    <row r="292" spans="1:13">
      <c r="A292" s="1">
        <f>HYPERLINK("http://www.twitter.com/NathanBLawrence/status/996564966336540672", "996564966336540672")</f>
        <v/>
      </c>
      <c r="B292" s="2" t="n">
        <v>43236.06686342593</v>
      </c>
      <c r="C292" t="n">
        <v>0</v>
      </c>
      <c r="D292" t="n">
        <v>15</v>
      </c>
      <c r="E292" t="s">
        <v>301</v>
      </c>
      <c r="F292" t="s"/>
      <c r="G292" t="s"/>
      <c r="H292" t="s"/>
      <c r="I292" t="s"/>
      <c r="J292" t="n">
        <v>0.1779</v>
      </c>
      <c r="K292" t="n">
        <v>0.08799999999999999</v>
      </c>
      <c r="L292" t="n">
        <v>0.797</v>
      </c>
      <c r="M292" t="n">
        <v>0.116</v>
      </c>
    </row>
    <row r="293" spans="1:13">
      <c r="A293" s="1">
        <f>HYPERLINK("http://www.twitter.com/NathanBLawrence/status/996557266345254914", "996557266345254914")</f>
        <v/>
      </c>
      <c r="B293" s="2" t="n">
        <v>43236.045625</v>
      </c>
      <c r="C293" t="n">
        <v>0</v>
      </c>
      <c r="D293" t="n">
        <v>5797</v>
      </c>
      <c r="E293" t="s">
        <v>302</v>
      </c>
      <c r="F293" t="s"/>
      <c r="G293" t="s"/>
      <c r="H293" t="s"/>
      <c r="I293" t="s"/>
      <c r="J293" t="n">
        <v>-0.2732</v>
      </c>
      <c r="K293" t="n">
        <v>0.1</v>
      </c>
      <c r="L293" t="n">
        <v>0.9</v>
      </c>
      <c r="M293" t="n">
        <v>0</v>
      </c>
    </row>
    <row r="294" spans="1:13">
      <c r="A294" s="1">
        <f>HYPERLINK("http://www.twitter.com/NathanBLawrence/status/996511617113305088", "996511617113305088")</f>
        <v/>
      </c>
      <c r="B294" s="2" t="n">
        <v>43235.91965277777</v>
      </c>
      <c r="C294" t="n">
        <v>1</v>
      </c>
      <c r="D294" t="n">
        <v>0</v>
      </c>
      <c r="E294" t="s">
        <v>303</v>
      </c>
      <c r="F294" t="s"/>
      <c r="G294" t="s"/>
      <c r="H294" t="s"/>
      <c r="I294" t="s"/>
      <c r="J294" t="n">
        <v>0.34</v>
      </c>
      <c r="K294" t="n">
        <v>0.108</v>
      </c>
      <c r="L294" t="n">
        <v>0.6919999999999999</v>
      </c>
      <c r="M294" t="n">
        <v>0.2</v>
      </c>
    </row>
    <row r="295" spans="1:13">
      <c r="A295" s="1">
        <f>HYPERLINK("http://www.twitter.com/NathanBLawrence/status/996511437861343237", "996511437861343237")</f>
        <v/>
      </c>
      <c r="B295" s="2" t="n">
        <v>43235.91915509259</v>
      </c>
      <c r="C295" t="n">
        <v>0</v>
      </c>
      <c r="D295" t="n">
        <v>2308</v>
      </c>
      <c r="E295" t="s">
        <v>304</v>
      </c>
      <c r="F295" t="s"/>
      <c r="G295" t="s"/>
      <c r="H295" t="s"/>
      <c r="I295" t="s"/>
      <c r="J295" t="n">
        <v>-0.4404</v>
      </c>
      <c r="K295" t="n">
        <v>0.139</v>
      </c>
      <c r="L295" t="n">
        <v>0.861</v>
      </c>
      <c r="M295" t="n">
        <v>0</v>
      </c>
    </row>
    <row r="296" spans="1:13">
      <c r="A296" s="1">
        <f>HYPERLINK("http://www.twitter.com/NathanBLawrence/status/996511402247499778", "996511402247499778")</f>
        <v/>
      </c>
      <c r="B296" s="2" t="n">
        <v>43235.9190625</v>
      </c>
      <c r="C296" t="n">
        <v>0</v>
      </c>
      <c r="D296" t="n">
        <v>1093</v>
      </c>
      <c r="E296" t="s">
        <v>305</v>
      </c>
      <c r="F296" t="s"/>
      <c r="G296" t="s"/>
      <c r="H296" t="s"/>
      <c r="I296" t="s"/>
      <c r="J296" t="n">
        <v>-0.6908</v>
      </c>
      <c r="K296" t="n">
        <v>0.231</v>
      </c>
      <c r="L296" t="n">
        <v>0.769</v>
      </c>
      <c r="M296" t="n">
        <v>0</v>
      </c>
    </row>
    <row r="297" spans="1:13">
      <c r="A297" s="1">
        <f>HYPERLINK("http://www.twitter.com/NathanBLawrence/status/996471543311032320", "996471543311032320")</f>
        <v/>
      </c>
      <c r="B297" s="2" t="n">
        <v>43235.80907407407</v>
      </c>
      <c r="C297" t="n">
        <v>0</v>
      </c>
      <c r="D297" t="n">
        <v>5</v>
      </c>
      <c r="E297" t="s">
        <v>306</v>
      </c>
      <c r="F297" t="s"/>
      <c r="G297" t="s"/>
      <c r="H297" t="s"/>
      <c r="I297" t="s"/>
      <c r="J297" t="n">
        <v>-0.1027</v>
      </c>
      <c r="K297" t="n">
        <v>0.076</v>
      </c>
      <c r="L297" t="n">
        <v>0.924</v>
      </c>
      <c r="M297" t="n">
        <v>0</v>
      </c>
    </row>
    <row r="298" spans="1:13">
      <c r="A298" s="1">
        <f>HYPERLINK("http://www.twitter.com/NathanBLawrence/status/996470227444563968", "996470227444563968")</f>
        <v/>
      </c>
      <c r="B298" s="2" t="n">
        <v>43235.80543981482</v>
      </c>
      <c r="C298" t="n">
        <v>0</v>
      </c>
      <c r="D298" t="n">
        <v>10</v>
      </c>
      <c r="E298" t="s">
        <v>307</v>
      </c>
      <c r="F298" t="s"/>
      <c r="G298" t="s"/>
      <c r="H298" t="s"/>
      <c r="I298" t="s"/>
      <c r="J298" t="n">
        <v>0.3818</v>
      </c>
      <c r="K298" t="n">
        <v>0</v>
      </c>
      <c r="L298" t="n">
        <v>0.89</v>
      </c>
      <c r="M298" t="n">
        <v>0.11</v>
      </c>
    </row>
    <row r="299" spans="1:13">
      <c r="A299" s="1">
        <f>HYPERLINK("http://www.twitter.com/NathanBLawrence/status/996470207911813122", "996470207911813122")</f>
        <v/>
      </c>
      <c r="B299" s="2" t="n">
        <v>43235.80538194445</v>
      </c>
      <c r="C299" t="n">
        <v>0</v>
      </c>
      <c r="D299" t="n">
        <v>14</v>
      </c>
      <c r="E299" t="s">
        <v>308</v>
      </c>
      <c r="F299">
        <f>HYPERLINK("http://pbs.twimg.com/media/DdQsAyUWkAAqSEy.jpg", "http://pbs.twimg.com/media/DdQsAyUWkAAqSEy.jpg")</f>
        <v/>
      </c>
      <c r="G299" t="s"/>
      <c r="H299" t="s"/>
      <c r="I299" t="s"/>
      <c r="J299" t="n">
        <v>0.4149</v>
      </c>
      <c r="K299" t="n">
        <v>0.051</v>
      </c>
      <c r="L299" t="n">
        <v>0.798</v>
      </c>
      <c r="M299" t="n">
        <v>0.151</v>
      </c>
    </row>
    <row r="300" spans="1:13">
      <c r="A300" s="1">
        <f>HYPERLINK("http://www.twitter.com/NathanBLawrence/status/996468572091273216", "996468572091273216")</f>
        <v/>
      </c>
      <c r="B300" s="2" t="n">
        <v>43235.80086805556</v>
      </c>
      <c r="C300" t="n">
        <v>0</v>
      </c>
      <c r="D300" t="n">
        <v>7</v>
      </c>
      <c r="E300" t="s">
        <v>309</v>
      </c>
      <c r="F300" t="s"/>
      <c r="G300" t="s"/>
      <c r="H300" t="s"/>
      <c r="I300" t="s"/>
      <c r="J300" t="n">
        <v>-0.4588</v>
      </c>
      <c r="K300" t="n">
        <v>0.125</v>
      </c>
      <c r="L300" t="n">
        <v>0.875</v>
      </c>
      <c r="M300" t="n">
        <v>0</v>
      </c>
    </row>
    <row r="301" spans="1:13">
      <c r="A301" s="1">
        <f>HYPERLINK("http://www.twitter.com/NathanBLawrence/status/996468510921457664", "996468510921457664")</f>
        <v/>
      </c>
      <c r="B301" s="2" t="n">
        <v>43235.80070601852</v>
      </c>
      <c r="C301" t="n">
        <v>0</v>
      </c>
      <c r="D301" t="n">
        <v>80</v>
      </c>
      <c r="E301" t="s">
        <v>310</v>
      </c>
      <c r="F301" t="s"/>
      <c r="G301" t="s"/>
      <c r="H301" t="s"/>
      <c r="I301" t="s"/>
      <c r="J301" t="n">
        <v>-0.7906</v>
      </c>
      <c r="K301" t="n">
        <v>0.333</v>
      </c>
      <c r="L301" t="n">
        <v>0.667</v>
      </c>
      <c r="M301" t="n">
        <v>0</v>
      </c>
    </row>
    <row r="302" spans="1:13">
      <c r="A302" s="1">
        <f>HYPERLINK("http://www.twitter.com/NathanBLawrence/status/996468433905704960", "996468433905704960")</f>
        <v/>
      </c>
      <c r="B302" s="2" t="n">
        <v>43235.80048611111</v>
      </c>
      <c r="C302" t="n">
        <v>0</v>
      </c>
      <c r="D302" t="n">
        <v>7</v>
      </c>
      <c r="E302" t="s">
        <v>311</v>
      </c>
      <c r="F302" t="s"/>
      <c r="G302" t="s"/>
      <c r="H302" t="s"/>
      <c r="I302" t="s"/>
      <c r="J302" t="n">
        <v>0.7269</v>
      </c>
      <c r="K302" t="n">
        <v>0</v>
      </c>
      <c r="L302" t="n">
        <v>0.756</v>
      </c>
      <c r="M302" t="n">
        <v>0.244</v>
      </c>
    </row>
    <row r="303" spans="1:13">
      <c r="A303" s="1">
        <f>HYPERLINK("http://www.twitter.com/NathanBLawrence/status/996468331065602048", "996468331065602048")</f>
        <v/>
      </c>
      <c r="B303" s="2" t="n">
        <v>43235.80020833333</v>
      </c>
      <c r="C303" t="n">
        <v>0</v>
      </c>
      <c r="D303" t="n">
        <v>1</v>
      </c>
      <c r="E303" t="s">
        <v>312</v>
      </c>
      <c r="F303" t="s"/>
      <c r="G303" t="s"/>
      <c r="H303" t="s"/>
      <c r="I303" t="s"/>
      <c r="J303" t="n">
        <v>-0.8401999999999999</v>
      </c>
      <c r="K303" t="n">
        <v>0.369</v>
      </c>
      <c r="L303" t="n">
        <v>0.556</v>
      </c>
      <c r="M303" t="n">
        <v>0.075</v>
      </c>
    </row>
    <row r="304" spans="1:13">
      <c r="A304" s="1">
        <f>HYPERLINK("http://www.twitter.com/NathanBLawrence/status/996468278741684224", "996468278741684224")</f>
        <v/>
      </c>
      <c r="B304" s="2" t="n">
        <v>43235.80005787037</v>
      </c>
      <c r="C304" t="n">
        <v>0</v>
      </c>
      <c r="D304" t="n">
        <v>13</v>
      </c>
      <c r="E304" t="s">
        <v>313</v>
      </c>
      <c r="F304">
        <f>HYPERLINK("http://pbs.twimg.com/media/DdP8mRCX4AEykXX.jpg", "http://pbs.twimg.com/media/DdP8mRCX4AEykXX.jpg")</f>
        <v/>
      </c>
      <c r="G304" t="s"/>
      <c r="H304" t="s"/>
      <c r="I304" t="s"/>
      <c r="J304" t="n">
        <v>-0.1027</v>
      </c>
      <c r="K304" t="n">
        <v>0.06</v>
      </c>
      <c r="L304" t="n">
        <v>0.9399999999999999</v>
      </c>
      <c r="M304" t="n">
        <v>0</v>
      </c>
    </row>
    <row r="305" spans="1:13">
      <c r="A305" s="1">
        <f>HYPERLINK("http://www.twitter.com/NathanBLawrence/status/996467837526007813", "996467837526007813")</f>
        <v/>
      </c>
      <c r="B305" s="2" t="n">
        <v>43235.79884259259</v>
      </c>
      <c r="C305" t="n">
        <v>0</v>
      </c>
      <c r="D305" t="n">
        <v>42</v>
      </c>
      <c r="E305" t="s">
        <v>314</v>
      </c>
      <c r="F305" t="s"/>
      <c r="G305" t="s"/>
      <c r="H305" t="s"/>
      <c r="I305" t="s"/>
      <c r="J305" t="n">
        <v>-0.5574</v>
      </c>
      <c r="K305" t="n">
        <v>0.187</v>
      </c>
      <c r="L305" t="n">
        <v>0.8129999999999999</v>
      </c>
      <c r="M305" t="n">
        <v>0</v>
      </c>
    </row>
    <row r="306" spans="1:13">
      <c r="A306" s="1">
        <f>HYPERLINK("http://www.twitter.com/NathanBLawrence/status/996467758597582848", "996467758597582848")</f>
        <v/>
      </c>
      <c r="B306" s="2" t="n">
        <v>43235.79862268519</v>
      </c>
      <c r="C306" t="n">
        <v>0</v>
      </c>
      <c r="D306" t="n">
        <v>2</v>
      </c>
      <c r="E306" t="s">
        <v>315</v>
      </c>
      <c r="F306" t="s"/>
      <c r="G306" t="s"/>
      <c r="H306" t="s"/>
      <c r="I306" t="s"/>
      <c r="J306" t="n">
        <v>0</v>
      </c>
      <c r="K306" t="n">
        <v>0</v>
      </c>
      <c r="L306" t="n">
        <v>1</v>
      </c>
      <c r="M306" t="n">
        <v>0</v>
      </c>
    </row>
    <row r="307" spans="1:13">
      <c r="A307" s="1">
        <f>HYPERLINK("http://www.twitter.com/NathanBLawrence/status/996467739329007617", "996467739329007617")</f>
        <v/>
      </c>
      <c r="B307" s="2" t="n">
        <v>43235.79857638889</v>
      </c>
      <c r="C307" t="n">
        <v>0</v>
      </c>
      <c r="D307" t="n">
        <v>5</v>
      </c>
      <c r="E307" t="s">
        <v>316</v>
      </c>
      <c r="F307" t="s"/>
      <c r="G307" t="s"/>
      <c r="H307" t="s"/>
      <c r="I307" t="s"/>
      <c r="J307" t="n">
        <v>-0.7887</v>
      </c>
      <c r="K307" t="n">
        <v>0.291</v>
      </c>
      <c r="L307" t="n">
        <v>0.709</v>
      </c>
      <c r="M307" t="n">
        <v>0</v>
      </c>
    </row>
    <row r="308" spans="1:13">
      <c r="A308" s="1">
        <f>HYPERLINK("http://www.twitter.com/NathanBLawrence/status/996467088880553985", "996467088880553985")</f>
        <v/>
      </c>
      <c r="B308" s="2" t="n">
        <v>43235.79678240741</v>
      </c>
      <c r="C308" t="n">
        <v>0</v>
      </c>
      <c r="D308" t="n">
        <v>49</v>
      </c>
      <c r="E308" t="s">
        <v>317</v>
      </c>
      <c r="F308" t="s"/>
      <c r="G308" t="s"/>
      <c r="H308" t="s"/>
      <c r="I308" t="s"/>
      <c r="J308" t="n">
        <v>-0.7184</v>
      </c>
      <c r="K308" t="n">
        <v>0.24</v>
      </c>
      <c r="L308" t="n">
        <v>0.76</v>
      </c>
      <c r="M308" t="n">
        <v>0</v>
      </c>
    </row>
    <row r="309" spans="1:13">
      <c r="A309" s="1">
        <f>HYPERLINK("http://www.twitter.com/NathanBLawrence/status/996466981980209152", "996466981980209152")</f>
        <v/>
      </c>
      <c r="B309" s="2" t="n">
        <v>43235.79648148148</v>
      </c>
      <c r="C309" t="n">
        <v>0</v>
      </c>
      <c r="D309" t="n">
        <v>41</v>
      </c>
      <c r="E309" t="s">
        <v>318</v>
      </c>
      <c r="F309" t="s"/>
      <c r="G309" t="s"/>
      <c r="H309" t="s"/>
      <c r="I309" t="s"/>
      <c r="J309" t="n">
        <v>-0.0516</v>
      </c>
      <c r="K309" t="n">
        <v>0.192</v>
      </c>
      <c r="L309" t="n">
        <v>0.625</v>
      </c>
      <c r="M309" t="n">
        <v>0.183</v>
      </c>
    </row>
    <row r="310" spans="1:13">
      <c r="A310" s="1">
        <f>HYPERLINK("http://www.twitter.com/NathanBLawrence/status/996466923578720256", "996466923578720256")</f>
        <v/>
      </c>
      <c r="B310" s="2" t="n">
        <v>43235.79631944445</v>
      </c>
      <c r="C310" t="n">
        <v>0</v>
      </c>
      <c r="D310" t="n">
        <v>3</v>
      </c>
      <c r="E310" t="s">
        <v>319</v>
      </c>
      <c r="F310" t="s"/>
      <c r="G310" t="s"/>
      <c r="H310" t="s"/>
      <c r="I310" t="s"/>
      <c r="J310" t="n">
        <v>0</v>
      </c>
      <c r="K310" t="n">
        <v>0</v>
      </c>
      <c r="L310" t="n">
        <v>1</v>
      </c>
      <c r="M310" t="n">
        <v>0</v>
      </c>
    </row>
    <row r="311" spans="1:13">
      <c r="A311" s="1">
        <f>HYPERLINK("http://www.twitter.com/NathanBLawrence/status/996466823620112384", "996466823620112384")</f>
        <v/>
      </c>
      <c r="B311" s="2" t="n">
        <v>43235.79604166667</v>
      </c>
      <c r="C311" t="n">
        <v>0</v>
      </c>
      <c r="D311" t="n">
        <v>3</v>
      </c>
      <c r="E311" t="s">
        <v>320</v>
      </c>
      <c r="F311" t="s"/>
      <c r="G311" t="s"/>
      <c r="H311" t="s"/>
      <c r="I311" t="s"/>
      <c r="J311" t="n">
        <v>-0.2732</v>
      </c>
      <c r="K311" t="n">
        <v>0.095</v>
      </c>
      <c r="L311" t="n">
        <v>0.905</v>
      </c>
      <c r="M311" t="n">
        <v>0</v>
      </c>
    </row>
    <row r="312" spans="1:13">
      <c r="A312" s="1">
        <f>HYPERLINK("http://www.twitter.com/NathanBLawrence/status/996466748139491328", "996466748139491328")</f>
        <v/>
      </c>
      <c r="B312" s="2" t="n">
        <v>43235.79583333333</v>
      </c>
      <c r="C312" t="n">
        <v>0</v>
      </c>
      <c r="D312" t="n">
        <v>6</v>
      </c>
      <c r="E312" t="s">
        <v>321</v>
      </c>
      <c r="F312">
        <f>HYPERLINK("http://pbs.twimg.com/media/DdQb67tVMAA_mh6.jpg", "http://pbs.twimg.com/media/DdQb67tVMAA_mh6.jpg")</f>
        <v/>
      </c>
      <c r="G312" t="s"/>
      <c r="H312" t="s"/>
      <c r="I312" t="s"/>
      <c r="J312" t="n">
        <v>0.3612</v>
      </c>
      <c r="K312" t="n">
        <v>0</v>
      </c>
      <c r="L312" t="n">
        <v>0.889</v>
      </c>
      <c r="M312" t="n">
        <v>0.111</v>
      </c>
    </row>
    <row r="313" spans="1:13">
      <c r="A313" s="1">
        <f>HYPERLINK("http://www.twitter.com/NathanBLawrence/status/996402041793728513", "996402041793728513")</f>
        <v/>
      </c>
      <c r="B313" s="2" t="n">
        <v>43235.61728009259</v>
      </c>
      <c r="C313" t="n">
        <v>2</v>
      </c>
      <c r="D313" t="n">
        <v>0</v>
      </c>
      <c r="E313" t="s">
        <v>322</v>
      </c>
      <c r="F313" t="s"/>
      <c r="G313" t="s"/>
      <c r="H313" t="s"/>
      <c r="I313" t="s"/>
      <c r="J313" t="n">
        <v>0.6956</v>
      </c>
      <c r="K313" t="n">
        <v>0</v>
      </c>
      <c r="L313" t="n">
        <v>0.723</v>
      </c>
      <c r="M313" t="n">
        <v>0.277</v>
      </c>
    </row>
    <row r="314" spans="1:13">
      <c r="A314" s="1">
        <f>HYPERLINK("http://www.twitter.com/NathanBLawrence/status/996374478392299520", "996374478392299520")</f>
        <v/>
      </c>
      <c r="B314" s="2" t="n">
        <v>43235.54122685185</v>
      </c>
      <c r="C314" t="n">
        <v>0</v>
      </c>
      <c r="D314" t="n">
        <v>12</v>
      </c>
      <c r="E314" t="s">
        <v>323</v>
      </c>
      <c r="F314" t="s"/>
      <c r="G314" t="s"/>
      <c r="H314" t="s"/>
      <c r="I314" t="s"/>
      <c r="J314" t="n">
        <v>0.5106000000000001</v>
      </c>
      <c r="K314" t="n">
        <v>0.154</v>
      </c>
      <c r="L314" t="n">
        <v>0.609</v>
      </c>
      <c r="M314" t="n">
        <v>0.237</v>
      </c>
    </row>
    <row r="315" spans="1:13">
      <c r="A315" s="1">
        <f>HYPERLINK("http://www.twitter.com/NathanBLawrence/status/996374460063199240", "996374460063199240")</f>
        <v/>
      </c>
      <c r="B315" s="2" t="n">
        <v>43235.54116898148</v>
      </c>
      <c r="C315" t="n">
        <v>0</v>
      </c>
      <c r="D315" t="n">
        <v>3</v>
      </c>
      <c r="E315" t="s">
        <v>324</v>
      </c>
      <c r="F315" t="s"/>
      <c r="G315" t="s"/>
      <c r="H315" t="s"/>
      <c r="I315" t="s"/>
      <c r="J315" t="n">
        <v>0</v>
      </c>
      <c r="K315" t="n">
        <v>0</v>
      </c>
      <c r="L315" t="n">
        <v>1</v>
      </c>
      <c r="M315" t="n">
        <v>0</v>
      </c>
    </row>
    <row r="316" spans="1:13">
      <c r="A316" s="1">
        <f>HYPERLINK("http://www.twitter.com/NathanBLawrence/status/996374450366025729", "996374450366025729")</f>
        <v/>
      </c>
      <c r="B316" s="2" t="n">
        <v>43235.54114583333</v>
      </c>
      <c r="C316" t="n">
        <v>0</v>
      </c>
      <c r="D316" t="n">
        <v>2</v>
      </c>
      <c r="E316" t="s">
        <v>325</v>
      </c>
      <c r="F316" t="s"/>
      <c r="G316" t="s"/>
      <c r="H316" t="s"/>
      <c r="I316" t="s"/>
      <c r="J316" t="n">
        <v>-0.5719</v>
      </c>
      <c r="K316" t="n">
        <v>0.163</v>
      </c>
      <c r="L316" t="n">
        <v>0.837</v>
      </c>
      <c r="M316" t="n">
        <v>0</v>
      </c>
    </row>
    <row r="317" spans="1:13">
      <c r="A317" s="1">
        <f>HYPERLINK("http://www.twitter.com/NathanBLawrence/status/996374344627519490", "996374344627519490")</f>
        <v/>
      </c>
      <c r="B317" s="2" t="n">
        <v>43235.54085648148</v>
      </c>
      <c r="C317" t="n">
        <v>0</v>
      </c>
      <c r="D317" t="n">
        <v>20</v>
      </c>
      <c r="E317" t="s">
        <v>326</v>
      </c>
      <c r="F317">
        <f>HYPERLINK("http://pbs.twimg.com/media/DdPVGVJW0AUY99u.jpg", "http://pbs.twimg.com/media/DdPVGVJW0AUY99u.jpg")</f>
        <v/>
      </c>
      <c r="G317" t="s"/>
      <c r="H317" t="s"/>
      <c r="I317" t="s"/>
      <c r="J317" t="n">
        <v>-0.2732</v>
      </c>
      <c r="K317" t="n">
        <v>0.26</v>
      </c>
      <c r="L317" t="n">
        <v>0.554</v>
      </c>
      <c r="M317" t="n">
        <v>0.187</v>
      </c>
    </row>
    <row r="318" spans="1:13">
      <c r="A318" s="1">
        <f>HYPERLINK("http://www.twitter.com/NathanBLawrence/status/996374289287872512", "996374289287872512")</f>
        <v/>
      </c>
      <c r="B318" s="2" t="n">
        <v>43235.54069444445</v>
      </c>
      <c r="C318" t="n">
        <v>0</v>
      </c>
      <c r="D318" t="n">
        <v>16</v>
      </c>
      <c r="E318" t="s">
        <v>327</v>
      </c>
      <c r="F318" t="s"/>
      <c r="G318" t="s"/>
      <c r="H318" t="s"/>
      <c r="I318" t="s"/>
      <c r="J318" t="n">
        <v>0</v>
      </c>
      <c r="K318" t="n">
        <v>0</v>
      </c>
      <c r="L318" t="n">
        <v>1</v>
      </c>
      <c r="M318" t="n">
        <v>0</v>
      </c>
    </row>
    <row r="319" spans="1:13">
      <c r="A319" s="1">
        <f>HYPERLINK("http://www.twitter.com/NathanBLawrence/status/996374253573431296", "996374253573431296")</f>
        <v/>
      </c>
      <c r="B319" s="2" t="n">
        <v>43235.54060185186</v>
      </c>
      <c r="C319" t="n">
        <v>27</v>
      </c>
      <c r="D319" t="n">
        <v>20</v>
      </c>
      <c r="E319" t="s">
        <v>328</v>
      </c>
      <c r="F319">
        <f>HYPERLINK("http://pbs.twimg.com/media/DdPVGVJW0AUY99u.jpg", "http://pbs.twimg.com/media/DdPVGVJW0AUY99u.jpg")</f>
        <v/>
      </c>
      <c r="G319" t="s"/>
      <c r="H319" t="s"/>
      <c r="I319" t="s"/>
      <c r="J319" t="n">
        <v>-0.8176</v>
      </c>
      <c r="K319" t="n">
        <v>0.269</v>
      </c>
      <c r="L319" t="n">
        <v>0.633</v>
      </c>
      <c r="M319" t="n">
        <v>0.098</v>
      </c>
    </row>
    <row r="320" spans="1:13">
      <c r="A320" s="1">
        <f>HYPERLINK("http://www.twitter.com/NathanBLawrence/status/996372752712990720", "996372752712990720")</f>
        <v/>
      </c>
      <c r="B320" s="2" t="n">
        <v>43235.53645833334</v>
      </c>
      <c r="C320" t="n">
        <v>0</v>
      </c>
      <c r="D320" t="n">
        <v>4</v>
      </c>
      <c r="E320" t="s">
        <v>329</v>
      </c>
      <c r="F320">
        <f>HYPERLINK("http://pbs.twimg.com/media/DdPTArfUwAAb8dD.jpg", "http://pbs.twimg.com/media/DdPTArfUwAAb8dD.jpg")</f>
        <v/>
      </c>
      <c r="G320" t="s"/>
      <c r="H320" t="s"/>
      <c r="I320" t="s"/>
      <c r="J320" t="n">
        <v>0.4863</v>
      </c>
      <c r="K320" t="n">
        <v>0</v>
      </c>
      <c r="L320" t="n">
        <v>0.826</v>
      </c>
      <c r="M320" t="n">
        <v>0.174</v>
      </c>
    </row>
    <row r="321" spans="1:13">
      <c r="A321" s="1">
        <f>HYPERLINK("http://www.twitter.com/NathanBLawrence/status/996276791869362176", "996276791869362176")</f>
        <v/>
      </c>
      <c r="B321" s="2" t="n">
        <v>43235.27165509259</v>
      </c>
      <c r="C321" t="n">
        <v>2</v>
      </c>
      <c r="D321" t="n">
        <v>0</v>
      </c>
      <c r="E321" t="s">
        <v>330</v>
      </c>
      <c r="F321" t="s"/>
      <c r="G321" t="s"/>
      <c r="H321" t="s"/>
      <c r="I321" t="s"/>
      <c r="J321" t="n">
        <v>0</v>
      </c>
      <c r="K321" t="n">
        <v>0</v>
      </c>
      <c r="L321" t="n">
        <v>1</v>
      </c>
      <c r="M321" t="n">
        <v>0</v>
      </c>
    </row>
    <row r="322" spans="1:13">
      <c r="A322" s="1">
        <f>HYPERLINK("http://www.twitter.com/NathanBLawrence/status/996264834273628161", "996264834273628161")</f>
        <v/>
      </c>
      <c r="B322" s="2" t="n">
        <v>43235.2386574074</v>
      </c>
      <c r="C322" t="n">
        <v>0</v>
      </c>
      <c r="D322" t="n">
        <v>6</v>
      </c>
      <c r="E322" t="s">
        <v>331</v>
      </c>
      <c r="F322">
        <f>HYPERLINK("http://pbs.twimg.com/media/DdNqwjgWAAAM_bw.jpg", "http://pbs.twimg.com/media/DdNqwjgWAAAM_bw.jpg")</f>
        <v/>
      </c>
      <c r="G322" t="s"/>
      <c r="H322" t="s"/>
      <c r="I322" t="s"/>
      <c r="J322" t="n">
        <v>0</v>
      </c>
      <c r="K322" t="n">
        <v>0</v>
      </c>
      <c r="L322" t="n">
        <v>1</v>
      </c>
      <c r="M322" t="n">
        <v>0</v>
      </c>
    </row>
    <row r="323" spans="1:13">
      <c r="A323" s="1">
        <f>HYPERLINK("http://www.twitter.com/NathanBLawrence/status/996264796021542912", "996264796021542912")</f>
        <v/>
      </c>
      <c r="B323" s="2" t="n">
        <v>43235.23855324074</v>
      </c>
      <c r="C323" t="n">
        <v>0</v>
      </c>
      <c r="D323" t="n">
        <v>55</v>
      </c>
      <c r="E323" t="s">
        <v>332</v>
      </c>
      <c r="F323" t="s"/>
      <c r="G323" t="s"/>
      <c r="H323" t="s"/>
      <c r="I323" t="s"/>
      <c r="J323" t="n">
        <v>0</v>
      </c>
      <c r="K323" t="n">
        <v>0</v>
      </c>
      <c r="L323" t="n">
        <v>1</v>
      </c>
      <c r="M323" t="n">
        <v>0</v>
      </c>
    </row>
    <row r="324" spans="1:13">
      <c r="A324" s="1">
        <f>HYPERLINK("http://www.twitter.com/NathanBLawrence/status/996264779588296704", "996264779588296704")</f>
        <v/>
      </c>
      <c r="B324" s="2" t="n">
        <v>43235.23850694444</v>
      </c>
      <c r="C324" t="n">
        <v>0</v>
      </c>
      <c r="D324" t="n">
        <v>179</v>
      </c>
      <c r="E324" t="s">
        <v>333</v>
      </c>
      <c r="F324" t="s"/>
      <c r="G324" t="s"/>
      <c r="H324" t="s"/>
      <c r="I324" t="s"/>
      <c r="J324" t="n">
        <v>-0.3612</v>
      </c>
      <c r="K324" t="n">
        <v>0.098</v>
      </c>
      <c r="L324" t="n">
        <v>0.902</v>
      </c>
      <c r="M324" t="n">
        <v>0</v>
      </c>
    </row>
    <row r="325" spans="1:13">
      <c r="A325" s="1">
        <f>HYPERLINK("http://www.twitter.com/NathanBLawrence/status/996264764639793153", "996264764639793153")</f>
        <v/>
      </c>
      <c r="B325" s="2" t="n">
        <v>43235.23847222222</v>
      </c>
      <c r="C325" t="n">
        <v>0</v>
      </c>
      <c r="D325" t="n">
        <v>63</v>
      </c>
      <c r="E325" t="s">
        <v>334</v>
      </c>
      <c r="F325" t="s"/>
      <c r="G325" t="s"/>
      <c r="H325" t="s"/>
      <c r="I325" t="s"/>
      <c r="J325" t="n">
        <v>-0.296</v>
      </c>
      <c r="K325" t="n">
        <v>0.095</v>
      </c>
      <c r="L325" t="n">
        <v>0.905</v>
      </c>
      <c r="M325" t="n">
        <v>0</v>
      </c>
    </row>
    <row r="326" spans="1:13">
      <c r="A326" s="1">
        <f>HYPERLINK("http://www.twitter.com/NathanBLawrence/status/996264677742141440", "996264677742141440")</f>
        <v/>
      </c>
      <c r="B326" s="2" t="n">
        <v>43235.23822916667</v>
      </c>
      <c r="C326" t="n">
        <v>0</v>
      </c>
      <c r="D326" t="n">
        <v>25</v>
      </c>
      <c r="E326" t="s">
        <v>335</v>
      </c>
      <c r="F326" t="s"/>
      <c r="G326" t="s"/>
      <c r="H326" t="s"/>
      <c r="I326" t="s"/>
      <c r="J326" t="n">
        <v>0.0258</v>
      </c>
      <c r="K326" t="n">
        <v>0.114</v>
      </c>
      <c r="L326" t="n">
        <v>0.769</v>
      </c>
      <c r="M326" t="n">
        <v>0.117</v>
      </c>
    </row>
    <row r="327" spans="1:13">
      <c r="A327" s="1">
        <f>HYPERLINK("http://www.twitter.com/NathanBLawrence/status/996257382475976704", "996257382475976704")</f>
        <v/>
      </c>
      <c r="B327" s="2" t="n">
        <v>43235.21810185185</v>
      </c>
      <c r="C327" t="n">
        <v>0</v>
      </c>
      <c r="D327" t="n">
        <v>3</v>
      </c>
      <c r="E327" t="s">
        <v>336</v>
      </c>
      <c r="F327" t="s"/>
      <c r="G327" t="s"/>
      <c r="H327" t="s"/>
      <c r="I327" t="s"/>
      <c r="J327" t="n">
        <v>-0.296</v>
      </c>
      <c r="K327" t="n">
        <v>0.109</v>
      </c>
      <c r="L327" t="n">
        <v>0.891</v>
      </c>
      <c r="M327" t="n">
        <v>0</v>
      </c>
    </row>
    <row r="328" spans="1:13">
      <c r="A328" s="1">
        <f>HYPERLINK("http://www.twitter.com/NathanBLawrence/status/996257345645707264", "996257345645707264")</f>
        <v/>
      </c>
      <c r="B328" s="2" t="n">
        <v>43235.21799768518</v>
      </c>
      <c r="C328" t="n">
        <v>0</v>
      </c>
      <c r="D328" t="n">
        <v>6</v>
      </c>
      <c r="E328" t="s">
        <v>337</v>
      </c>
      <c r="F328" t="s"/>
      <c r="G328" t="s"/>
      <c r="H328" t="s"/>
      <c r="I328" t="s"/>
      <c r="J328" t="n">
        <v>0.3612</v>
      </c>
      <c r="K328" t="n">
        <v>0</v>
      </c>
      <c r="L328" t="n">
        <v>0.902</v>
      </c>
      <c r="M328" t="n">
        <v>0.098</v>
      </c>
    </row>
    <row r="329" spans="1:13">
      <c r="A329" s="1">
        <f>HYPERLINK("http://www.twitter.com/NathanBLawrence/status/996257331015974913", "996257331015974913")</f>
        <v/>
      </c>
      <c r="B329" s="2" t="n">
        <v>43235.21795138889</v>
      </c>
      <c r="C329" t="n">
        <v>8</v>
      </c>
      <c r="D329" t="n">
        <v>6</v>
      </c>
      <c r="E329" t="s">
        <v>338</v>
      </c>
      <c r="F329">
        <f>HYPERLINK("http://pbs.twimg.com/media/DdNqwjgWAAAM_bw.jpg", "http://pbs.twimg.com/media/DdNqwjgWAAAM_bw.jpg")</f>
        <v/>
      </c>
      <c r="G329" t="s"/>
      <c r="H329" t="s"/>
      <c r="I329" t="s"/>
      <c r="J329" t="n">
        <v>0</v>
      </c>
      <c r="K329" t="n">
        <v>0</v>
      </c>
      <c r="L329" t="n">
        <v>1</v>
      </c>
      <c r="M329" t="n">
        <v>0</v>
      </c>
    </row>
    <row r="330" spans="1:13">
      <c r="A330" s="1">
        <f>HYPERLINK("http://www.twitter.com/NathanBLawrence/status/996196971953246208", "996196971953246208")</f>
        <v/>
      </c>
      <c r="B330" s="2" t="n">
        <v>43235.05140046297</v>
      </c>
      <c r="C330" t="n">
        <v>0</v>
      </c>
      <c r="D330" t="n">
        <v>2</v>
      </c>
      <c r="E330" t="s">
        <v>339</v>
      </c>
      <c r="F330" t="s"/>
      <c r="G330" t="s"/>
      <c r="H330" t="s"/>
      <c r="I330" t="s"/>
      <c r="J330" t="n">
        <v>0</v>
      </c>
      <c r="K330" t="n">
        <v>0</v>
      </c>
      <c r="L330" t="n">
        <v>1</v>
      </c>
      <c r="M330" t="n">
        <v>0</v>
      </c>
    </row>
    <row r="331" spans="1:13">
      <c r="A331" s="1">
        <f>HYPERLINK("http://www.twitter.com/NathanBLawrence/status/996196956354613250", "996196956354613250")</f>
        <v/>
      </c>
      <c r="B331" s="2" t="n">
        <v>43235.05135416667</v>
      </c>
      <c r="C331" t="n">
        <v>0</v>
      </c>
      <c r="D331" t="n">
        <v>2</v>
      </c>
      <c r="E331" t="s">
        <v>340</v>
      </c>
      <c r="F331" t="s"/>
      <c r="G331" t="s"/>
      <c r="H331" t="s"/>
      <c r="I331" t="s"/>
      <c r="J331" t="n">
        <v>0.6732</v>
      </c>
      <c r="K331" t="n">
        <v>0.067</v>
      </c>
      <c r="L331" t="n">
        <v>0.6840000000000001</v>
      </c>
      <c r="M331" t="n">
        <v>0.249</v>
      </c>
    </row>
    <row r="332" spans="1:13">
      <c r="A332" s="1">
        <f>HYPERLINK("http://www.twitter.com/NathanBLawrence/status/996196257415811072", "996196257415811072")</f>
        <v/>
      </c>
      <c r="B332" s="2" t="n">
        <v>43235.04942129629</v>
      </c>
      <c r="C332" t="n">
        <v>0</v>
      </c>
      <c r="D332" t="n">
        <v>2</v>
      </c>
      <c r="E332" t="s">
        <v>341</v>
      </c>
      <c r="F332" t="s"/>
      <c r="G332" t="s"/>
      <c r="H332" t="s"/>
      <c r="I332" t="s"/>
      <c r="J332" t="n">
        <v>-0.4023</v>
      </c>
      <c r="K332" t="n">
        <v>0.137</v>
      </c>
      <c r="L332" t="n">
        <v>0.863</v>
      </c>
      <c r="M332" t="n">
        <v>0</v>
      </c>
    </row>
    <row r="333" spans="1:13">
      <c r="A333" s="1">
        <f>HYPERLINK("http://www.twitter.com/NathanBLawrence/status/996195812773330944", "996195812773330944")</f>
        <v/>
      </c>
      <c r="B333" s="2" t="n">
        <v>43235.04819444445</v>
      </c>
      <c r="C333" t="n">
        <v>0</v>
      </c>
      <c r="D333" t="n">
        <v>12</v>
      </c>
      <c r="E333" t="s">
        <v>342</v>
      </c>
      <c r="F333" t="s"/>
      <c r="G333" t="s"/>
      <c r="H333" t="s"/>
      <c r="I333" t="s"/>
      <c r="J333" t="n">
        <v>-0.6249</v>
      </c>
      <c r="K333" t="n">
        <v>0.242</v>
      </c>
      <c r="L333" t="n">
        <v>0.758</v>
      </c>
      <c r="M333" t="n">
        <v>0</v>
      </c>
    </row>
    <row r="334" spans="1:13">
      <c r="A334" s="1">
        <f>HYPERLINK("http://www.twitter.com/NathanBLawrence/status/996195747350700033", "996195747350700033")</f>
        <v/>
      </c>
      <c r="B334" s="2" t="n">
        <v>43235.04802083333</v>
      </c>
      <c r="C334" t="n">
        <v>0</v>
      </c>
      <c r="D334" t="n">
        <v>6</v>
      </c>
      <c r="E334" t="s">
        <v>343</v>
      </c>
      <c r="F334" t="s"/>
      <c r="G334" t="s"/>
      <c r="H334" t="s"/>
      <c r="I334" t="s"/>
      <c r="J334" t="n">
        <v>-0.6573</v>
      </c>
      <c r="K334" t="n">
        <v>0.204</v>
      </c>
      <c r="L334" t="n">
        <v>0.796</v>
      </c>
      <c r="M334" t="n">
        <v>0</v>
      </c>
    </row>
    <row r="335" spans="1:13">
      <c r="A335" s="1">
        <f>HYPERLINK("http://www.twitter.com/NathanBLawrence/status/996195638634262529", "996195638634262529")</f>
        <v/>
      </c>
      <c r="B335" s="2" t="n">
        <v>43235.04771990741</v>
      </c>
      <c r="C335" t="n">
        <v>0</v>
      </c>
      <c r="D335" t="n">
        <v>13</v>
      </c>
      <c r="E335" t="s">
        <v>344</v>
      </c>
      <c r="F335" t="s"/>
      <c r="G335" t="s"/>
      <c r="H335" t="s"/>
      <c r="I335" t="s"/>
      <c r="J335" t="n">
        <v>-0.5859</v>
      </c>
      <c r="K335" t="n">
        <v>0.202</v>
      </c>
      <c r="L335" t="n">
        <v>0.798</v>
      </c>
      <c r="M335" t="n">
        <v>0</v>
      </c>
    </row>
    <row r="336" spans="1:13">
      <c r="A336" s="1">
        <f>HYPERLINK("http://www.twitter.com/NathanBLawrence/status/996195474712465414", "996195474712465414")</f>
        <v/>
      </c>
      <c r="B336" s="2" t="n">
        <v>43235.04726851852</v>
      </c>
      <c r="C336" t="n">
        <v>0</v>
      </c>
      <c r="D336" t="n">
        <v>22</v>
      </c>
      <c r="E336" t="s">
        <v>345</v>
      </c>
      <c r="F336" t="s"/>
      <c r="G336" t="s"/>
      <c r="H336" t="s"/>
      <c r="I336" t="s"/>
      <c r="J336" t="n">
        <v>0</v>
      </c>
      <c r="K336" t="n">
        <v>0</v>
      </c>
      <c r="L336" t="n">
        <v>1</v>
      </c>
      <c r="M336" t="n">
        <v>0</v>
      </c>
    </row>
    <row r="337" spans="1:13">
      <c r="A337" s="1">
        <f>HYPERLINK("http://www.twitter.com/NathanBLawrence/status/996195434770190337", "996195434770190337")</f>
        <v/>
      </c>
      <c r="B337" s="2" t="n">
        <v>43235.04715277778</v>
      </c>
      <c r="C337" t="n">
        <v>0</v>
      </c>
      <c r="D337" t="n">
        <v>6</v>
      </c>
      <c r="E337" t="s">
        <v>346</v>
      </c>
      <c r="F337" t="s"/>
      <c r="G337" t="s"/>
      <c r="H337" t="s"/>
      <c r="I337" t="s"/>
      <c r="J337" t="n">
        <v>0.128</v>
      </c>
      <c r="K337" t="n">
        <v>0.091</v>
      </c>
      <c r="L337" t="n">
        <v>0.798</v>
      </c>
      <c r="M337" t="n">
        <v>0.11</v>
      </c>
    </row>
    <row r="338" spans="1:13">
      <c r="A338" s="1">
        <f>HYPERLINK("http://www.twitter.com/NathanBLawrence/status/996195383838695424", "996195383838695424")</f>
        <v/>
      </c>
      <c r="B338" s="2" t="n">
        <v>43235.04701388889</v>
      </c>
      <c r="C338" t="n">
        <v>1</v>
      </c>
      <c r="D338" t="n">
        <v>0</v>
      </c>
      <c r="E338" t="s">
        <v>347</v>
      </c>
      <c r="F338" t="s"/>
      <c r="G338" t="s"/>
      <c r="H338" t="s"/>
      <c r="I338" t="s"/>
      <c r="J338" t="n">
        <v>0</v>
      </c>
      <c r="K338" t="n">
        <v>0</v>
      </c>
      <c r="L338" t="n">
        <v>1</v>
      </c>
      <c r="M338" t="n">
        <v>0</v>
      </c>
    </row>
    <row r="339" spans="1:13">
      <c r="A339" s="1">
        <f>HYPERLINK("http://www.twitter.com/NathanBLawrence/status/996195281271173121", "996195281271173121")</f>
        <v/>
      </c>
      <c r="B339" s="2" t="n">
        <v>43235.04673611111</v>
      </c>
      <c r="C339" t="n">
        <v>0</v>
      </c>
      <c r="D339" t="n">
        <v>482</v>
      </c>
      <c r="E339" t="s">
        <v>348</v>
      </c>
      <c r="F339" t="s"/>
      <c r="G339" t="s"/>
      <c r="H339" t="s"/>
      <c r="I339" t="s"/>
      <c r="J339" t="n">
        <v>0.4588</v>
      </c>
      <c r="K339" t="n">
        <v>0.08</v>
      </c>
      <c r="L339" t="n">
        <v>0.763</v>
      </c>
      <c r="M339" t="n">
        <v>0.156</v>
      </c>
    </row>
    <row r="340" spans="1:13">
      <c r="A340" s="1">
        <f>HYPERLINK("http://www.twitter.com/NathanBLawrence/status/996195235037401089", "996195235037401089")</f>
        <v/>
      </c>
      <c r="B340" s="2" t="n">
        <v>43235.0466087963</v>
      </c>
      <c r="C340" t="n">
        <v>0</v>
      </c>
      <c r="D340" t="n">
        <v>1</v>
      </c>
      <c r="E340" t="s">
        <v>349</v>
      </c>
      <c r="F340" t="s"/>
      <c r="G340" t="s"/>
      <c r="H340" t="s"/>
      <c r="I340" t="s"/>
      <c r="J340" t="n">
        <v>-0.5848</v>
      </c>
      <c r="K340" t="n">
        <v>0.159</v>
      </c>
      <c r="L340" t="n">
        <v>0.841</v>
      </c>
      <c r="M340" t="n">
        <v>0</v>
      </c>
    </row>
    <row r="341" spans="1:13">
      <c r="A341" s="1">
        <f>HYPERLINK("http://www.twitter.com/NathanBLawrence/status/996195157274955776", "996195157274955776")</f>
        <v/>
      </c>
      <c r="B341" s="2" t="n">
        <v>43235.04638888889</v>
      </c>
      <c r="C341" t="n">
        <v>0</v>
      </c>
      <c r="D341" t="n">
        <v>30</v>
      </c>
      <c r="E341" t="s">
        <v>350</v>
      </c>
      <c r="F341" t="s"/>
      <c r="G341" t="s"/>
      <c r="H341" t="s"/>
      <c r="I341" t="s"/>
      <c r="J341" t="n">
        <v>-0.3182</v>
      </c>
      <c r="K341" t="n">
        <v>0.209</v>
      </c>
      <c r="L341" t="n">
        <v>0.672</v>
      </c>
      <c r="M341" t="n">
        <v>0.119</v>
      </c>
    </row>
    <row r="342" spans="1:13">
      <c r="A342" s="1">
        <f>HYPERLINK("http://www.twitter.com/NathanBLawrence/status/996194887929298944", "996194887929298944")</f>
        <v/>
      </c>
      <c r="B342" s="2" t="n">
        <v>43235.04564814815</v>
      </c>
      <c r="C342" t="n">
        <v>0</v>
      </c>
      <c r="D342" t="n">
        <v>36</v>
      </c>
      <c r="E342" t="s">
        <v>351</v>
      </c>
      <c r="F342">
        <f>HYPERLINK("http://pbs.twimg.com/media/DdMo_hGWAAA9-6q.jpg", "http://pbs.twimg.com/media/DdMo_hGWAAA9-6q.jpg")</f>
        <v/>
      </c>
      <c r="G342" t="s"/>
      <c r="H342" t="s"/>
      <c r="I342" t="s"/>
      <c r="J342" t="n">
        <v>-0.3578</v>
      </c>
      <c r="K342" t="n">
        <v>0.112</v>
      </c>
      <c r="L342" t="n">
        <v>0.837</v>
      </c>
      <c r="M342" t="n">
        <v>0.05</v>
      </c>
    </row>
    <row r="343" spans="1:13">
      <c r="A343" s="1">
        <f>HYPERLINK("http://www.twitter.com/NathanBLawrence/status/996194836242890753", "996194836242890753")</f>
        <v/>
      </c>
      <c r="B343" s="2" t="n">
        <v>43235.04550925926</v>
      </c>
      <c r="C343" t="n">
        <v>0</v>
      </c>
      <c r="D343" t="n">
        <v>32</v>
      </c>
      <c r="E343" t="s">
        <v>352</v>
      </c>
      <c r="F343" t="s"/>
      <c r="G343" t="s"/>
      <c r="H343" t="s"/>
      <c r="I343" t="s"/>
      <c r="J343" t="n">
        <v>-0.6486</v>
      </c>
      <c r="K343" t="n">
        <v>0.202</v>
      </c>
      <c r="L343" t="n">
        <v>0.798</v>
      </c>
      <c r="M343" t="n">
        <v>0</v>
      </c>
    </row>
    <row r="344" spans="1:13">
      <c r="A344" s="1">
        <f>HYPERLINK("http://www.twitter.com/NathanBLawrence/status/996194820308852736", "996194820308852736")</f>
        <v/>
      </c>
      <c r="B344" s="2" t="n">
        <v>43235.04546296296</v>
      </c>
      <c r="C344" t="n">
        <v>0</v>
      </c>
      <c r="D344" t="n">
        <v>30</v>
      </c>
      <c r="E344" t="s">
        <v>353</v>
      </c>
      <c r="F344" t="s"/>
      <c r="G344" t="s"/>
      <c r="H344" t="s"/>
      <c r="I344" t="s"/>
      <c r="J344" t="n">
        <v>-0.6124000000000001</v>
      </c>
      <c r="K344" t="n">
        <v>0.185</v>
      </c>
      <c r="L344" t="n">
        <v>0.8149999999999999</v>
      </c>
      <c r="M344" t="n">
        <v>0</v>
      </c>
    </row>
    <row r="345" spans="1:13">
      <c r="A345" s="1">
        <f>HYPERLINK("http://www.twitter.com/NathanBLawrence/status/996139777836675072", "996139777836675072")</f>
        <v/>
      </c>
      <c r="B345" s="2" t="n">
        <v>43234.89357638889</v>
      </c>
      <c r="C345" t="n">
        <v>4</v>
      </c>
      <c r="D345" t="n">
        <v>3</v>
      </c>
      <c r="E345" t="s">
        <v>354</v>
      </c>
      <c r="F345">
        <f>HYPERLINK("http://pbs.twimg.com/media/DdL_1_OXkAAZK42.jpg", "http://pbs.twimg.com/media/DdL_1_OXkAAZK42.jpg")</f>
        <v/>
      </c>
      <c r="G345" t="s"/>
      <c r="H345" t="s"/>
      <c r="I345" t="s"/>
      <c r="J345" t="n">
        <v>-0.6124000000000001</v>
      </c>
      <c r="K345" t="n">
        <v>0.122</v>
      </c>
      <c r="L345" t="n">
        <v>0.878</v>
      </c>
      <c r="M345" t="n">
        <v>0</v>
      </c>
    </row>
    <row r="346" spans="1:13">
      <c r="A346" s="1">
        <f>HYPERLINK("http://www.twitter.com/NathanBLawrence/status/996139255465435136", "996139255465435136")</f>
        <v/>
      </c>
      <c r="B346" s="2" t="n">
        <v>43234.89212962963</v>
      </c>
      <c r="C346" t="n">
        <v>0</v>
      </c>
      <c r="D346" t="n">
        <v>25</v>
      </c>
      <c r="E346" t="s">
        <v>355</v>
      </c>
      <c r="F346">
        <f>HYPERLINK("http://pbs.twimg.com/media/DdL_Qf5WkAAFmlm.jpg", "http://pbs.twimg.com/media/DdL_Qf5WkAAFmlm.jpg")</f>
        <v/>
      </c>
      <c r="G346" t="s"/>
      <c r="H346" t="s"/>
      <c r="I346" t="s"/>
      <c r="J346" t="n">
        <v>-0.4184</v>
      </c>
      <c r="K346" t="n">
        <v>0.108</v>
      </c>
      <c r="L346" t="n">
        <v>0.892</v>
      </c>
      <c r="M346" t="n">
        <v>0</v>
      </c>
    </row>
    <row r="347" spans="1:13">
      <c r="A347" s="1">
        <f>HYPERLINK("http://www.twitter.com/NathanBLawrence/status/996139134036119553", "996139134036119553")</f>
        <v/>
      </c>
      <c r="B347" s="2" t="n">
        <v>43234.89179398148</v>
      </c>
      <c r="C347" t="n">
        <v>37</v>
      </c>
      <c r="D347" t="n">
        <v>25</v>
      </c>
      <c r="E347" t="s">
        <v>356</v>
      </c>
      <c r="F347">
        <f>HYPERLINK("http://pbs.twimg.com/media/DdL_Qf5WkAAFmlm.jpg", "http://pbs.twimg.com/media/DdL_Qf5WkAAFmlm.jpg")</f>
        <v/>
      </c>
      <c r="G347" t="s"/>
      <c r="H347" t="s"/>
      <c r="I347" t="s"/>
      <c r="J347" t="n">
        <v>-0.5145</v>
      </c>
      <c r="K347" t="n">
        <v>0.106</v>
      </c>
      <c r="L347" t="n">
        <v>0.894</v>
      </c>
      <c r="M347" t="n">
        <v>0</v>
      </c>
    </row>
    <row r="348" spans="1:13">
      <c r="A348" s="1">
        <f>HYPERLINK("http://www.twitter.com/NathanBLawrence/status/996116619469484034", "996116619469484034")</f>
        <v/>
      </c>
      <c r="B348" s="2" t="n">
        <v>43234.82966435186</v>
      </c>
      <c r="C348" t="n">
        <v>0</v>
      </c>
      <c r="D348" t="n">
        <v>22</v>
      </c>
      <c r="E348" t="s">
        <v>357</v>
      </c>
      <c r="F348" t="s"/>
      <c r="G348" t="s"/>
      <c r="H348" t="s"/>
      <c r="I348" t="s"/>
      <c r="J348" t="n">
        <v>0.5859</v>
      </c>
      <c r="K348" t="n">
        <v>0</v>
      </c>
      <c r="L348" t="n">
        <v>0.821</v>
      </c>
      <c r="M348" t="n">
        <v>0.179</v>
      </c>
    </row>
    <row r="349" spans="1:13">
      <c r="A349" s="1">
        <f>HYPERLINK("http://www.twitter.com/NathanBLawrence/status/996012786026151937", "996012786026151937")</f>
        <v/>
      </c>
      <c r="B349" s="2" t="n">
        <v>43234.54313657407</v>
      </c>
      <c r="C349" t="n">
        <v>0</v>
      </c>
      <c r="D349" t="n">
        <v>5</v>
      </c>
      <c r="E349" t="s">
        <v>358</v>
      </c>
      <c r="F349">
        <f>HYPERLINK("http://pbs.twimg.com/media/DdKLOGUU8AA0_mR.jpg", "http://pbs.twimg.com/media/DdKLOGUU8AA0_mR.jpg")</f>
        <v/>
      </c>
      <c r="G349" t="s"/>
      <c r="H349" t="s"/>
      <c r="I349" t="s"/>
      <c r="J349" t="n">
        <v>-0.5994</v>
      </c>
      <c r="K349" t="n">
        <v>0.234</v>
      </c>
      <c r="L349" t="n">
        <v>0.679</v>
      </c>
      <c r="M349" t="n">
        <v>0.08699999999999999</v>
      </c>
    </row>
    <row r="350" spans="1:13">
      <c r="A350" s="1">
        <f>HYPERLINK("http://www.twitter.com/NathanBLawrence/status/996012762571698176", "996012762571698176")</f>
        <v/>
      </c>
      <c r="B350" s="2" t="n">
        <v>43234.5430787037</v>
      </c>
      <c r="C350" t="n">
        <v>0</v>
      </c>
      <c r="D350" t="n">
        <v>135</v>
      </c>
      <c r="E350" t="s">
        <v>359</v>
      </c>
      <c r="F350" t="s"/>
      <c r="G350" t="s"/>
      <c r="H350" t="s"/>
      <c r="I350" t="s"/>
      <c r="J350" t="n">
        <v>0</v>
      </c>
      <c r="K350" t="n">
        <v>0</v>
      </c>
      <c r="L350" t="n">
        <v>1</v>
      </c>
      <c r="M350" t="n">
        <v>0</v>
      </c>
    </row>
    <row r="351" spans="1:13">
      <c r="A351" s="1">
        <f>HYPERLINK("http://www.twitter.com/NathanBLawrence/status/996012618765815808", "996012618765815808")</f>
        <v/>
      </c>
      <c r="B351" s="2" t="n">
        <v>43234.54267361111</v>
      </c>
      <c r="C351" t="n">
        <v>0</v>
      </c>
      <c r="D351" t="n">
        <v>7</v>
      </c>
      <c r="E351" t="s">
        <v>360</v>
      </c>
      <c r="F351">
        <f>HYPERLINK("http://pbs.twimg.com/media/DdKJnYcU8AAcCk7.jpg", "http://pbs.twimg.com/media/DdKJnYcU8AAcCk7.jpg")</f>
        <v/>
      </c>
      <c r="G351" t="s"/>
      <c r="H351" t="s"/>
      <c r="I351" t="s"/>
      <c r="J351" t="n">
        <v>0.8555</v>
      </c>
      <c r="K351" t="n">
        <v>0</v>
      </c>
      <c r="L351" t="n">
        <v>0.644</v>
      </c>
      <c r="M351" t="n">
        <v>0.356</v>
      </c>
    </row>
    <row r="352" spans="1:13">
      <c r="A352" s="1">
        <f>HYPERLINK("http://www.twitter.com/NathanBLawrence/status/996012137331003392", "996012137331003392")</f>
        <v/>
      </c>
      <c r="B352" s="2" t="n">
        <v>43234.54135416666</v>
      </c>
      <c r="C352" t="n">
        <v>0</v>
      </c>
      <c r="D352" t="n">
        <v>5526</v>
      </c>
      <c r="E352" t="s">
        <v>361</v>
      </c>
      <c r="F352">
        <f>HYPERLINK("http://pbs.twimg.com/media/DdGo4k0X4AAireL.jpg", "http://pbs.twimg.com/media/DdGo4k0X4AAireL.jpg")</f>
        <v/>
      </c>
      <c r="G352">
        <f>HYPERLINK("http://pbs.twimg.com/media/DdGo4kBWsAcnRnr.jpg", "http://pbs.twimg.com/media/DdGo4kBWsAcnRnr.jpg")</f>
        <v/>
      </c>
      <c r="H352">
        <f>HYPERLINK("http://pbs.twimg.com/media/DdGo4jzX0AAF2vb.jpg", "http://pbs.twimg.com/media/DdGo4jzX0AAF2vb.jpg")</f>
        <v/>
      </c>
      <c r="I352" t="s"/>
      <c r="J352" t="n">
        <v>0.5719</v>
      </c>
      <c r="K352" t="n">
        <v>0</v>
      </c>
      <c r="L352" t="n">
        <v>0.844</v>
      </c>
      <c r="M352" t="n">
        <v>0.156</v>
      </c>
    </row>
    <row r="353" spans="1:13">
      <c r="A353" s="1">
        <f>HYPERLINK("http://www.twitter.com/NathanBLawrence/status/996012012030308352", "996012012030308352")</f>
        <v/>
      </c>
      <c r="B353" s="2" t="n">
        <v>43234.54100694445</v>
      </c>
      <c r="C353" t="n">
        <v>1</v>
      </c>
      <c r="D353" t="n">
        <v>0</v>
      </c>
      <c r="E353" t="s">
        <v>362</v>
      </c>
      <c r="F353" t="s"/>
      <c r="G353" t="s"/>
      <c r="H353" t="s"/>
      <c r="I353" t="s"/>
      <c r="J353" t="n">
        <v>-0.6956</v>
      </c>
      <c r="K353" t="n">
        <v>0.242</v>
      </c>
      <c r="L353" t="n">
        <v>0.758</v>
      </c>
      <c r="M353" t="n">
        <v>0</v>
      </c>
    </row>
    <row r="354" spans="1:13">
      <c r="A354" s="1">
        <f>HYPERLINK("http://www.twitter.com/NathanBLawrence/status/996011841347375104", "996011841347375104")</f>
        <v/>
      </c>
      <c r="B354" s="2" t="n">
        <v>43234.54053240741</v>
      </c>
      <c r="C354" t="n">
        <v>1</v>
      </c>
      <c r="D354" t="n">
        <v>0</v>
      </c>
      <c r="E354" t="s">
        <v>363</v>
      </c>
      <c r="F354" t="s"/>
      <c r="G354" t="s"/>
      <c r="H354" t="s"/>
      <c r="I354" t="s"/>
      <c r="J354" t="n">
        <v>0</v>
      </c>
      <c r="K354" t="n">
        <v>0</v>
      </c>
      <c r="L354" t="n">
        <v>1</v>
      </c>
      <c r="M354" t="n">
        <v>0</v>
      </c>
    </row>
    <row r="355" spans="1:13">
      <c r="A355" s="1">
        <f>HYPERLINK("http://www.twitter.com/NathanBLawrence/status/996011732031197184", "996011732031197184")</f>
        <v/>
      </c>
      <c r="B355" s="2" t="n">
        <v>43234.54023148148</v>
      </c>
      <c r="C355" t="n">
        <v>0</v>
      </c>
      <c r="D355" t="n">
        <v>36</v>
      </c>
      <c r="E355" t="s">
        <v>364</v>
      </c>
      <c r="F355" t="s"/>
      <c r="G355" t="s"/>
      <c r="H355" t="s"/>
      <c r="I355" t="s"/>
      <c r="J355" t="n">
        <v>-0.3818</v>
      </c>
      <c r="K355" t="n">
        <v>0.146</v>
      </c>
      <c r="L355" t="n">
        <v>0.854</v>
      </c>
      <c r="M355" t="n">
        <v>0</v>
      </c>
    </row>
    <row r="356" spans="1:13">
      <c r="A356" s="1">
        <f>HYPERLINK("http://www.twitter.com/NathanBLawrence/status/996011613378445312", "996011613378445312")</f>
        <v/>
      </c>
      <c r="B356" s="2" t="n">
        <v>43234.53990740741</v>
      </c>
      <c r="C356" t="n">
        <v>0</v>
      </c>
      <c r="D356" t="n">
        <v>3161</v>
      </c>
      <c r="E356" t="s">
        <v>365</v>
      </c>
      <c r="F356" t="s"/>
      <c r="G356" t="s"/>
      <c r="H356" t="s"/>
      <c r="I356" t="s"/>
      <c r="J356" t="n">
        <v>-0.4019</v>
      </c>
      <c r="K356" t="n">
        <v>0.403</v>
      </c>
      <c r="L356" t="n">
        <v>0.597</v>
      </c>
      <c r="M356" t="n">
        <v>0</v>
      </c>
    </row>
    <row r="357" spans="1:13">
      <c r="A357" s="1">
        <f>HYPERLINK("http://www.twitter.com/NathanBLawrence/status/996011258074816518", "996011258074816518")</f>
        <v/>
      </c>
      <c r="B357" s="2" t="n">
        <v>43234.53892361111</v>
      </c>
      <c r="C357" t="n">
        <v>0</v>
      </c>
      <c r="D357" t="n">
        <v>1968</v>
      </c>
      <c r="E357" t="s">
        <v>366</v>
      </c>
      <c r="F357" t="s"/>
      <c r="G357" t="s"/>
      <c r="H357" t="s"/>
      <c r="I357" t="s"/>
      <c r="J357" t="n">
        <v>-0.7579</v>
      </c>
      <c r="K357" t="n">
        <v>0.236</v>
      </c>
      <c r="L357" t="n">
        <v>0.764</v>
      </c>
      <c r="M357" t="n">
        <v>0</v>
      </c>
    </row>
    <row r="358" spans="1:13">
      <c r="A358" s="1">
        <f>HYPERLINK("http://www.twitter.com/NathanBLawrence/status/996011139833237505", "996011139833237505")</f>
        <v/>
      </c>
      <c r="B358" s="2" t="n">
        <v>43234.53859953704</v>
      </c>
      <c r="C358" t="n">
        <v>0</v>
      </c>
      <c r="D358" t="n">
        <v>360</v>
      </c>
      <c r="E358" t="s">
        <v>367</v>
      </c>
      <c r="F358" t="s"/>
      <c r="G358" t="s"/>
      <c r="H358" t="s"/>
      <c r="I358" t="s"/>
      <c r="J358" t="n">
        <v>0</v>
      </c>
      <c r="K358" t="n">
        <v>0</v>
      </c>
      <c r="L358" t="n">
        <v>1</v>
      </c>
      <c r="M358" t="n">
        <v>0</v>
      </c>
    </row>
    <row r="359" spans="1:13">
      <c r="A359" s="1">
        <f>HYPERLINK("http://www.twitter.com/NathanBLawrence/status/996011080215416833", "996011080215416833")</f>
        <v/>
      </c>
      <c r="B359" s="2" t="n">
        <v>43234.5384375</v>
      </c>
      <c r="C359" t="n">
        <v>0</v>
      </c>
      <c r="D359" t="n">
        <v>15</v>
      </c>
      <c r="E359" t="s">
        <v>368</v>
      </c>
      <c r="F359">
        <f>HYPERLINK("http://pbs.twimg.com/media/DdKKwCDW4AEa_tu.jpg", "http://pbs.twimg.com/media/DdKKwCDW4AEa_tu.jpg")</f>
        <v/>
      </c>
      <c r="G359" t="s"/>
      <c r="H359" t="s"/>
      <c r="I359" t="s"/>
      <c r="J359" t="n">
        <v>-0.2732</v>
      </c>
      <c r="K359" t="n">
        <v>0.095</v>
      </c>
      <c r="L359" t="n">
        <v>0.905</v>
      </c>
      <c r="M359" t="n">
        <v>0</v>
      </c>
    </row>
    <row r="360" spans="1:13">
      <c r="A360" s="1">
        <f>HYPERLINK("http://www.twitter.com/NathanBLawrence/status/996009530017353734", "996009530017353734")</f>
        <v/>
      </c>
      <c r="B360" s="2" t="n">
        <v>43234.5341550926</v>
      </c>
      <c r="C360" t="n">
        <v>0</v>
      </c>
      <c r="D360" t="n">
        <v>4</v>
      </c>
      <c r="E360" t="s">
        <v>369</v>
      </c>
      <c r="F360" t="s"/>
      <c r="G360" t="s"/>
      <c r="H360" t="s"/>
      <c r="I360" t="s"/>
      <c r="J360" t="n">
        <v>-0.2212</v>
      </c>
      <c r="K360" t="n">
        <v>0.131</v>
      </c>
      <c r="L360" t="n">
        <v>0.773</v>
      </c>
      <c r="M360" t="n">
        <v>0.097</v>
      </c>
    </row>
    <row r="361" spans="1:13">
      <c r="A361" s="1">
        <f>HYPERLINK("http://www.twitter.com/NathanBLawrence/status/996009419115819008", "996009419115819008")</f>
        <v/>
      </c>
      <c r="B361" s="2" t="n">
        <v>43234.53385416666</v>
      </c>
      <c r="C361" t="n">
        <v>0</v>
      </c>
      <c r="D361" t="n">
        <v>9</v>
      </c>
      <c r="E361" t="s">
        <v>370</v>
      </c>
      <c r="F361" t="s"/>
      <c r="G361" t="s"/>
      <c r="H361" t="s"/>
      <c r="I361" t="s"/>
      <c r="J361" t="n">
        <v>0</v>
      </c>
      <c r="K361" t="n">
        <v>0.146</v>
      </c>
      <c r="L361" t="n">
        <v>0.669</v>
      </c>
      <c r="M361" t="n">
        <v>0.185</v>
      </c>
    </row>
    <row r="362" spans="1:13">
      <c r="A362" s="1">
        <f>HYPERLINK("http://www.twitter.com/NathanBLawrence/status/996009353948909568", "996009353948909568")</f>
        <v/>
      </c>
      <c r="B362" s="2" t="n">
        <v>43234.53366898148</v>
      </c>
      <c r="C362" t="n">
        <v>0</v>
      </c>
      <c r="D362" t="n">
        <v>65</v>
      </c>
      <c r="E362" t="s">
        <v>371</v>
      </c>
      <c r="F362" t="s"/>
      <c r="G362" t="s"/>
      <c r="H362" t="s"/>
      <c r="I362" t="s"/>
      <c r="J362" t="n">
        <v>-0.7579</v>
      </c>
      <c r="K362" t="n">
        <v>0.255</v>
      </c>
      <c r="L362" t="n">
        <v>0.745</v>
      </c>
      <c r="M362" t="n">
        <v>0</v>
      </c>
    </row>
    <row r="363" spans="1:13">
      <c r="A363" s="1">
        <f>HYPERLINK("http://www.twitter.com/NathanBLawrence/status/996009310223290369", "996009310223290369")</f>
        <v/>
      </c>
      <c r="B363" s="2" t="n">
        <v>43234.53355324074</v>
      </c>
      <c r="C363" t="n">
        <v>0</v>
      </c>
      <c r="D363" t="n">
        <v>53</v>
      </c>
      <c r="E363" t="s">
        <v>372</v>
      </c>
      <c r="F363">
        <f>HYPERLINK("http://pbs.twimg.com/media/Dc67ehGU8AAZQMv.jpg", "http://pbs.twimg.com/media/Dc67ehGU8AAZQMv.jpg")</f>
        <v/>
      </c>
      <c r="G363" t="s"/>
      <c r="H363" t="s"/>
      <c r="I363" t="s"/>
      <c r="J363" t="n">
        <v>-0.7783</v>
      </c>
      <c r="K363" t="n">
        <v>0.286</v>
      </c>
      <c r="L363" t="n">
        <v>0.714</v>
      </c>
      <c r="M363" t="n">
        <v>0</v>
      </c>
    </row>
    <row r="364" spans="1:13">
      <c r="A364" s="1">
        <f>HYPERLINK("http://www.twitter.com/NathanBLawrence/status/996009284390543360", "996009284390543360")</f>
        <v/>
      </c>
      <c r="B364" s="2" t="n">
        <v>43234.53348379629</v>
      </c>
      <c r="C364" t="n">
        <v>0</v>
      </c>
      <c r="D364" t="n">
        <v>10</v>
      </c>
      <c r="E364" t="s">
        <v>373</v>
      </c>
      <c r="F364">
        <f>HYPERLINK("http://pbs.twimg.com/media/Dcnt56NVAAABA8g.jpg", "http://pbs.twimg.com/media/Dcnt56NVAAABA8g.jpg")</f>
        <v/>
      </c>
      <c r="G364" t="s"/>
      <c r="H364" t="s"/>
      <c r="I364" t="s"/>
      <c r="J364" t="n">
        <v>0.5052</v>
      </c>
      <c r="K364" t="n">
        <v>0.108</v>
      </c>
      <c r="L364" t="n">
        <v>0.627</v>
      </c>
      <c r="M364" t="n">
        <v>0.265</v>
      </c>
    </row>
    <row r="365" spans="1:13">
      <c r="A365" s="1">
        <f>HYPERLINK("http://www.twitter.com/NathanBLawrence/status/996009153830309889", "996009153830309889")</f>
        <v/>
      </c>
      <c r="B365" s="2" t="n">
        <v>43234.53311342592</v>
      </c>
      <c r="C365" t="n">
        <v>0</v>
      </c>
      <c r="D365" t="n">
        <v>13</v>
      </c>
      <c r="E365" t="s">
        <v>374</v>
      </c>
      <c r="F365">
        <f>HYPERLINK("http://pbs.twimg.com/media/DdCHdYmXkAA-ydw.jpg", "http://pbs.twimg.com/media/DdCHdYmXkAA-ydw.jpg")</f>
        <v/>
      </c>
      <c r="G365" t="s"/>
      <c r="H365" t="s"/>
      <c r="I365" t="s"/>
      <c r="J365" t="n">
        <v>0.5319</v>
      </c>
      <c r="K365" t="n">
        <v>0</v>
      </c>
      <c r="L365" t="n">
        <v>0.879</v>
      </c>
      <c r="M365" t="n">
        <v>0.121</v>
      </c>
    </row>
    <row r="366" spans="1:13">
      <c r="A366" s="1">
        <f>HYPERLINK("http://www.twitter.com/NathanBLawrence/status/996009137443168257", "996009137443168257")</f>
        <v/>
      </c>
      <c r="B366" s="2" t="n">
        <v>43234.53306712963</v>
      </c>
      <c r="C366" t="n">
        <v>0</v>
      </c>
      <c r="D366" t="n">
        <v>9</v>
      </c>
      <c r="E366" t="s">
        <v>375</v>
      </c>
      <c r="F366" t="s"/>
      <c r="G366" t="s"/>
      <c r="H366" t="s"/>
      <c r="I366" t="s"/>
      <c r="J366" t="n">
        <v>0.2732</v>
      </c>
      <c r="K366" t="n">
        <v>0.063</v>
      </c>
      <c r="L366" t="n">
        <v>0.821</v>
      </c>
      <c r="M366" t="n">
        <v>0.116</v>
      </c>
    </row>
    <row r="367" spans="1:13">
      <c r="A367" s="1">
        <f>HYPERLINK("http://www.twitter.com/NathanBLawrence/status/996009115414605824", "996009115414605824")</f>
        <v/>
      </c>
      <c r="B367" s="2" t="n">
        <v>43234.53300925926</v>
      </c>
      <c r="C367" t="n">
        <v>0</v>
      </c>
      <c r="D367" t="n">
        <v>7</v>
      </c>
      <c r="E367" t="s">
        <v>376</v>
      </c>
      <c r="F367">
        <f>HYPERLINK("http://pbs.twimg.com/media/DdGHpmyW0AECE0R.jpg", "http://pbs.twimg.com/media/DdGHpmyW0AECE0R.jpg")</f>
        <v/>
      </c>
      <c r="G367" t="s"/>
      <c r="H367" t="s"/>
      <c r="I367" t="s"/>
      <c r="J367" t="n">
        <v>0</v>
      </c>
      <c r="K367" t="n">
        <v>0</v>
      </c>
      <c r="L367" t="n">
        <v>1</v>
      </c>
      <c r="M367" t="n">
        <v>0</v>
      </c>
    </row>
    <row r="368" spans="1:13">
      <c r="A368" s="1">
        <f>HYPERLINK("http://www.twitter.com/NathanBLawrence/status/996009088290050048", "996009088290050048")</f>
        <v/>
      </c>
      <c r="B368" s="2" t="n">
        <v>43234.53293981482</v>
      </c>
      <c r="C368" t="n">
        <v>0</v>
      </c>
      <c r="D368" t="n">
        <v>6</v>
      </c>
      <c r="E368" t="s">
        <v>377</v>
      </c>
      <c r="F368" t="s"/>
      <c r="G368" t="s"/>
      <c r="H368" t="s"/>
      <c r="I368" t="s"/>
      <c r="J368" t="n">
        <v>0</v>
      </c>
      <c r="K368" t="n">
        <v>0</v>
      </c>
      <c r="L368" t="n">
        <v>1</v>
      </c>
      <c r="M368" t="n">
        <v>0</v>
      </c>
    </row>
    <row r="369" spans="1:13">
      <c r="A369" s="1">
        <f>HYPERLINK("http://www.twitter.com/NathanBLawrence/status/996008952063250432", "996008952063250432")</f>
        <v/>
      </c>
      <c r="B369" s="2" t="n">
        <v>43234.53255787037</v>
      </c>
      <c r="C369" t="n">
        <v>0</v>
      </c>
      <c r="D369" t="n">
        <v>13</v>
      </c>
      <c r="E369" t="s">
        <v>378</v>
      </c>
      <c r="F369" t="s"/>
      <c r="G369" t="s"/>
      <c r="H369" t="s"/>
      <c r="I369" t="s"/>
      <c r="J369" t="n">
        <v>0</v>
      </c>
      <c r="K369" t="n">
        <v>0</v>
      </c>
      <c r="L369" t="n">
        <v>1</v>
      </c>
      <c r="M369" t="n">
        <v>0</v>
      </c>
    </row>
    <row r="370" spans="1:13">
      <c r="A370" s="1">
        <f>HYPERLINK("http://www.twitter.com/NathanBLawrence/status/996008934631788545", "996008934631788545")</f>
        <v/>
      </c>
      <c r="B370" s="2" t="n">
        <v>43234.53251157407</v>
      </c>
      <c r="C370" t="n">
        <v>0</v>
      </c>
      <c r="D370" t="n">
        <v>9</v>
      </c>
      <c r="E370" t="s">
        <v>379</v>
      </c>
      <c r="F370">
        <f>HYPERLINK("http://pbs.twimg.com/media/DdFw9QXUQAA_5lJ.jpg", "http://pbs.twimg.com/media/DdFw9QXUQAA_5lJ.jpg")</f>
        <v/>
      </c>
      <c r="G370" t="s"/>
      <c r="H370" t="s"/>
      <c r="I370" t="s"/>
      <c r="J370" t="n">
        <v>0</v>
      </c>
      <c r="K370" t="n">
        <v>0</v>
      </c>
      <c r="L370" t="n">
        <v>1</v>
      </c>
      <c r="M370" t="n">
        <v>0</v>
      </c>
    </row>
    <row r="371" spans="1:13">
      <c r="A371" s="1">
        <f>HYPERLINK("http://www.twitter.com/NathanBLawrence/status/996008900158730241", "996008900158730241")</f>
        <v/>
      </c>
      <c r="B371" s="2" t="n">
        <v>43234.53241898148</v>
      </c>
      <c r="C371" t="n">
        <v>0</v>
      </c>
      <c r="D371" t="n">
        <v>5</v>
      </c>
      <c r="E371" t="s">
        <v>380</v>
      </c>
      <c r="F371" t="s"/>
      <c r="G371" t="s"/>
      <c r="H371" t="s"/>
      <c r="I371" t="s"/>
      <c r="J371" t="n">
        <v>0</v>
      </c>
      <c r="K371" t="n">
        <v>0</v>
      </c>
      <c r="L371" t="n">
        <v>1</v>
      </c>
      <c r="M371" t="n">
        <v>0</v>
      </c>
    </row>
    <row r="372" spans="1:13">
      <c r="A372" s="1">
        <f>HYPERLINK("http://www.twitter.com/NathanBLawrence/status/996008866944114688", "996008866944114688")</f>
        <v/>
      </c>
      <c r="B372" s="2" t="n">
        <v>43234.53232638889</v>
      </c>
      <c r="C372" t="n">
        <v>0</v>
      </c>
      <c r="D372" t="n">
        <v>15</v>
      </c>
      <c r="E372" t="s">
        <v>381</v>
      </c>
      <c r="F372" t="s"/>
      <c r="G372" t="s"/>
      <c r="H372" t="s"/>
      <c r="I372" t="s"/>
      <c r="J372" t="n">
        <v>-0.631</v>
      </c>
      <c r="K372" t="n">
        <v>0.172</v>
      </c>
      <c r="L372" t="n">
        <v>0.828</v>
      </c>
      <c r="M372" t="n">
        <v>0</v>
      </c>
    </row>
    <row r="373" spans="1:13">
      <c r="A373" s="1">
        <f>HYPERLINK("http://www.twitter.com/NathanBLawrence/status/996008804247621632", "996008804247621632")</f>
        <v/>
      </c>
      <c r="B373" s="2" t="n">
        <v>43234.53215277778</v>
      </c>
      <c r="C373" t="n">
        <v>0</v>
      </c>
      <c r="D373" t="n">
        <v>6</v>
      </c>
      <c r="E373" t="s">
        <v>382</v>
      </c>
      <c r="F373">
        <f>HYPERLINK("http://pbs.twimg.com/media/DdGJHrBWAAAdk9i.jpg", "http://pbs.twimg.com/media/DdGJHrBWAAAdk9i.jpg")</f>
        <v/>
      </c>
      <c r="G373" t="s"/>
      <c r="H373" t="s"/>
      <c r="I373" t="s"/>
      <c r="J373" t="n">
        <v>-0.1027</v>
      </c>
      <c r="K373" t="n">
        <v>0.06900000000000001</v>
      </c>
      <c r="L373" t="n">
        <v>0.931</v>
      </c>
      <c r="M373" t="n">
        <v>0</v>
      </c>
    </row>
    <row r="374" spans="1:13">
      <c r="A374" s="1">
        <f>HYPERLINK("http://www.twitter.com/NathanBLawrence/status/996008775587979265", "996008775587979265")</f>
        <v/>
      </c>
      <c r="B374" s="2" t="n">
        <v>43234.53207175926</v>
      </c>
      <c r="C374" t="n">
        <v>0</v>
      </c>
      <c r="D374" t="n">
        <v>9</v>
      </c>
      <c r="E374" t="s">
        <v>383</v>
      </c>
      <c r="F374" t="s"/>
      <c r="G374" t="s"/>
      <c r="H374" t="s"/>
      <c r="I374" t="s"/>
      <c r="J374" t="n">
        <v>0</v>
      </c>
      <c r="K374" t="n">
        <v>0</v>
      </c>
      <c r="L374" t="n">
        <v>1</v>
      </c>
      <c r="M374" t="n">
        <v>0</v>
      </c>
    </row>
    <row r="375" spans="1:13">
      <c r="A375" s="1">
        <f>HYPERLINK("http://www.twitter.com/NathanBLawrence/status/996008752980680704", "996008752980680704")</f>
        <v/>
      </c>
      <c r="B375" s="2" t="n">
        <v>43234.53201388889</v>
      </c>
      <c r="C375" t="n">
        <v>0</v>
      </c>
      <c r="D375" t="n">
        <v>5</v>
      </c>
      <c r="E375" t="s">
        <v>384</v>
      </c>
      <c r="F375">
        <f>HYPERLINK("http://pbs.twimg.com/media/DdGguerW0AAFR0P.jpg", "http://pbs.twimg.com/media/DdGguerW0AAFR0P.jpg")</f>
        <v/>
      </c>
      <c r="G375" t="s"/>
      <c r="H375" t="s"/>
      <c r="I375" t="s"/>
      <c r="J375" t="n">
        <v>0</v>
      </c>
      <c r="K375" t="n">
        <v>0</v>
      </c>
      <c r="L375" t="n">
        <v>1</v>
      </c>
      <c r="M375" t="n">
        <v>0</v>
      </c>
    </row>
    <row r="376" spans="1:13">
      <c r="A376" s="1">
        <f>HYPERLINK("http://www.twitter.com/NathanBLawrence/status/996008608407138304", "996008608407138304")</f>
        <v/>
      </c>
      <c r="B376" s="2" t="n">
        <v>43234.53160879629</v>
      </c>
      <c r="C376" t="n">
        <v>0</v>
      </c>
      <c r="D376" t="n">
        <v>8</v>
      </c>
      <c r="E376" t="s">
        <v>385</v>
      </c>
      <c r="F376" t="s"/>
      <c r="G376" t="s"/>
      <c r="H376" t="s"/>
      <c r="I376" t="s"/>
      <c r="J376" t="n">
        <v>0</v>
      </c>
      <c r="K376" t="n">
        <v>0</v>
      </c>
      <c r="L376" t="n">
        <v>1</v>
      </c>
      <c r="M376" t="n">
        <v>0</v>
      </c>
    </row>
    <row r="377" spans="1:13">
      <c r="A377" s="1">
        <f>HYPERLINK("http://www.twitter.com/NathanBLawrence/status/996008565935624192", "996008565935624192")</f>
        <v/>
      </c>
      <c r="B377" s="2" t="n">
        <v>43234.53149305555</v>
      </c>
      <c r="C377" t="n">
        <v>0</v>
      </c>
      <c r="D377" t="n">
        <v>5</v>
      </c>
      <c r="E377" t="s">
        <v>386</v>
      </c>
      <c r="F377" t="s"/>
      <c r="G377" t="s"/>
      <c r="H377" t="s"/>
      <c r="I377" t="s"/>
      <c r="J377" t="n">
        <v>-0.5423</v>
      </c>
      <c r="K377" t="n">
        <v>0.211</v>
      </c>
      <c r="L377" t="n">
        <v>0.6929999999999999</v>
      </c>
      <c r="M377" t="n">
        <v>0.096</v>
      </c>
    </row>
    <row r="378" spans="1:13">
      <c r="A378" s="1">
        <f>HYPERLINK("http://www.twitter.com/NathanBLawrence/status/996008527801061376", "996008527801061376")</f>
        <v/>
      </c>
      <c r="B378" s="2" t="n">
        <v>43234.53138888889</v>
      </c>
      <c r="C378" t="n">
        <v>0</v>
      </c>
      <c r="D378" t="n">
        <v>9</v>
      </c>
      <c r="E378" t="s">
        <v>387</v>
      </c>
      <c r="F378" t="s"/>
      <c r="G378" t="s"/>
      <c r="H378" t="s"/>
      <c r="I378" t="s"/>
      <c r="J378" t="n">
        <v>0.2584</v>
      </c>
      <c r="K378" t="n">
        <v>0</v>
      </c>
      <c r="L378" t="n">
        <v>0.922</v>
      </c>
      <c r="M378" t="n">
        <v>0.078</v>
      </c>
    </row>
    <row r="379" spans="1:13">
      <c r="A379" s="1">
        <f>HYPERLINK("http://www.twitter.com/NathanBLawrence/status/996008512638672896", "996008512638672896")</f>
        <v/>
      </c>
      <c r="B379" s="2" t="n">
        <v>43234.53135416667</v>
      </c>
      <c r="C379" t="n">
        <v>0</v>
      </c>
      <c r="D379" t="n">
        <v>5</v>
      </c>
      <c r="E379" t="s">
        <v>388</v>
      </c>
      <c r="F379">
        <f>HYPERLINK("http://pbs.twimg.com/media/DdIbzOxXcAAgb7_.jpg", "http://pbs.twimg.com/media/DdIbzOxXcAAgb7_.jpg")</f>
        <v/>
      </c>
      <c r="G379" t="s"/>
      <c r="H379" t="s"/>
      <c r="I379" t="s"/>
      <c r="J379" t="n">
        <v>0</v>
      </c>
      <c r="K379" t="n">
        <v>0</v>
      </c>
      <c r="L379" t="n">
        <v>1</v>
      </c>
      <c r="M379" t="n">
        <v>0</v>
      </c>
    </row>
    <row r="380" spans="1:13">
      <c r="A380" s="1">
        <f>HYPERLINK("http://www.twitter.com/NathanBLawrence/status/996008499044810753", "996008499044810753")</f>
        <v/>
      </c>
      <c r="B380" s="2" t="n">
        <v>43234.53130787037</v>
      </c>
      <c r="C380" t="n">
        <v>0</v>
      </c>
      <c r="D380" t="n">
        <v>11</v>
      </c>
      <c r="E380" t="s">
        <v>389</v>
      </c>
      <c r="F380" t="s"/>
      <c r="G380" t="s"/>
      <c r="H380" t="s"/>
      <c r="I380" t="s"/>
      <c r="J380" t="n">
        <v>0</v>
      </c>
      <c r="K380" t="n">
        <v>0</v>
      </c>
      <c r="L380" t="n">
        <v>1</v>
      </c>
      <c r="M380" t="n">
        <v>0</v>
      </c>
    </row>
    <row r="381" spans="1:13">
      <c r="A381" s="1">
        <f>HYPERLINK("http://www.twitter.com/NathanBLawrence/status/996008460599873536", "996008460599873536")</f>
        <v/>
      </c>
      <c r="B381" s="2" t="n">
        <v>43234.5312037037</v>
      </c>
      <c r="C381" t="n">
        <v>0</v>
      </c>
      <c r="D381" t="n">
        <v>5</v>
      </c>
      <c r="E381" t="s">
        <v>390</v>
      </c>
      <c r="F381">
        <f>HYPERLINK("http://pbs.twimg.com/media/DdFDea1XUAEyMXT.jpg", "http://pbs.twimg.com/media/DdFDea1XUAEyMXT.jpg")</f>
        <v/>
      </c>
      <c r="G381" t="s"/>
      <c r="H381" t="s"/>
      <c r="I381" t="s"/>
      <c r="J381" t="n">
        <v>-0.5707</v>
      </c>
      <c r="K381" t="n">
        <v>0.216</v>
      </c>
      <c r="L381" t="n">
        <v>0.784</v>
      </c>
      <c r="M381" t="n">
        <v>0</v>
      </c>
    </row>
    <row r="382" spans="1:13">
      <c r="A382" s="1">
        <f>HYPERLINK("http://www.twitter.com/NathanBLawrence/status/996008446196637697", "996008446196637697")</f>
        <v/>
      </c>
      <c r="B382" s="2" t="n">
        <v>43234.53116898148</v>
      </c>
      <c r="C382" t="n">
        <v>0</v>
      </c>
      <c r="D382" t="n">
        <v>7</v>
      </c>
      <c r="E382" t="s">
        <v>391</v>
      </c>
      <c r="F382" t="s"/>
      <c r="G382" t="s"/>
      <c r="H382" t="s"/>
      <c r="I382" t="s"/>
      <c r="J382" t="n">
        <v>0.25</v>
      </c>
      <c r="K382" t="n">
        <v>0.08</v>
      </c>
      <c r="L382" t="n">
        <v>0.803</v>
      </c>
      <c r="M382" t="n">
        <v>0.117</v>
      </c>
    </row>
    <row r="383" spans="1:13">
      <c r="A383" s="1">
        <f>HYPERLINK("http://www.twitter.com/NathanBLawrence/status/996008414978494464", "996008414978494464")</f>
        <v/>
      </c>
      <c r="B383" s="2" t="n">
        <v>43234.53107638889</v>
      </c>
      <c r="C383" t="n">
        <v>0</v>
      </c>
      <c r="D383" t="n">
        <v>7</v>
      </c>
      <c r="E383" t="s">
        <v>392</v>
      </c>
      <c r="F383" t="s"/>
      <c r="G383" t="s"/>
      <c r="H383" t="s"/>
      <c r="I383" t="s"/>
      <c r="J383" t="n">
        <v>0.6531</v>
      </c>
      <c r="K383" t="n">
        <v>0</v>
      </c>
      <c r="L383" t="n">
        <v>0.797</v>
      </c>
      <c r="M383" t="n">
        <v>0.203</v>
      </c>
    </row>
    <row r="384" spans="1:13">
      <c r="A384" s="1">
        <f>HYPERLINK("http://www.twitter.com/NathanBLawrence/status/996008400898150401", "996008400898150401")</f>
        <v/>
      </c>
      <c r="B384" s="2" t="n">
        <v>43234.53104166667</v>
      </c>
      <c r="C384" t="n">
        <v>0</v>
      </c>
      <c r="D384" t="n">
        <v>7</v>
      </c>
      <c r="E384" t="s">
        <v>393</v>
      </c>
      <c r="F384" t="s"/>
      <c r="G384" t="s"/>
      <c r="H384" t="s"/>
      <c r="I384" t="s"/>
      <c r="J384" t="n">
        <v>0.7717000000000001</v>
      </c>
      <c r="K384" t="n">
        <v>0</v>
      </c>
      <c r="L384" t="n">
        <v>0.739</v>
      </c>
      <c r="M384" t="n">
        <v>0.261</v>
      </c>
    </row>
    <row r="385" spans="1:13">
      <c r="A385" s="1">
        <f>HYPERLINK("http://www.twitter.com/NathanBLawrence/status/996008379062587392", "996008379062587392")</f>
        <v/>
      </c>
      <c r="B385" s="2" t="n">
        <v>43234.5309837963</v>
      </c>
      <c r="C385" t="n">
        <v>0</v>
      </c>
      <c r="D385" t="n">
        <v>30</v>
      </c>
      <c r="E385" t="s">
        <v>394</v>
      </c>
      <c r="F385" t="s"/>
      <c r="G385" t="s"/>
      <c r="H385" t="s"/>
      <c r="I385" t="s"/>
      <c r="J385" t="n">
        <v>0.128</v>
      </c>
      <c r="K385" t="n">
        <v>0.104</v>
      </c>
      <c r="L385" t="n">
        <v>0.772</v>
      </c>
      <c r="M385" t="n">
        <v>0.124</v>
      </c>
    </row>
    <row r="386" spans="1:13">
      <c r="A386" s="1">
        <f>HYPERLINK("http://www.twitter.com/NathanBLawrence/status/996008339019583488", "996008339019583488")</f>
        <v/>
      </c>
      <c r="B386" s="2" t="n">
        <v>43234.53086805555</v>
      </c>
      <c r="C386" t="n">
        <v>0</v>
      </c>
      <c r="D386" t="n">
        <v>24</v>
      </c>
      <c r="E386" t="s">
        <v>395</v>
      </c>
      <c r="F386">
        <f>HYPERLINK("http://pbs.twimg.com/media/Dc7VvbWWAAICvgK.jpg", "http://pbs.twimg.com/media/Dc7VvbWWAAICvgK.jpg")</f>
        <v/>
      </c>
      <c r="G386" t="s"/>
      <c r="H386" t="s"/>
      <c r="I386" t="s"/>
      <c r="J386" t="n">
        <v>-0.4184</v>
      </c>
      <c r="K386" t="n">
        <v>0.112</v>
      </c>
      <c r="L386" t="n">
        <v>0.888</v>
      </c>
      <c r="M386" t="n">
        <v>0</v>
      </c>
    </row>
    <row r="387" spans="1:13">
      <c r="A387" s="1">
        <f>HYPERLINK("http://www.twitter.com/NathanBLawrence/status/996008327220989952", "996008327220989952")</f>
        <v/>
      </c>
      <c r="B387" s="2" t="n">
        <v>43234.53083333333</v>
      </c>
      <c r="C387" t="n">
        <v>0</v>
      </c>
      <c r="D387" t="n">
        <v>11</v>
      </c>
      <c r="E387" t="s">
        <v>396</v>
      </c>
      <c r="F387">
        <f>HYPERLINK("http://pbs.twimg.com/media/DdGx-lYVwAEOB_6.jpg", "http://pbs.twimg.com/media/DdGx-lYVwAEOB_6.jpg")</f>
        <v/>
      </c>
      <c r="G387" t="s"/>
      <c r="H387" t="s"/>
      <c r="I387" t="s"/>
      <c r="J387" t="n">
        <v>0.4939</v>
      </c>
      <c r="K387" t="n">
        <v>0</v>
      </c>
      <c r="L387" t="n">
        <v>0.8110000000000001</v>
      </c>
      <c r="M387" t="n">
        <v>0.189</v>
      </c>
    </row>
    <row r="388" spans="1:13">
      <c r="A388" s="1">
        <f>HYPERLINK("http://www.twitter.com/NathanBLawrence/status/996008307759435776", "996008307759435776")</f>
        <v/>
      </c>
      <c r="B388" s="2" t="n">
        <v>43234.53078703704</v>
      </c>
      <c r="C388" t="n">
        <v>0</v>
      </c>
      <c r="D388" t="n">
        <v>8</v>
      </c>
      <c r="E388" t="s">
        <v>397</v>
      </c>
      <c r="F388" t="s"/>
      <c r="G388" t="s"/>
      <c r="H388" t="s"/>
      <c r="I388" t="s"/>
      <c r="J388" t="n">
        <v>0</v>
      </c>
      <c r="K388" t="n">
        <v>0</v>
      </c>
      <c r="L388" t="n">
        <v>1</v>
      </c>
      <c r="M388" t="n">
        <v>0</v>
      </c>
    </row>
    <row r="389" spans="1:13">
      <c r="A389" s="1">
        <f>HYPERLINK("http://www.twitter.com/NathanBLawrence/status/996008235562921984", "996008235562921984")</f>
        <v/>
      </c>
      <c r="B389" s="2" t="n">
        <v>43234.53057870371</v>
      </c>
      <c r="C389" t="n">
        <v>0</v>
      </c>
      <c r="D389" t="n">
        <v>10</v>
      </c>
      <c r="E389" t="s">
        <v>398</v>
      </c>
      <c r="F389" t="s"/>
      <c r="G389" t="s"/>
      <c r="H389" t="s"/>
      <c r="I389" t="s"/>
      <c r="J389" t="n">
        <v>0</v>
      </c>
      <c r="K389" t="n">
        <v>0</v>
      </c>
      <c r="L389" t="n">
        <v>1</v>
      </c>
      <c r="M389" t="n">
        <v>0</v>
      </c>
    </row>
    <row r="390" spans="1:13">
      <c r="A390" s="1">
        <f>HYPERLINK("http://www.twitter.com/NathanBLawrence/status/996008210233483264", "996008210233483264")</f>
        <v/>
      </c>
      <c r="B390" s="2" t="n">
        <v>43234.53050925926</v>
      </c>
      <c r="C390" t="n">
        <v>0</v>
      </c>
      <c r="D390" t="n">
        <v>14</v>
      </c>
      <c r="E390" t="s">
        <v>399</v>
      </c>
      <c r="F390">
        <f>HYPERLINK("http://pbs.twimg.com/media/DdHgHhPVMAA-zIf.jpg", "http://pbs.twimg.com/media/DdHgHhPVMAA-zIf.jpg")</f>
        <v/>
      </c>
      <c r="G390" t="s"/>
      <c r="H390" t="s"/>
      <c r="I390" t="s"/>
      <c r="J390" t="n">
        <v>0.4548</v>
      </c>
      <c r="K390" t="n">
        <v>0.055</v>
      </c>
      <c r="L390" t="n">
        <v>0.803</v>
      </c>
      <c r="M390" t="n">
        <v>0.143</v>
      </c>
    </row>
    <row r="391" spans="1:13">
      <c r="A391" s="1">
        <f>HYPERLINK("http://www.twitter.com/NathanBLawrence/status/996008191786971136", "996008191786971136")</f>
        <v/>
      </c>
      <c r="B391" s="2" t="n">
        <v>43234.53046296296</v>
      </c>
      <c r="C391" t="n">
        <v>0</v>
      </c>
      <c r="D391" t="n">
        <v>10</v>
      </c>
      <c r="E391" t="s">
        <v>400</v>
      </c>
      <c r="F391" t="s"/>
      <c r="G391" t="s"/>
      <c r="H391" t="s"/>
      <c r="I391" t="s"/>
      <c r="J391" t="n">
        <v>0</v>
      </c>
      <c r="K391" t="n">
        <v>0</v>
      </c>
      <c r="L391" t="n">
        <v>1</v>
      </c>
      <c r="M391" t="n">
        <v>0</v>
      </c>
    </row>
    <row r="392" spans="1:13">
      <c r="A392" s="1">
        <f>HYPERLINK("http://www.twitter.com/NathanBLawrence/status/996008142910738435", "996008142910738435")</f>
        <v/>
      </c>
      <c r="B392" s="2" t="n">
        <v>43234.53032407408</v>
      </c>
      <c r="C392" t="n">
        <v>0</v>
      </c>
      <c r="D392" t="n">
        <v>13</v>
      </c>
      <c r="E392" t="s">
        <v>401</v>
      </c>
      <c r="F392">
        <f>HYPERLINK("http://pbs.twimg.com/media/DdHK8WIXcAAS_jj.jpg", "http://pbs.twimg.com/media/DdHK8WIXcAAS_jj.jpg")</f>
        <v/>
      </c>
      <c r="G392" t="s"/>
      <c r="H392" t="s"/>
      <c r="I392" t="s"/>
      <c r="J392" t="n">
        <v>-0.2023</v>
      </c>
      <c r="K392" t="n">
        <v>0.128</v>
      </c>
      <c r="L392" t="n">
        <v>0.775</v>
      </c>
      <c r="M392" t="n">
        <v>0.097</v>
      </c>
    </row>
    <row r="393" spans="1:13">
      <c r="A393" s="1">
        <f>HYPERLINK("http://www.twitter.com/NathanBLawrence/status/996008127119220737", "996008127119220737")</f>
        <v/>
      </c>
      <c r="B393" s="2" t="n">
        <v>43234.53028935185</v>
      </c>
      <c r="C393" t="n">
        <v>0</v>
      </c>
      <c r="D393" t="n">
        <v>50</v>
      </c>
      <c r="E393" t="s">
        <v>402</v>
      </c>
      <c r="F393" t="s"/>
      <c r="G393" t="s"/>
      <c r="H393" t="s"/>
      <c r="I393" t="s"/>
      <c r="J393" t="n">
        <v>0</v>
      </c>
      <c r="K393" t="n">
        <v>0</v>
      </c>
      <c r="L393" t="n">
        <v>1</v>
      </c>
      <c r="M393" t="n">
        <v>0</v>
      </c>
    </row>
    <row r="394" spans="1:13">
      <c r="A394" s="1">
        <f>HYPERLINK("http://www.twitter.com/NathanBLawrence/status/996008114863443968", "996008114863443968")</f>
        <v/>
      </c>
      <c r="B394" s="2" t="n">
        <v>43234.53025462963</v>
      </c>
      <c r="C394" t="n">
        <v>0</v>
      </c>
      <c r="D394" t="n">
        <v>16</v>
      </c>
      <c r="E394" t="s">
        <v>403</v>
      </c>
      <c r="F394">
        <f>HYPERLINK("http://pbs.twimg.com/media/DdGvxHHX4AI00no.jpg", "http://pbs.twimg.com/media/DdGvxHHX4AI00no.jpg")</f>
        <v/>
      </c>
      <c r="G394" t="s"/>
      <c r="H394" t="s"/>
      <c r="I394" t="s"/>
      <c r="J394" t="n">
        <v>0</v>
      </c>
      <c r="K394" t="n">
        <v>0</v>
      </c>
      <c r="L394" t="n">
        <v>1</v>
      </c>
      <c r="M394" t="n">
        <v>0</v>
      </c>
    </row>
    <row r="395" spans="1:13">
      <c r="A395" s="1">
        <f>HYPERLINK("http://www.twitter.com/NathanBLawrence/status/996008088493846529", "996008088493846529")</f>
        <v/>
      </c>
      <c r="B395" s="2" t="n">
        <v>43234.53017361111</v>
      </c>
      <c r="C395" t="n">
        <v>0</v>
      </c>
      <c r="D395" t="n">
        <v>13</v>
      </c>
      <c r="E395" t="s">
        <v>404</v>
      </c>
      <c r="F395">
        <f>HYPERLINK("http://pbs.twimg.com/media/DdHUo8VW0AAxpjQ.jpg", "http://pbs.twimg.com/media/DdHUo8VW0AAxpjQ.jpg")</f>
        <v/>
      </c>
      <c r="G395" t="s"/>
      <c r="H395" t="s"/>
      <c r="I395" t="s"/>
      <c r="J395" t="n">
        <v>-0.3182</v>
      </c>
      <c r="K395" t="n">
        <v>0.103</v>
      </c>
      <c r="L395" t="n">
        <v>0.897</v>
      </c>
      <c r="M395" t="n">
        <v>0</v>
      </c>
    </row>
    <row r="396" spans="1:13">
      <c r="A396" s="1">
        <f>HYPERLINK("http://www.twitter.com/NathanBLawrence/status/996008055073624064", "996008055073624064")</f>
        <v/>
      </c>
      <c r="B396" s="2" t="n">
        <v>43234.53008101852</v>
      </c>
      <c r="C396" t="n">
        <v>0</v>
      </c>
      <c r="D396" t="n">
        <v>26</v>
      </c>
      <c r="E396" t="s">
        <v>405</v>
      </c>
      <c r="F396" t="s"/>
      <c r="G396" t="s"/>
      <c r="H396" t="s"/>
      <c r="I396" t="s"/>
      <c r="J396" t="n">
        <v>-0.6908</v>
      </c>
      <c r="K396" t="n">
        <v>0.222</v>
      </c>
      <c r="L396" t="n">
        <v>0.778</v>
      </c>
      <c r="M396" t="n">
        <v>0</v>
      </c>
    </row>
    <row r="397" spans="1:13">
      <c r="A397" s="1">
        <f>HYPERLINK("http://www.twitter.com/NathanBLawrence/status/996008036094369792", "996008036094369792")</f>
        <v/>
      </c>
      <c r="B397" s="2" t="n">
        <v>43234.53003472222</v>
      </c>
      <c r="C397" t="n">
        <v>0</v>
      </c>
      <c r="D397" t="n">
        <v>12</v>
      </c>
      <c r="E397" t="s">
        <v>406</v>
      </c>
      <c r="F397">
        <f>HYPERLINK("http://pbs.twimg.com/media/Dc2bu6AVAAE8JMq.jpg", "http://pbs.twimg.com/media/Dc2bu6AVAAE8JMq.jpg")</f>
        <v/>
      </c>
      <c r="G397" t="s"/>
      <c r="H397" t="s"/>
      <c r="I397" t="s"/>
      <c r="J397" t="n">
        <v>-0.7506</v>
      </c>
      <c r="K397" t="n">
        <v>0.262</v>
      </c>
      <c r="L397" t="n">
        <v>0.738</v>
      </c>
      <c r="M397" t="n">
        <v>0</v>
      </c>
    </row>
    <row r="398" spans="1:13">
      <c r="A398" s="1">
        <f>HYPERLINK("http://www.twitter.com/NathanBLawrence/status/996008016028815361", "996008016028815361")</f>
        <v/>
      </c>
      <c r="B398" s="2" t="n">
        <v>43234.52997685185</v>
      </c>
      <c r="C398" t="n">
        <v>0</v>
      </c>
      <c r="D398" t="n">
        <v>97</v>
      </c>
      <c r="E398" t="s">
        <v>407</v>
      </c>
      <c r="F398" t="s"/>
      <c r="G398" t="s"/>
      <c r="H398" t="s"/>
      <c r="I398" t="s"/>
      <c r="J398" t="n">
        <v>0.2023</v>
      </c>
      <c r="K398" t="n">
        <v>0</v>
      </c>
      <c r="L398" t="n">
        <v>0.921</v>
      </c>
      <c r="M398" t="n">
        <v>0.079</v>
      </c>
    </row>
    <row r="399" spans="1:13">
      <c r="A399" s="1">
        <f>HYPERLINK("http://www.twitter.com/NathanBLawrence/status/996007864178233345", "996007864178233345")</f>
        <v/>
      </c>
      <c r="B399" s="2" t="n">
        <v>43234.52956018518</v>
      </c>
      <c r="C399" t="n">
        <v>0</v>
      </c>
      <c r="D399" t="n">
        <v>21</v>
      </c>
      <c r="E399" t="s">
        <v>408</v>
      </c>
      <c r="F399">
        <f>HYPERLINK("http://pbs.twimg.com/media/DdKHAOYVQAEImFM.jpg", "http://pbs.twimg.com/media/DdKHAOYVQAEImFM.jpg")</f>
        <v/>
      </c>
      <c r="G399" t="s"/>
      <c r="H399" t="s"/>
      <c r="I399" t="s"/>
      <c r="J399" t="n">
        <v>-0.3939</v>
      </c>
      <c r="K399" t="n">
        <v>0.1</v>
      </c>
      <c r="L399" t="n">
        <v>0.9</v>
      </c>
      <c r="M399" t="n">
        <v>0</v>
      </c>
    </row>
    <row r="400" spans="1:13">
      <c r="A400" s="1">
        <f>HYPERLINK("http://www.twitter.com/NathanBLawrence/status/995789360502108160", "995789360502108160")</f>
        <v/>
      </c>
      <c r="B400" s="2" t="n">
        <v>43233.9266087963</v>
      </c>
      <c r="C400" t="n">
        <v>0</v>
      </c>
      <c r="D400" t="n">
        <v>16</v>
      </c>
      <c r="E400" t="s">
        <v>409</v>
      </c>
      <c r="F400" t="s"/>
      <c r="G400" t="s"/>
      <c r="H400" t="s"/>
      <c r="I400" t="s"/>
      <c r="J400" t="n">
        <v>-0.0258</v>
      </c>
      <c r="K400" t="n">
        <v>0.105</v>
      </c>
      <c r="L400" t="n">
        <v>0.795</v>
      </c>
      <c r="M400" t="n">
        <v>0.1</v>
      </c>
    </row>
    <row r="401" spans="1:13">
      <c r="A401" s="1">
        <f>HYPERLINK("http://www.twitter.com/NathanBLawrence/status/995789236086468609", "995789236086468609")</f>
        <v/>
      </c>
      <c r="B401" s="2" t="n">
        <v>43233.92626157407</v>
      </c>
      <c r="C401" t="n">
        <v>0</v>
      </c>
      <c r="D401" t="n">
        <v>7</v>
      </c>
      <c r="E401" t="s">
        <v>410</v>
      </c>
      <c r="F401" t="s"/>
      <c r="G401" t="s"/>
      <c r="H401" t="s"/>
      <c r="I401" t="s"/>
      <c r="J401" t="n">
        <v>-0.4019</v>
      </c>
      <c r="K401" t="n">
        <v>0.252</v>
      </c>
      <c r="L401" t="n">
        <v>0.748</v>
      </c>
      <c r="M401" t="n">
        <v>0</v>
      </c>
    </row>
    <row r="402" spans="1:13">
      <c r="A402" s="1">
        <f>HYPERLINK("http://www.twitter.com/NathanBLawrence/status/995789216616415237", "995789216616415237")</f>
        <v/>
      </c>
      <c r="B402" s="2" t="n">
        <v>43233.9262037037</v>
      </c>
      <c r="C402" t="n">
        <v>0</v>
      </c>
      <c r="D402" t="n">
        <v>34</v>
      </c>
      <c r="E402" t="s">
        <v>411</v>
      </c>
      <c r="F402" t="s"/>
      <c r="G402" t="s"/>
      <c r="H402" t="s"/>
      <c r="I402" t="s"/>
      <c r="J402" t="n">
        <v>-0.3818</v>
      </c>
      <c r="K402" t="n">
        <v>0.11</v>
      </c>
      <c r="L402" t="n">
        <v>0.89</v>
      </c>
      <c r="M402" t="n">
        <v>0</v>
      </c>
    </row>
    <row r="403" spans="1:13">
      <c r="A403" s="1">
        <f>HYPERLINK("http://www.twitter.com/NathanBLawrence/status/995789052883456001", "995789052883456001")</f>
        <v/>
      </c>
      <c r="B403" s="2" t="n">
        <v>43233.92575231481</v>
      </c>
      <c r="C403" t="n">
        <v>0</v>
      </c>
      <c r="D403" t="n">
        <v>17412</v>
      </c>
      <c r="E403" t="s">
        <v>412</v>
      </c>
      <c r="F403" t="s"/>
      <c r="G403" t="s"/>
      <c r="H403" t="s"/>
      <c r="I403" t="s"/>
      <c r="J403" t="n">
        <v>0</v>
      </c>
      <c r="K403" t="n">
        <v>0</v>
      </c>
      <c r="L403" t="n">
        <v>1</v>
      </c>
      <c r="M403" t="n">
        <v>0</v>
      </c>
    </row>
    <row r="404" spans="1:13">
      <c r="A404" s="1">
        <f>HYPERLINK("http://www.twitter.com/NathanBLawrence/status/995789030695538688", "995789030695538688")</f>
        <v/>
      </c>
      <c r="B404" s="2" t="n">
        <v>43233.92569444444</v>
      </c>
      <c r="C404" t="n">
        <v>0</v>
      </c>
      <c r="D404" t="n">
        <v>1079</v>
      </c>
      <c r="E404" t="s">
        <v>413</v>
      </c>
      <c r="F404" t="s"/>
      <c r="G404" t="s"/>
      <c r="H404" t="s"/>
      <c r="I404" t="s"/>
      <c r="J404" t="n">
        <v>0.1779</v>
      </c>
      <c r="K404" t="n">
        <v>0.129</v>
      </c>
      <c r="L404" t="n">
        <v>0.717</v>
      </c>
      <c r="M404" t="n">
        <v>0.154</v>
      </c>
    </row>
    <row r="405" spans="1:13">
      <c r="A405" s="1">
        <f>HYPERLINK("http://www.twitter.com/NathanBLawrence/status/995788999196372992", "995788999196372992")</f>
        <v/>
      </c>
      <c r="B405" s="2" t="n">
        <v>43233.92560185185</v>
      </c>
      <c r="C405" t="n">
        <v>0</v>
      </c>
      <c r="D405" t="n">
        <v>920</v>
      </c>
      <c r="E405" t="s">
        <v>414</v>
      </c>
      <c r="F405" t="s"/>
      <c r="G405" t="s"/>
      <c r="H405" t="s"/>
      <c r="I405" t="s"/>
      <c r="J405" t="n">
        <v>-0.3818</v>
      </c>
      <c r="K405" t="n">
        <v>0.126</v>
      </c>
      <c r="L405" t="n">
        <v>0.874</v>
      </c>
      <c r="M405" t="n">
        <v>0</v>
      </c>
    </row>
    <row r="406" spans="1:13">
      <c r="A406" s="1">
        <f>HYPERLINK("http://www.twitter.com/NathanBLawrence/status/995788971178373120", "995788971178373120")</f>
        <v/>
      </c>
      <c r="B406" s="2" t="n">
        <v>43233.9255324074</v>
      </c>
      <c r="C406" t="n">
        <v>0</v>
      </c>
      <c r="D406" t="n">
        <v>7420</v>
      </c>
      <c r="E406" t="s">
        <v>415</v>
      </c>
      <c r="F406">
        <f>HYPERLINK("http://pbs.twimg.com/media/DdF5CbzW0AEbejh.jpg", "http://pbs.twimg.com/media/DdF5CbzW0AEbejh.jpg")</f>
        <v/>
      </c>
      <c r="G406" t="s"/>
      <c r="H406" t="s"/>
      <c r="I406" t="s"/>
      <c r="J406" t="n">
        <v>0.4767</v>
      </c>
      <c r="K406" t="n">
        <v>0</v>
      </c>
      <c r="L406" t="n">
        <v>0.744</v>
      </c>
      <c r="M406" t="n">
        <v>0.256</v>
      </c>
    </row>
    <row r="407" spans="1:13">
      <c r="A407" s="1">
        <f>HYPERLINK("http://www.twitter.com/NathanBLawrence/status/995402115664269312", "995402115664269312")</f>
        <v/>
      </c>
      <c r="B407" s="2" t="n">
        <v>43232.85800925926</v>
      </c>
      <c r="C407" t="n">
        <v>0</v>
      </c>
      <c r="D407" t="n">
        <v>14</v>
      </c>
      <c r="E407" t="s">
        <v>416</v>
      </c>
      <c r="F407">
        <f>HYPERLINK("http://pbs.twimg.com/media/Dc8-wM3XUAUNJnJ.jpg", "http://pbs.twimg.com/media/Dc8-wM3XUAUNJnJ.jpg")</f>
        <v/>
      </c>
      <c r="G407" t="s"/>
      <c r="H407" t="s"/>
      <c r="I407" t="s"/>
      <c r="J407" t="n">
        <v>-0.3182</v>
      </c>
      <c r="K407" t="n">
        <v>0.108</v>
      </c>
      <c r="L407" t="n">
        <v>0.892</v>
      </c>
      <c r="M407" t="n">
        <v>0</v>
      </c>
    </row>
    <row r="408" spans="1:13">
      <c r="A408" s="1">
        <f>HYPERLINK("http://www.twitter.com/NathanBLawrence/status/995393803216449536", "995393803216449536")</f>
        <v/>
      </c>
      <c r="B408" s="2" t="n">
        <v>43232.83506944445</v>
      </c>
      <c r="C408" t="n">
        <v>0</v>
      </c>
      <c r="D408" t="n">
        <v>9</v>
      </c>
      <c r="E408" t="s">
        <v>417</v>
      </c>
      <c r="F408">
        <f>HYPERLINK("http://pbs.twimg.com/media/Dc_xeNSVQAAbpb9.jpg", "http://pbs.twimg.com/media/Dc_xeNSVQAAbpb9.jpg")</f>
        <v/>
      </c>
      <c r="G408" t="s"/>
      <c r="H408" t="s"/>
      <c r="I408" t="s"/>
      <c r="J408" t="n">
        <v>0</v>
      </c>
      <c r="K408" t="n">
        <v>0</v>
      </c>
      <c r="L408" t="n">
        <v>1</v>
      </c>
      <c r="M408" t="n">
        <v>0</v>
      </c>
    </row>
    <row r="409" spans="1:13">
      <c r="A409" s="1">
        <f>HYPERLINK("http://www.twitter.com/NathanBLawrence/status/995393778377781248", "995393778377781248")</f>
        <v/>
      </c>
      <c r="B409" s="2" t="n">
        <v>43232.835</v>
      </c>
      <c r="C409" t="n">
        <v>0</v>
      </c>
      <c r="D409" t="n">
        <v>5</v>
      </c>
      <c r="E409" t="s">
        <v>418</v>
      </c>
      <c r="F409" t="s"/>
      <c r="G409" t="s"/>
      <c r="H409" t="s"/>
      <c r="I409" t="s"/>
      <c r="J409" t="n">
        <v>0.4404</v>
      </c>
      <c r="K409" t="n">
        <v>0.108</v>
      </c>
      <c r="L409" t="n">
        <v>0.6899999999999999</v>
      </c>
      <c r="M409" t="n">
        <v>0.202</v>
      </c>
    </row>
    <row r="410" spans="1:13">
      <c r="A410" s="1">
        <f>HYPERLINK("http://www.twitter.com/NathanBLawrence/status/995393673310429184", "995393673310429184")</f>
        <v/>
      </c>
      <c r="B410" s="2" t="n">
        <v>43232.83471064815</v>
      </c>
      <c r="C410" t="n">
        <v>0</v>
      </c>
      <c r="D410" t="n">
        <v>13</v>
      </c>
      <c r="E410" t="s">
        <v>419</v>
      </c>
      <c r="F410">
        <f>HYPERLINK("http://pbs.twimg.com/media/DdBJcgjVMAAZeSX.jpg", "http://pbs.twimg.com/media/DdBJcgjVMAAZeSX.jpg")</f>
        <v/>
      </c>
      <c r="G410" t="s"/>
      <c r="H410" t="s"/>
      <c r="I410" t="s"/>
      <c r="J410" t="n">
        <v>0</v>
      </c>
      <c r="K410" t="n">
        <v>0</v>
      </c>
      <c r="L410" t="n">
        <v>1</v>
      </c>
      <c r="M410" t="n">
        <v>0</v>
      </c>
    </row>
    <row r="411" spans="1:13">
      <c r="A411" s="1">
        <f>HYPERLINK("http://www.twitter.com/NathanBLawrence/status/995393638657118208", "995393638657118208")</f>
        <v/>
      </c>
      <c r="B411" s="2" t="n">
        <v>43232.83461805555</v>
      </c>
      <c r="C411" t="n">
        <v>0</v>
      </c>
      <c r="D411" t="n">
        <v>4</v>
      </c>
      <c r="E411" t="s">
        <v>420</v>
      </c>
      <c r="F411" t="s"/>
      <c r="G411" t="s"/>
      <c r="H411" t="s"/>
      <c r="I411" t="s"/>
      <c r="J411" t="n">
        <v>0.3612</v>
      </c>
      <c r="K411" t="n">
        <v>0</v>
      </c>
      <c r="L411" t="n">
        <v>0.706</v>
      </c>
      <c r="M411" t="n">
        <v>0.294</v>
      </c>
    </row>
    <row r="412" spans="1:13">
      <c r="A412" s="1">
        <f>HYPERLINK("http://www.twitter.com/NathanBLawrence/status/995048001285566466", "995048001285566466")</f>
        <v/>
      </c>
      <c r="B412" s="2" t="n">
        <v>43231.88084490741</v>
      </c>
      <c r="C412" t="n">
        <v>0</v>
      </c>
      <c r="D412" t="n">
        <v>6126</v>
      </c>
      <c r="E412" t="s">
        <v>421</v>
      </c>
      <c r="F412" t="s"/>
      <c r="G412" t="s"/>
      <c r="H412" t="s"/>
      <c r="I412" t="s"/>
      <c r="J412" t="n">
        <v>-0.2755</v>
      </c>
      <c r="K412" t="n">
        <v>0.075</v>
      </c>
      <c r="L412" t="n">
        <v>0.925</v>
      </c>
      <c r="M412" t="n">
        <v>0</v>
      </c>
    </row>
    <row r="413" spans="1:13">
      <c r="A413" s="1">
        <f>HYPERLINK("http://www.twitter.com/NathanBLawrence/status/995047963650117634", "995047963650117634")</f>
        <v/>
      </c>
      <c r="B413" s="2" t="n">
        <v>43231.88074074074</v>
      </c>
      <c r="C413" t="n">
        <v>0</v>
      </c>
      <c r="D413" t="n">
        <v>10</v>
      </c>
      <c r="E413" t="s">
        <v>422</v>
      </c>
      <c r="F413" t="s"/>
      <c r="G413" t="s"/>
      <c r="H413" t="s"/>
      <c r="I413" t="s"/>
      <c r="J413" t="n">
        <v>-0.5266999999999999</v>
      </c>
      <c r="K413" t="n">
        <v>0.161</v>
      </c>
      <c r="L413" t="n">
        <v>0.839</v>
      </c>
      <c r="M413" t="n">
        <v>0</v>
      </c>
    </row>
    <row r="414" spans="1:13">
      <c r="A414" s="1">
        <f>HYPERLINK("http://www.twitter.com/NathanBLawrence/status/995047943446171648", "995047943446171648")</f>
        <v/>
      </c>
      <c r="B414" s="2" t="n">
        <v>43231.88068287037</v>
      </c>
      <c r="C414" t="n">
        <v>0</v>
      </c>
      <c r="D414" t="n">
        <v>130</v>
      </c>
      <c r="E414" t="s">
        <v>423</v>
      </c>
      <c r="F414" t="s"/>
      <c r="G414" t="s"/>
      <c r="H414" t="s"/>
      <c r="I414" t="s"/>
      <c r="J414" t="n">
        <v>0.2732</v>
      </c>
      <c r="K414" t="n">
        <v>0.093</v>
      </c>
      <c r="L414" t="n">
        <v>0.734</v>
      </c>
      <c r="M414" t="n">
        <v>0.174</v>
      </c>
    </row>
    <row r="415" spans="1:13">
      <c r="A415" s="1">
        <f>HYPERLINK("http://www.twitter.com/NathanBLawrence/status/995047931697942528", "995047931697942528")</f>
        <v/>
      </c>
      <c r="B415" s="2" t="n">
        <v>43231.88064814815</v>
      </c>
      <c r="C415" t="n">
        <v>0</v>
      </c>
      <c r="D415" t="n">
        <v>12587</v>
      </c>
      <c r="E415" t="s">
        <v>424</v>
      </c>
      <c r="F415" t="s"/>
      <c r="G415" t="s"/>
      <c r="H415" t="s"/>
      <c r="I415" t="s"/>
      <c r="J415" t="n">
        <v>-0.6705</v>
      </c>
      <c r="K415" t="n">
        <v>0.184</v>
      </c>
      <c r="L415" t="n">
        <v>0.8159999999999999</v>
      </c>
      <c r="M415" t="n">
        <v>0</v>
      </c>
    </row>
    <row r="416" spans="1:13">
      <c r="A416" s="1">
        <f>HYPERLINK("http://www.twitter.com/NathanBLawrence/status/995047902530691073", "995047902530691073")</f>
        <v/>
      </c>
      <c r="B416" s="2" t="n">
        <v>43231.88056712963</v>
      </c>
      <c r="C416" t="n">
        <v>0</v>
      </c>
      <c r="D416" t="n">
        <v>1043</v>
      </c>
      <c r="E416" t="s">
        <v>425</v>
      </c>
      <c r="F416" t="s"/>
      <c r="G416" t="s"/>
      <c r="H416" t="s"/>
      <c r="I416" t="s"/>
      <c r="J416" t="n">
        <v>-0.3818</v>
      </c>
      <c r="K416" t="n">
        <v>0.106</v>
      </c>
      <c r="L416" t="n">
        <v>0.894</v>
      </c>
      <c r="M416" t="n">
        <v>0</v>
      </c>
    </row>
    <row r="417" spans="1:13">
      <c r="A417" s="1">
        <f>HYPERLINK("http://www.twitter.com/NathanBLawrence/status/994730783792402439", "994730783792402439")</f>
        <v/>
      </c>
      <c r="B417" s="2" t="n">
        <v>43231.00548611111</v>
      </c>
      <c r="C417" t="n">
        <v>2</v>
      </c>
      <c r="D417" t="n">
        <v>1</v>
      </c>
      <c r="E417" t="s">
        <v>426</v>
      </c>
      <c r="F417">
        <f>HYPERLINK("http://pbs.twimg.com/media/Dc3-XRlWkAA4P8L.jpg", "http://pbs.twimg.com/media/Dc3-XRlWkAA4P8L.jpg")</f>
        <v/>
      </c>
      <c r="G417" t="s"/>
      <c r="H417" t="s"/>
      <c r="I417" t="s"/>
      <c r="J417" t="n">
        <v>0</v>
      </c>
      <c r="K417" t="n">
        <v>0</v>
      </c>
      <c r="L417" t="n">
        <v>1</v>
      </c>
      <c r="M417" t="n">
        <v>0</v>
      </c>
    </row>
    <row r="418" spans="1:13">
      <c r="A418" s="1">
        <f>HYPERLINK("http://www.twitter.com/NathanBLawrence/status/994718312474075139", "994718312474075139")</f>
        <v/>
      </c>
      <c r="B418" s="2" t="n">
        <v>43230.97107638889</v>
      </c>
      <c r="C418" t="n">
        <v>0</v>
      </c>
      <c r="D418" t="n">
        <v>3</v>
      </c>
      <c r="E418" t="s">
        <v>427</v>
      </c>
      <c r="F418">
        <f>HYPERLINK("http://pbs.twimg.com/media/Dc3yIs3XkAE7l01.jpg", "http://pbs.twimg.com/media/Dc3yIs3XkAE7l01.jpg")</f>
        <v/>
      </c>
      <c r="G418" t="s"/>
      <c r="H418" t="s"/>
      <c r="I418" t="s"/>
      <c r="J418" t="n">
        <v>0</v>
      </c>
      <c r="K418" t="n">
        <v>0</v>
      </c>
      <c r="L418" t="n">
        <v>1</v>
      </c>
      <c r="M418" t="n">
        <v>0</v>
      </c>
    </row>
    <row r="419" spans="1:13">
      <c r="A419" s="1">
        <f>HYPERLINK("http://www.twitter.com/NathanBLawrence/status/994717926157668353", "994717926157668353")</f>
        <v/>
      </c>
      <c r="B419" s="2" t="n">
        <v>43230.97001157407</v>
      </c>
      <c r="C419" t="n">
        <v>0</v>
      </c>
      <c r="D419" t="n">
        <v>8</v>
      </c>
      <c r="E419" t="s">
        <v>428</v>
      </c>
      <c r="F419" t="s"/>
      <c r="G419" t="s"/>
      <c r="H419" t="s"/>
      <c r="I419" t="s"/>
      <c r="J419" t="n">
        <v>0</v>
      </c>
      <c r="K419" t="n">
        <v>0</v>
      </c>
      <c r="L419" t="n">
        <v>1</v>
      </c>
      <c r="M419" t="n">
        <v>0</v>
      </c>
    </row>
    <row r="420" spans="1:13">
      <c r="A420" s="1">
        <f>HYPERLINK("http://www.twitter.com/NathanBLawrence/status/994717877939900417", "994717877939900417")</f>
        <v/>
      </c>
      <c r="B420" s="2" t="n">
        <v>43230.96987268519</v>
      </c>
      <c r="C420" t="n">
        <v>0</v>
      </c>
      <c r="D420" t="n">
        <v>4</v>
      </c>
      <c r="E420" t="s">
        <v>429</v>
      </c>
      <c r="F420" t="s"/>
      <c r="G420" t="s"/>
      <c r="H420" t="s"/>
      <c r="I420" t="s"/>
      <c r="J420" t="n">
        <v>-0.3612</v>
      </c>
      <c r="K420" t="n">
        <v>0.106</v>
      </c>
      <c r="L420" t="n">
        <v>0.894</v>
      </c>
      <c r="M420" t="n">
        <v>0</v>
      </c>
    </row>
    <row r="421" spans="1:13">
      <c r="A421" s="1">
        <f>HYPERLINK("http://www.twitter.com/NathanBLawrence/status/994717795635154944", "994717795635154944")</f>
        <v/>
      </c>
      <c r="B421" s="2" t="n">
        <v>43230.96965277778</v>
      </c>
      <c r="C421" t="n">
        <v>0</v>
      </c>
      <c r="D421" t="n">
        <v>9</v>
      </c>
      <c r="E421" t="s">
        <v>430</v>
      </c>
      <c r="F421" t="s"/>
      <c r="G421" t="s"/>
      <c r="H421" t="s"/>
      <c r="I421" t="s"/>
      <c r="J421" t="n">
        <v>-0.6452</v>
      </c>
      <c r="K421" t="n">
        <v>0.163</v>
      </c>
      <c r="L421" t="n">
        <v>0.837</v>
      </c>
      <c r="M421" t="n">
        <v>0</v>
      </c>
    </row>
    <row r="422" spans="1:13">
      <c r="A422" s="1">
        <f>HYPERLINK("http://www.twitter.com/NathanBLawrence/status/994717781504425986", "994717781504425986")</f>
        <v/>
      </c>
      <c r="B422" s="2" t="n">
        <v>43230.96960648148</v>
      </c>
      <c r="C422" t="n">
        <v>0</v>
      </c>
      <c r="D422" t="n">
        <v>9</v>
      </c>
      <c r="E422" t="s">
        <v>431</v>
      </c>
      <c r="F422" t="s"/>
      <c r="G422" t="s"/>
      <c r="H422" t="s"/>
      <c r="I422" t="s"/>
      <c r="J422" t="n">
        <v>0</v>
      </c>
      <c r="K422" t="n">
        <v>0</v>
      </c>
      <c r="L422" t="n">
        <v>1</v>
      </c>
      <c r="M422" t="n">
        <v>0</v>
      </c>
    </row>
    <row r="423" spans="1:13">
      <c r="A423" s="1">
        <f>HYPERLINK("http://www.twitter.com/NathanBLawrence/status/994717644568883205", "994717644568883205")</f>
        <v/>
      </c>
      <c r="B423" s="2" t="n">
        <v>43230.96923611111</v>
      </c>
      <c r="C423" t="n">
        <v>0</v>
      </c>
      <c r="D423" t="n">
        <v>16</v>
      </c>
      <c r="E423" t="s">
        <v>432</v>
      </c>
      <c r="F423" t="s"/>
      <c r="G423" t="s"/>
      <c r="H423" t="s"/>
      <c r="I423" t="s"/>
      <c r="J423" t="n">
        <v>0.8168</v>
      </c>
      <c r="K423" t="n">
        <v>0.046</v>
      </c>
      <c r="L423" t="n">
        <v>0.66</v>
      </c>
      <c r="M423" t="n">
        <v>0.293</v>
      </c>
    </row>
    <row r="424" spans="1:13">
      <c r="A424" s="1">
        <f>HYPERLINK("http://www.twitter.com/NathanBLawrence/status/994717618392190977", "994717618392190977")</f>
        <v/>
      </c>
      <c r="B424" s="2" t="n">
        <v>43230.96915509259</v>
      </c>
      <c r="C424" t="n">
        <v>0</v>
      </c>
      <c r="D424" t="n">
        <v>14</v>
      </c>
      <c r="E424" t="s">
        <v>433</v>
      </c>
      <c r="F424" t="s"/>
      <c r="G424" t="s"/>
      <c r="H424" t="s"/>
      <c r="I424" t="s"/>
      <c r="J424" t="n">
        <v>-0.8401999999999999</v>
      </c>
      <c r="K424" t="n">
        <v>0.375</v>
      </c>
      <c r="L424" t="n">
        <v>0.625</v>
      </c>
      <c r="M424" t="n">
        <v>0</v>
      </c>
    </row>
    <row r="425" spans="1:13">
      <c r="A425" s="1">
        <f>HYPERLINK("http://www.twitter.com/NathanBLawrence/status/994717523609255937", "994717523609255937")</f>
        <v/>
      </c>
      <c r="B425" s="2" t="n">
        <v>43230.96890046296</v>
      </c>
      <c r="C425" t="n">
        <v>0</v>
      </c>
      <c r="D425" t="n">
        <v>11</v>
      </c>
      <c r="E425" t="s">
        <v>434</v>
      </c>
      <c r="F425" t="s"/>
      <c r="G425" t="s"/>
      <c r="H425" t="s"/>
      <c r="I425" t="s"/>
      <c r="J425" t="n">
        <v>0.1469</v>
      </c>
      <c r="K425" t="n">
        <v>0.16</v>
      </c>
      <c r="L425" t="n">
        <v>0.6929999999999999</v>
      </c>
      <c r="M425" t="n">
        <v>0.147</v>
      </c>
    </row>
    <row r="426" spans="1:13">
      <c r="A426" s="1">
        <f>HYPERLINK("http://www.twitter.com/NathanBLawrence/status/994717329027207170", "994717329027207170")</f>
        <v/>
      </c>
      <c r="B426" s="2" t="n">
        <v>43230.96835648148</v>
      </c>
      <c r="C426" t="n">
        <v>10</v>
      </c>
      <c r="D426" t="n">
        <v>3</v>
      </c>
      <c r="E426" t="s">
        <v>435</v>
      </c>
      <c r="F426">
        <f>HYPERLINK("http://pbs.twimg.com/media/Dc3yIs3XkAE7l01.jpg", "http://pbs.twimg.com/media/Dc3yIs3XkAE7l01.jpg")</f>
        <v/>
      </c>
      <c r="G426" t="s"/>
      <c r="H426" t="s"/>
      <c r="I426" t="s"/>
      <c r="J426" t="n">
        <v>0.3818</v>
      </c>
      <c r="K426" t="n">
        <v>0.097</v>
      </c>
      <c r="L426" t="n">
        <v>0.775</v>
      </c>
      <c r="M426" t="n">
        <v>0.128</v>
      </c>
    </row>
    <row r="427" spans="1:13">
      <c r="A427" s="1">
        <f>HYPERLINK("http://www.twitter.com/NathanBLawrence/status/994715952225947648", "994715952225947648")</f>
        <v/>
      </c>
      <c r="B427" s="2" t="n">
        <v>43230.96456018519</v>
      </c>
      <c r="C427" t="n">
        <v>0</v>
      </c>
      <c r="D427" t="n">
        <v>6</v>
      </c>
      <c r="E427" t="s">
        <v>436</v>
      </c>
      <c r="F427">
        <f>HYPERLINK("http://pbs.twimg.com/media/Dc3wkqKX0AA6x1c.jpg", "http://pbs.twimg.com/media/Dc3wkqKX0AA6x1c.jpg")</f>
        <v/>
      </c>
      <c r="G427" t="s"/>
      <c r="H427" t="s"/>
      <c r="I427" t="s"/>
      <c r="J427" t="n">
        <v>-0.4199</v>
      </c>
      <c r="K427" t="n">
        <v>0.141</v>
      </c>
      <c r="L427" t="n">
        <v>0.859</v>
      </c>
      <c r="M427" t="n">
        <v>0</v>
      </c>
    </row>
    <row r="428" spans="1:13">
      <c r="A428" s="1">
        <f>HYPERLINK("http://www.twitter.com/NathanBLawrence/status/994715706846523393", "994715706846523393")</f>
        <v/>
      </c>
      <c r="B428" s="2" t="n">
        <v>43230.96388888889</v>
      </c>
      <c r="C428" t="n">
        <v>0</v>
      </c>
      <c r="D428" t="n">
        <v>1</v>
      </c>
      <c r="E428" t="s">
        <v>437</v>
      </c>
      <c r="F428" t="s"/>
      <c r="G428" t="s"/>
      <c r="H428" t="s"/>
      <c r="I428" t="s"/>
      <c r="J428" t="n">
        <v>-0.1298</v>
      </c>
      <c r="K428" t="n">
        <v>0.137</v>
      </c>
      <c r="L428" t="n">
        <v>0.745</v>
      </c>
      <c r="M428" t="n">
        <v>0.117</v>
      </c>
    </row>
    <row r="429" spans="1:13">
      <c r="A429" s="1">
        <f>HYPERLINK("http://www.twitter.com/NathanBLawrence/status/994715616975171585", "994715616975171585")</f>
        <v/>
      </c>
      <c r="B429" s="2" t="n">
        <v>43230.96363425926</v>
      </c>
      <c r="C429" t="n">
        <v>15</v>
      </c>
      <c r="D429" t="n">
        <v>6</v>
      </c>
      <c r="E429" t="s">
        <v>438</v>
      </c>
      <c r="F429">
        <f>HYPERLINK("http://pbs.twimg.com/media/Dc3wkqKX0AA6x1c.jpg", "http://pbs.twimg.com/media/Dc3wkqKX0AA6x1c.jpg")</f>
        <v/>
      </c>
      <c r="G429" t="s"/>
      <c r="H429" t="s"/>
      <c r="I429" t="s"/>
      <c r="J429" t="n">
        <v>-0.4199</v>
      </c>
      <c r="K429" t="n">
        <v>0.097</v>
      </c>
      <c r="L429" t="n">
        <v>0.903</v>
      </c>
      <c r="M429" t="n">
        <v>0</v>
      </c>
    </row>
    <row r="430" spans="1:13">
      <c r="A430" s="1">
        <f>HYPERLINK("http://www.twitter.com/NathanBLawrence/status/994713836245737474", "994713836245737474")</f>
        <v/>
      </c>
      <c r="B430" s="2" t="n">
        <v>43230.95872685185</v>
      </c>
      <c r="C430" t="n">
        <v>6</v>
      </c>
      <c r="D430" t="n">
        <v>0</v>
      </c>
      <c r="E430" t="s">
        <v>439</v>
      </c>
      <c r="F430">
        <f>HYPERLINK("http://pbs.twimg.com/media/Dc3u9VvXkAAll0l.jpg", "http://pbs.twimg.com/media/Dc3u9VvXkAAll0l.jpg")</f>
        <v/>
      </c>
      <c r="G430" t="s"/>
      <c r="H430" t="s"/>
      <c r="I430" t="s"/>
      <c r="J430" t="n">
        <v>0</v>
      </c>
      <c r="K430" t="n">
        <v>0</v>
      </c>
      <c r="L430" t="n">
        <v>1</v>
      </c>
      <c r="M430" t="n">
        <v>0</v>
      </c>
    </row>
    <row r="431" spans="1:13">
      <c r="A431" s="1">
        <f>HYPERLINK("http://www.twitter.com/NathanBLawrence/status/994713503062740997", "994713503062740997")</f>
        <v/>
      </c>
      <c r="B431" s="2" t="n">
        <v>43230.95780092593</v>
      </c>
      <c r="C431" t="n">
        <v>0</v>
      </c>
      <c r="D431" t="n">
        <v>8</v>
      </c>
      <c r="E431" t="s">
        <v>440</v>
      </c>
      <c r="F431" t="s"/>
      <c r="G431" t="s"/>
      <c r="H431" t="s"/>
      <c r="I431" t="s"/>
      <c r="J431" t="n">
        <v>-0.4767</v>
      </c>
      <c r="K431" t="n">
        <v>0.181</v>
      </c>
      <c r="L431" t="n">
        <v>0.819</v>
      </c>
      <c r="M431" t="n">
        <v>0</v>
      </c>
    </row>
    <row r="432" spans="1:13">
      <c r="A432" s="1">
        <f>HYPERLINK("http://www.twitter.com/NathanBLawrence/status/994713485597663234", "994713485597663234")</f>
        <v/>
      </c>
      <c r="B432" s="2" t="n">
        <v>43230.95775462963</v>
      </c>
      <c r="C432" t="n">
        <v>0</v>
      </c>
      <c r="D432" t="n">
        <v>3007</v>
      </c>
      <c r="E432" t="s">
        <v>441</v>
      </c>
      <c r="F432" t="s"/>
      <c r="G432" t="s"/>
      <c r="H432" t="s"/>
      <c r="I432" t="s"/>
      <c r="J432" t="n">
        <v>0</v>
      </c>
      <c r="K432" t="n">
        <v>0</v>
      </c>
      <c r="L432" t="n">
        <v>1</v>
      </c>
      <c r="M432" t="n">
        <v>0</v>
      </c>
    </row>
    <row r="433" spans="1:13">
      <c r="A433" s="1">
        <f>HYPERLINK("http://www.twitter.com/NathanBLawrence/status/994713440865476613", "994713440865476613")</f>
        <v/>
      </c>
      <c r="B433" s="2" t="n">
        <v>43230.95762731481</v>
      </c>
      <c r="C433" t="n">
        <v>0</v>
      </c>
      <c r="D433" t="n">
        <v>3786</v>
      </c>
      <c r="E433" t="s">
        <v>442</v>
      </c>
      <c r="F433" t="s"/>
      <c r="G433" t="s"/>
      <c r="H433" t="s"/>
      <c r="I433" t="s"/>
      <c r="J433" t="n">
        <v>0</v>
      </c>
      <c r="K433" t="n">
        <v>0</v>
      </c>
      <c r="L433" t="n">
        <v>1</v>
      </c>
      <c r="M433" t="n">
        <v>0</v>
      </c>
    </row>
    <row r="434" spans="1:13">
      <c r="A434" s="1">
        <f>HYPERLINK("http://www.twitter.com/NathanBLawrence/status/994713312813355011", "994713312813355011")</f>
        <v/>
      </c>
      <c r="B434" s="2" t="n">
        <v>43230.9572800926</v>
      </c>
      <c r="C434" t="n">
        <v>0</v>
      </c>
      <c r="D434" t="n">
        <v>82</v>
      </c>
      <c r="E434" t="s">
        <v>443</v>
      </c>
      <c r="F434">
        <f>HYPERLINK("http://pbs.twimg.com/media/Dc16djsXUAAad9i.jpg", "http://pbs.twimg.com/media/Dc16djsXUAAad9i.jpg")</f>
        <v/>
      </c>
      <c r="G434">
        <f>HYPERLINK("http://pbs.twimg.com/media/Dc16djtXUAEJz-6.jpg", "http://pbs.twimg.com/media/Dc16djtXUAEJz-6.jpg")</f>
        <v/>
      </c>
      <c r="H434" t="s"/>
      <c r="I434" t="s"/>
      <c r="J434" t="n">
        <v>0.4404</v>
      </c>
      <c r="K434" t="n">
        <v>0</v>
      </c>
      <c r="L434" t="n">
        <v>0.868</v>
      </c>
      <c r="M434" t="n">
        <v>0.132</v>
      </c>
    </row>
    <row r="435" spans="1:13">
      <c r="A435" s="1">
        <f>HYPERLINK("http://www.twitter.com/NathanBLawrence/status/994712431950745601", "994712431950745601")</f>
        <v/>
      </c>
      <c r="B435" s="2" t="n">
        <v>43230.95484953704</v>
      </c>
      <c r="C435" t="n">
        <v>3</v>
      </c>
      <c r="D435" t="n">
        <v>1</v>
      </c>
      <c r="E435" t="s">
        <v>444</v>
      </c>
      <c r="F435">
        <f>HYPERLINK("http://pbs.twimg.com/media/Dc3trpEXUAANM-D.jpg", "http://pbs.twimg.com/media/Dc3trpEXUAANM-D.jpg")</f>
        <v/>
      </c>
      <c r="G435" t="s"/>
      <c r="H435" t="s"/>
      <c r="I435" t="s"/>
      <c r="J435" t="n">
        <v>0</v>
      </c>
      <c r="K435" t="n">
        <v>0</v>
      </c>
      <c r="L435" t="n">
        <v>1</v>
      </c>
      <c r="M435" t="n">
        <v>0</v>
      </c>
    </row>
    <row r="436" spans="1:13">
      <c r="A436" s="1">
        <f>HYPERLINK("http://www.twitter.com/NathanBLawrence/status/994711820681269253", "994711820681269253")</f>
        <v/>
      </c>
      <c r="B436" s="2" t="n">
        <v>43230.95315972222</v>
      </c>
      <c r="C436" t="n">
        <v>0</v>
      </c>
      <c r="D436" t="n">
        <v>5</v>
      </c>
      <c r="E436" t="s">
        <v>445</v>
      </c>
      <c r="F436">
        <f>HYPERLINK("http://pbs.twimg.com/media/Dc3sSxAXUAA4QT-.jpg", "http://pbs.twimg.com/media/Dc3sSxAXUAA4QT-.jpg")</f>
        <v/>
      </c>
      <c r="G436" t="s"/>
      <c r="H436" t="s"/>
      <c r="I436" t="s"/>
      <c r="J436" t="n">
        <v>0</v>
      </c>
      <c r="K436" t="n">
        <v>0</v>
      </c>
      <c r="L436" t="n">
        <v>1</v>
      </c>
      <c r="M436" t="n">
        <v>0</v>
      </c>
    </row>
    <row r="437" spans="1:13">
      <c r="A437" s="1">
        <f>HYPERLINK("http://www.twitter.com/NathanBLawrence/status/994711812812738566", "994711812812738566")</f>
        <v/>
      </c>
      <c r="B437" s="2" t="n">
        <v>43230.95313657408</v>
      </c>
      <c r="C437" t="n">
        <v>5</v>
      </c>
      <c r="D437" t="n">
        <v>1</v>
      </c>
      <c r="E437" t="s">
        <v>446</v>
      </c>
      <c r="F437">
        <f>HYPERLINK("http://pbs.twimg.com/media/Dc3tHfBXUAEAfH-.jpg", "http://pbs.twimg.com/media/Dc3tHfBXUAEAfH-.jpg")</f>
        <v/>
      </c>
      <c r="G437" t="s"/>
      <c r="H437" t="s"/>
      <c r="I437" t="s"/>
      <c r="J437" t="n">
        <v>0</v>
      </c>
      <c r="K437" t="n">
        <v>0</v>
      </c>
      <c r="L437" t="n">
        <v>1</v>
      </c>
      <c r="M437" t="n">
        <v>0</v>
      </c>
    </row>
    <row r="438" spans="1:13">
      <c r="A438" s="1">
        <f>HYPERLINK("http://www.twitter.com/NathanBLawrence/status/994711285928427521", "994711285928427521")</f>
        <v/>
      </c>
      <c r="B438" s="2" t="n">
        <v>43230.95168981481</v>
      </c>
      <c r="C438" t="n">
        <v>0</v>
      </c>
      <c r="D438" t="n">
        <v>7</v>
      </c>
      <c r="E438" t="s">
        <v>447</v>
      </c>
      <c r="F438" t="s"/>
      <c r="G438" t="s"/>
      <c r="H438" t="s"/>
      <c r="I438" t="s"/>
      <c r="J438" t="n">
        <v>0</v>
      </c>
      <c r="K438" t="n">
        <v>0</v>
      </c>
      <c r="L438" t="n">
        <v>1</v>
      </c>
      <c r="M438" t="n">
        <v>0</v>
      </c>
    </row>
    <row r="439" spans="1:13">
      <c r="A439" s="1">
        <f>HYPERLINK("http://www.twitter.com/NathanBLawrence/status/994711155842174982", "994711155842174982")</f>
        <v/>
      </c>
      <c r="B439" s="2" t="n">
        <v>43230.95133101852</v>
      </c>
      <c r="C439" t="n">
        <v>0</v>
      </c>
      <c r="D439" t="n">
        <v>14</v>
      </c>
      <c r="E439" t="s">
        <v>448</v>
      </c>
      <c r="F439" t="s"/>
      <c r="G439" t="s"/>
      <c r="H439" t="s"/>
      <c r="I439" t="s"/>
      <c r="J439" t="n">
        <v>0</v>
      </c>
      <c r="K439" t="n">
        <v>0</v>
      </c>
      <c r="L439" t="n">
        <v>1</v>
      </c>
      <c r="M439" t="n">
        <v>0</v>
      </c>
    </row>
    <row r="440" spans="1:13">
      <c r="A440" s="1">
        <f>HYPERLINK("http://www.twitter.com/NathanBLawrence/status/994711099147735040", "994711099147735040")</f>
        <v/>
      </c>
      <c r="B440" s="2" t="n">
        <v>43230.95116898148</v>
      </c>
      <c r="C440" t="n">
        <v>0</v>
      </c>
      <c r="D440" t="n">
        <v>17</v>
      </c>
      <c r="E440" t="s">
        <v>449</v>
      </c>
      <c r="F440">
        <f>HYPERLINK("http://pbs.twimg.com/media/Dc3SX1mWkAMANbN.jpg", "http://pbs.twimg.com/media/Dc3SX1mWkAMANbN.jpg")</f>
        <v/>
      </c>
      <c r="G440" t="s"/>
      <c r="H440" t="s"/>
      <c r="I440" t="s"/>
      <c r="J440" t="n">
        <v>-0.5719</v>
      </c>
      <c r="K440" t="n">
        <v>0.15</v>
      </c>
      <c r="L440" t="n">
        <v>0.85</v>
      </c>
      <c r="M440" t="n">
        <v>0</v>
      </c>
    </row>
    <row r="441" spans="1:13">
      <c r="A441" s="1">
        <f>HYPERLINK("http://www.twitter.com/NathanBLawrence/status/994710906830508032", "994710906830508032")</f>
        <v/>
      </c>
      <c r="B441" s="2" t="n">
        <v>43230.95063657407</v>
      </c>
      <c r="C441" t="n">
        <v>7</v>
      </c>
      <c r="D441" t="n">
        <v>5</v>
      </c>
      <c r="E441" t="s">
        <v>450</v>
      </c>
      <c r="F441">
        <f>HYPERLINK("http://pbs.twimg.com/media/Dc3sSxAXUAA4QT-.jpg", "http://pbs.twimg.com/media/Dc3sSxAXUAA4QT-.jpg")</f>
        <v/>
      </c>
      <c r="G441" t="s"/>
      <c r="H441" t="s"/>
      <c r="I441" t="s"/>
      <c r="J441" t="n">
        <v>0</v>
      </c>
      <c r="K441" t="n">
        <v>0</v>
      </c>
      <c r="L441" t="n">
        <v>1</v>
      </c>
      <c r="M441" t="n">
        <v>0</v>
      </c>
    </row>
    <row r="442" spans="1:13">
      <c r="A442" s="1">
        <f>HYPERLINK("http://www.twitter.com/NathanBLawrence/status/994709705791598594", "994709705791598594")</f>
        <v/>
      </c>
      <c r="B442" s="2" t="n">
        <v>43230.94732638889</v>
      </c>
      <c r="C442" t="n">
        <v>0</v>
      </c>
      <c r="D442" t="n">
        <v>5</v>
      </c>
      <c r="E442" t="s">
        <v>451</v>
      </c>
      <c r="F442">
        <f>HYPERLINK("http://pbs.twimg.com/media/Dc3pTWOX4AAnQaW.jpg", "http://pbs.twimg.com/media/Dc3pTWOX4AAnQaW.jpg")</f>
        <v/>
      </c>
      <c r="G442" t="s"/>
      <c r="H442" t="s"/>
      <c r="I442" t="s"/>
      <c r="J442" t="n">
        <v>0</v>
      </c>
      <c r="K442" t="n">
        <v>0</v>
      </c>
      <c r="L442" t="n">
        <v>1</v>
      </c>
      <c r="M442" t="n">
        <v>0</v>
      </c>
    </row>
    <row r="443" spans="1:13">
      <c r="A443" s="1">
        <f>HYPERLINK("http://www.twitter.com/NathanBLawrence/status/994709385833263104", "994709385833263104")</f>
        <v/>
      </c>
      <c r="B443" s="2" t="n">
        <v>43230.94644675926</v>
      </c>
      <c r="C443" t="n">
        <v>0</v>
      </c>
      <c r="D443" t="n">
        <v>12</v>
      </c>
      <c r="E443" t="s">
        <v>452</v>
      </c>
      <c r="F443" t="s"/>
      <c r="G443" t="s"/>
      <c r="H443" t="s"/>
      <c r="I443" t="s"/>
      <c r="J443" t="n">
        <v>0</v>
      </c>
      <c r="K443" t="n">
        <v>0</v>
      </c>
      <c r="L443" t="n">
        <v>1</v>
      </c>
      <c r="M443" t="n">
        <v>0</v>
      </c>
    </row>
    <row r="444" spans="1:13">
      <c r="A444" s="1">
        <f>HYPERLINK("http://www.twitter.com/NathanBLawrence/status/994709205050429440", "994709205050429440")</f>
        <v/>
      </c>
      <c r="B444" s="2" t="n">
        <v>43230.9459375</v>
      </c>
      <c r="C444" t="n">
        <v>0</v>
      </c>
      <c r="D444" t="n">
        <v>6</v>
      </c>
      <c r="E444" t="s">
        <v>453</v>
      </c>
      <c r="F444">
        <f>HYPERLINK("http://pbs.twimg.com/media/Dc2gvF3XUAA5iIi.jpg", "http://pbs.twimg.com/media/Dc2gvF3XUAA5iIi.jpg")</f>
        <v/>
      </c>
      <c r="G444" t="s"/>
      <c r="H444" t="s"/>
      <c r="I444" t="s"/>
      <c r="J444" t="n">
        <v>0</v>
      </c>
      <c r="K444" t="n">
        <v>0</v>
      </c>
      <c r="L444" t="n">
        <v>1</v>
      </c>
      <c r="M444" t="n">
        <v>0</v>
      </c>
    </row>
    <row r="445" spans="1:13">
      <c r="A445" s="1">
        <f>HYPERLINK("http://www.twitter.com/NathanBLawrence/status/994709049563328513", "994709049563328513")</f>
        <v/>
      </c>
      <c r="B445" s="2" t="n">
        <v>43230.94550925926</v>
      </c>
      <c r="C445" t="n">
        <v>0</v>
      </c>
      <c r="D445" t="n">
        <v>10</v>
      </c>
      <c r="E445" t="s">
        <v>454</v>
      </c>
      <c r="F445">
        <f>HYPERLINK("http://pbs.twimg.com/media/Dc2uTl8W4AA58ah.jpg", "http://pbs.twimg.com/media/Dc2uTl8W4AA58ah.jpg")</f>
        <v/>
      </c>
      <c r="G445" t="s"/>
      <c r="H445" t="s"/>
      <c r="I445" t="s"/>
      <c r="J445" t="n">
        <v>0.5574</v>
      </c>
      <c r="K445" t="n">
        <v>0.048</v>
      </c>
      <c r="L445" t="n">
        <v>0.746</v>
      </c>
      <c r="M445" t="n">
        <v>0.206</v>
      </c>
    </row>
    <row r="446" spans="1:13">
      <c r="A446" s="1">
        <f>HYPERLINK("http://www.twitter.com/NathanBLawrence/status/994709010975686658", "994709010975686658")</f>
        <v/>
      </c>
      <c r="B446" s="2" t="n">
        <v>43230.94540509259</v>
      </c>
      <c r="C446" t="n">
        <v>0</v>
      </c>
      <c r="D446" t="n">
        <v>13</v>
      </c>
      <c r="E446" t="s">
        <v>455</v>
      </c>
      <c r="F446">
        <f>HYPERLINK("http://pbs.twimg.com/media/Dc2DVrwW4AUk41y.jpg", "http://pbs.twimg.com/media/Dc2DVrwW4AUk41y.jpg")</f>
        <v/>
      </c>
      <c r="G446" t="s"/>
      <c r="H446" t="s"/>
      <c r="I446" t="s"/>
      <c r="J446" t="n">
        <v>-0.794</v>
      </c>
      <c r="K446" t="n">
        <v>0.261</v>
      </c>
      <c r="L446" t="n">
        <v>0.739</v>
      </c>
      <c r="M446" t="n">
        <v>0</v>
      </c>
    </row>
    <row r="447" spans="1:13">
      <c r="A447" s="1">
        <f>HYPERLINK("http://www.twitter.com/NathanBLawrence/status/994708911512014850", "994708911512014850")</f>
        <v/>
      </c>
      <c r="B447" s="2" t="n">
        <v>43230.94512731482</v>
      </c>
      <c r="C447" t="n">
        <v>0</v>
      </c>
      <c r="D447" t="n">
        <v>24</v>
      </c>
      <c r="E447" t="s">
        <v>456</v>
      </c>
      <c r="F447" t="s"/>
      <c r="G447" t="s"/>
      <c r="H447" t="s"/>
      <c r="I447" t="s"/>
      <c r="J447" t="n">
        <v>0.5266999999999999</v>
      </c>
      <c r="K447" t="n">
        <v>0</v>
      </c>
      <c r="L447" t="n">
        <v>0.876</v>
      </c>
      <c r="M447" t="n">
        <v>0.124</v>
      </c>
    </row>
    <row r="448" spans="1:13">
      <c r="A448" s="1">
        <f>HYPERLINK("http://www.twitter.com/NathanBLawrence/status/994708496066187265", "994708496066187265")</f>
        <v/>
      </c>
      <c r="B448" s="2" t="n">
        <v>43230.94398148148</v>
      </c>
      <c r="C448" t="n">
        <v>0</v>
      </c>
      <c r="D448" t="n">
        <v>4</v>
      </c>
      <c r="E448" t="s">
        <v>457</v>
      </c>
      <c r="F448">
        <f>HYPERLINK("http://pbs.twimg.com/media/Dc3p4BcWkAIzh7Z.jpg", "http://pbs.twimg.com/media/Dc3p4BcWkAIzh7Z.jpg")</f>
        <v/>
      </c>
      <c r="G448" t="s"/>
      <c r="H448" t="s"/>
      <c r="I448" t="s"/>
      <c r="J448" t="n">
        <v>0</v>
      </c>
      <c r="K448" t="n">
        <v>0</v>
      </c>
      <c r="L448" t="n">
        <v>1</v>
      </c>
      <c r="M448" t="n">
        <v>0</v>
      </c>
    </row>
    <row r="449" spans="1:13">
      <c r="A449" s="1">
        <f>HYPERLINK("http://www.twitter.com/NathanBLawrence/status/994708413530689536", "994708413530689536")</f>
        <v/>
      </c>
      <c r="B449" s="2" t="n">
        <v>43230.94376157408</v>
      </c>
      <c r="C449" t="n">
        <v>0</v>
      </c>
      <c r="D449" t="n">
        <v>8</v>
      </c>
      <c r="E449" t="s">
        <v>458</v>
      </c>
      <c r="F449">
        <f>HYPERLINK("http://pbs.twimg.com/media/Dc21-X7XcAAdFNW.jpg", "http://pbs.twimg.com/media/Dc21-X7XcAAdFNW.jpg")</f>
        <v/>
      </c>
      <c r="G449" t="s"/>
      <c r="H449" t="s"/>
      <c r="I449" t="s"/>
      <c r="J449" t="n">
        <v>0</v>
      </c>
      <c r="K449" t="n">
        <v>0</v>
      </c>
      <c r="L449" t="n">
        <v>1</v>
      </c>
      <c r="M449" t="n">
        <v>0</v>
      </c>
    </row>
    <row r="450" spans="1:13">
      <c r="A450" s="1">
        <f>HYPERLINK("http://www.twitter.com/NathanBLawrence/status/994708247297904640", "994708247297904640")</f>
        <v/>
      </c>
      <c r="B450" s="2" t="n">
        <v>43230.94329861111</v>
      </c>
      <c r="C450" t="n">
        <v>7</v>
      </c>
      <c r="D450" t="n">
        <v>4</v>
      </c>
      <c r="E450" t="s">
        <v>459</v>
      </c>
      <c r="F450">
        <f>HYPERLINK("http://pbs.twimg.com/media/Dc3p4BcWkAIzh7Z.jpg", "http://pbs.twimg.com/media/Dc3p4BcWkAIzh7Z.jpg")</f>
        <v/>
      </c>
      <c r="G450" t="s"/>
      <c r="H450" t="s"/>
      <c r="I450" t="s"/>
      <c r="J450" t="n">
        <v>0</v>
      </c>
      <c r="K450" t="n">
        <v>0</v>
      </c>
      <c r="L450" t="n">
        <v>1</v>
      </c>
      <c r="M450" t="n">
        <v>0</v>
      </c>
    </row>
    <row r="451" spans="1:13">
      <c r="A451" s="1">
        <f>HYPERLINK("http://www.twitter.com/NathanBLawrence/status/994707868900347909", "994707868900347909")</f>
        <v/>
      </c>
      <c r="B451" s="2" t="n">
        <v>43230.94225694444</v>
      </c>
      <c r="C451" t="n">
        <v>9</v>
      </c>
      <c r="D451" t="n">
        <v>5</v>
      </c>
      <c r="E451" t="s">
        <v>460</v>
      </c>
      <c r="F451">
        <f>HYPERLINK("http://pbs.twimg.com/media/Dc3ph-1XcAAXumF.jpg", "http://pbs.twimg.com/media/Dc3ph-1XcAAXumF.jpg")</f>
        <v/>
      </c>
      <c r="G451" t="s"/>
      <c r="H451" t="s"/>
      <c r="I451" t="s"/>
      <c r="J451" t="n">
        <v>0</v>
      </c>
      <c r="K451" t="n">
        <v>0</v>
      </c>
      <c r="L451" t="n">
        <v>1</v>
      </c>
      <c r="M451" t="n">
        <v>0</v>
      </c>
    </row>
    <row r="452" spans="1:13">
      <c r="A452" s="1">
        <f>HYPERLINK("http://www.twitter.com/NathanBLawrence/status/994707618387066880", "994707618387066880")</f>
        <v/>
      </c>
      <c r="B452" s="2" t="n">
        <v>43230.9415625</v>
      </c>
      <c r="C452" t="n">
        <v>6</v>
      </c>
      <c r="D452" t="n">
        <v>5</v>
      </c>
      <c r="E452" t="s">
        <v>461</v>
      </c>
      <c r="F452">
        <f>HYPERLINK("http://pbs.twimg.com/media/Dc3pTWOX4AAnQaW.jpg", "http://pbs.twimg.com/media/Dc3pTWOX4AAnQaW.jpg")</f>
        <v/>
      </c>
      <c r="G452" t="s"/>
      <c r="H452" t="s"/>
      <c r="I452" t="s"/>
      <c r="J452" t="n">
        <v>0</v>
      </c>
      <c r="K452" t="n">
        <v>0</v>
      </c>
      <c r="L452" t="n">
        <v>1</v>
      </c>
      <c r="M452" t="n">
        <v>0</v>
      </c>
    </row>
    <row r="453" spans="1:13">
      <c r="A453" s="1">
        <f>HYPERLINK("http://www.twitter.com/NathanBLawrence/status/994706451187879941", "994706451187879941")</f>
        <v/>
      </c>
      <c r="B453" s="2" t="n">
        <v>43230.93834490741</v>
      </c>
      <c r="C453" t="n">
        <v>0</v>
      </c>
      <c r="D453" t="n">
        <v>8</v>
      </c>
      <c r="E453" t="s">
        <v>462</v>
      </c>
      <c r="F453" t="s"/>
      <c r="G453" t="s"/>
      <c r="H453" t="s"/>
      <c r="I453" t="s"/>
      <c r="J453" t="n">
        <v>-0.0772</v>
      </c>
      <c r="K453" t="n">
        <v>0.149</v>
      </c>
      <c r="L453" t="n">
        <v>0.718</v>
      </c>
      <c r="M453" t="n">
        <v>0.133</v>
      </c>
    </row>
    <row r="454" spans="1:13">
      <c r="A454" s="1">
        <f>HYPERLINK("http://www.twitter.com/NathanBLawrence/status/994635332980264961", "994635332980264961")</f>
        <v/>
      </c>
      <c r="B454" s="2" t="n">
        <v>43230.74209490741</v>
      </c>
      <c r="C454" t="n">
        <v>0</v>
      </c>
      <c r="D454" t="n">
        <v>8</v>
      </c>
      <c r="E454" t="s">
        <v>463</v>
      </c>
      <c r="F454" t="s"/>
      <c r="G454" t="s"/>
      <c r="H454" t="s"/>
      <c r="I454" t="s"/>
      <c r="J454" t="n">
        <v>-0.4767</v>
      </c>
      <c r="K454" t="n">
        <v>0.17</v>
      </c>
      <c r="L454" t="n">
        <v>0.83</v>
      </c>
      <c r="M454" t="n">
        <v>0</v>
      </c>
    </row>
    <row r="455" spans="1:13">
      <c r="A455" s="1">
        <f>HYPERLINK("http://www.twitter.com/NathanBLawrence/status/994635314558881792", "994635314558881792")</f>
        <v/>
      </c>
      <c r="B455" s="2" t="n">
        <v>43230.74204861111</v>
      </c>
      <c r="C455" t="n">
        <v>0</v>
      </c>
      <c r="D455" t="n">
        <v>9</v>
      </c>
      <c r="E455" t="s">
        <v>464</v>
      </c>
      <c r="F455" t="s"/>
      <c r="G455" t="s"/>
      <c r="H455" t="s"/>
      <c r="I455" t="s"/>
      <c r="J455" t="n">
        <v>-0.5574</v>
      </c>
      <c r="K455" t="n">
        <v>0.146</v>
      </c>
      <c r="L455" t="n">
        <v>0.854</v>
      </c>
      <c r="M455" t="n">
        <v>0</v>
      </c>
    </row>
    <row r="456" spans="1:13">
      <c r="A456" s="1">
        <f>HYPERLINK("http://www.twitter.com/NathanBLawrence/status/994620343464718338", "994620343464718338")</f>
        <v/>
      </c>
      <c r="B456" s="2" t="n">
        <v>43230.70072916667</v>
      </c>
      <c r="C456" t="n">
        <v>0</v>
      </c>
      <c r="D456" t="n">
        <v>10</v>
      </c>
      <c r="E456" t="s">
        <v>465</v>
      </c>
      <c r="F456">
        <f>HYPERLINK("http://pbs.twimg.com/media/Dc2YpqeXUAAfLRM.jpg", "http://pbs.twimg.com/media/Dc2YpqeXUAAfLRM.jpg")</f>
        <v/>
      </c>
      <c r="G456" t="s"/>
      <c r="H456" t="s"/>
      <c r="I456" t="s"/>
      <c r="J456" t="n">
        <v>0</v>
      </c>
      <c r="K456" t="n">
        <v>0</v>
      </c>
      <c r="L456" t="n">
        <v>1</v>
      </c>
      <c r="M456" t="n">
        <v>0</v>
      </c>
    </row>
    <row r="457" spans="1:13">
      <c r="A457" s="1">
        <f>HYPERLINK("http://www.twitter.com/NathanBLawrence/status/994618066591010817", "994618066591010817")</f>
        <v/>
      </c>
      <c r="B457" s="2" t="n">
        <v>43230.69444444445</v>
      </c>
      <c r="C457" t="n">
        <v>0</v>
      </c>
      <c r="D457" t="n">
        <v>2</v>
      </c>
      <c r="E457" t="s">
        <v>466</v>
      </c>
      <c r="F457" t="s"/>
      <c r="G457" t="s"/>
      <c r="H457" t="s"/>
      <c r="I457" t="s"/>
      <c r="J457" t="n">
        <v>-0.0772</v>
      </c>
      <c r="K457" t="n">
        <v>0.08400000000000001</v>
      </c>
      <c r="L457" t="n">
        <v>0.842</v>
      </c>
      <c r="M457" t="n">
        <v>0.074</v>
      </c>
    </row>
    <row r="458" spans="1:13">
      <c r="A458" s="1">
        <f>HYPERLINK("http://www.twitter.com/NathanBLawrence/status/994617448983859203", "994617448983859203")</f>
        <v/>
      </c>
      <c r="B458" s="2" t="n">
        <v>43230.69274305556</v>
      </c>
      <c r="C458" t="n">
        <v>0</v>
      </c>
      <c r="D458" t="n">
        <v>13</v>
      </c>
      <c r="E458" t="s">
        <v>467</v>
      </c>
      <c r="F458">
        <f>HYPERLINK("http://pbs.twimg.com/media/DcsfDHuU8AE-h6k.jpg", "http://pbs.twimg.com/media/DcsfDHuU8AE-h6k.jpg")</f>
        <v/>
      </c>
      <c r="G458" t="s"/>
      <c r="H458" t="s"/>
      <c r="I458" t="s"/>
      <c r="J458" t="n">
        <v>-0.6908</v>
      </c>
      <c r="K458" t="n">
        <v>0.231</v>
      </c>
      <c r="L458" t="n">
        <v>0.769</v>
      </c>
      <c r="M458" t="n">
        <v>0</v>
      </c>
    </row>
    <row r="459" spans="1:13">
      <c r="A459" s="1">
        <f>HYPERLINK("http://www.twitter.com/NathanBLawrence/status/994617393786884096", "994617393786884096")</f>
        <v/>
      </c>
      <c r="B459" s="2" t="n">
        <v>43230.69259259259</v>
      </c>
      <c r="C459" t="n">
        <v>0</v>
      </c>
      <c r="D459" t="n">
        <v>14</v>
      </c>
      <c r="E459" t="s">
        <v>468</v>
      </c>
      <c r="F459" t="s"/>
      <c r="G459" t="s"/>
      <c r="H459" t="s"/>
      <c r="I459" t="s"/>
      <c r="J459" t="n">
        <v>0.6514</v>
      </c>
      <c r="K459" t="n">
        <v>0.105</v>
      </c>
      <c r="L459" t="n">
        <v>0.65</v>
      </c>
      <c r="M459" t="n">
        <v>0.245</v>
      </c>
    </row>
    <row r="460" spans="1:13">
      <c r="A460" s="1">
        <f>HYPERLINK("http://www.twitter.com/NathanBLawrence/status/994617354825936896", "994617354825936896")</f>
        <v/>
      </c>
      <c r="B460" s="2" t="n">
        <v>43230.69248842593</v>
      </c>
      <c r="C460" t="n">
        <v>0</v>
      </c>
      <c r="D460" t="n">
        <v>15</v>
      </c>
      <c r="E460" t="s">
        <v>469</v>
      </c>
      <c r="F460" t="s"/>
      <c r="G460" t="s"/>
      <c r="H460" t="s"/>
      <c r="I460" t="s"/>
      <c r="J460" t="n">
        <v>-0.8316</v>
      </c>
      <c r="K460" t="n">
        <v>0.286</v>
      </c>
      <c r="L460" t="n">
        <v>0.714</v>
      </c>
      <c r="M460" t="n">
        <v>0</v>
      </c>
    </row>
    <row r="461" spans="1:13">
      <c r="A461" s="1">
        <f>HYPERLINK("http://www.twitter.com/NathanBLawrence/status/994617297645039619", "994617297645039619")</f>
        <v/>
      </c>
      <c r="B461" s="2" t="n">
        <v>43230.69232638889</v>
      </c>
      <c r="C461" t="n">
        <v>0</v>
      </c>
      <c r="D461" t="n">
        <v>21</v>
      </c>
      <c r="E461" t="s">
        <v>470</v>
      </c>
      <c r="F461">
        <f>HYPERLINK("http://pbs.twimg.com/media/Dc2WIHeVwAAQWB3.jpg", "http://pbs.twimg.com/media/Dc2WIHeVwAAQWB3.jpg")</f>
        <v/>
      </c>
      <c r="G461" t="s"/>
      <c r="H461" t="s"/>
      <c r="I461" t="s"/>
      <c r="J461" t="n">
        <v>0.4404</v>
      </c>
      <c r="K461" t="n">
        <v>0</v>
      </c>
      <c r="L461" t="n">
        <v>0.896</v>
      </c>
      <c r="M461" t="n">
        <v>0.104</v>
      </c>
    </row>
    <row r="462" spans="1:13">
      <c r="A462" s="1">
        <f>HYPERLINK("http://www.twitter.com/NathanBLawrence/status/994422981135949824", "994422981135949824")</f>
        <v/>
      </c>
      <c r="B462" s="2" t="n">
        <v>43230.15611111111</v>
      </c>
      <c r="C462" t="n">
        <v>0</v>
      </c>
      <c r="D462" t="n">
        <v>97</v>
      </c>
      <c r="E462" t="s">
        <v>471</v>
      </c>
      <c r="F462">
        <f>HYPERLINK("http://pbs.twimg.com/media/Dcx1bppUQAEORtc.jpg", "http://pbs.twimg.com/media/Dcx1bppUQAEORtc.jpg")</f>
        <v/>
      </c>
      <c r="G462" t="s"/>
      <c r="H462" t="s"/>
      <c r="I462" t="s"/>
      <c r="J462" t="n">
        <v>0.2263</v>
      </c>
      <c r="K462" t="n">
        <v>0</v>
      </c>
      <c r="L462" t="n">
        <v>0.917</v>
      </c>
      <c r="M462" t="n">
        <v>0.083</v>
      </c>
    </row>
    <row r="463" spans="1:13">
      <c r="A463" s="1">
        <f>HYPERLINK("http://www.twitter.com/NathanBLawrence/status/994422902450737157", "994422902450737157")</f>
        <v/>
      </c>
      <c r="B463" s="2" t="n">
        <v>43230.15590277778</v>
      </c>
      <c r="C463" t="n">
        <v>0</v>
      </c>
      <c r="D463" t="n">
        <v>18</v>
      </c>
      <c r="E463" t="s">
        <v>472</v>
      </c>
      <c r="F463" t="s"/>
      <c r="G463" t="s"/>
      <c r="H463" t="s"/>
      <c r="I463" t="s"/>
      <c r="J463" t="n">
        <v>0</v>
      </c>
      <c r="K463" t="n">
        <v>0</v>
      </c>
      <c r="L463" t="n">
        <v>1</v>
      </c>
      <c r="M463" t="n">
        <v>0</v>
      </c>
    </row>
    <row r="464" spans="1:13">
      <c r="A464" s="1">
        <f>HYPERLINK("http://www.twitter.com/NathanBLawrence/status/994260624136908805", "994260624136908805")</f>
        <v/>
      </c>
      <c r="B464" s="2" t="n">
        <v>43229.70809027777</v>
      </c>
      <c r="C464" t="n">
        <v>0</v>
      </c>
      <c r="D464" t="n">
        <v>11</v>
      </c>
      <c r="E464" t="s">
        <v>473</v>
      </c>
      <c r="F464">
        <f>HYPERLINK("http://pbs.twimg.com/media/DcrMiLFU8AY3Ypa.jpg", "http://pbs.twimg.com/media/DcrMiLFU8AY3Ypa.jpg")</f>
        <v/>
      </c>
      <c r="G464" t="s"/>
      <c r="H464" t="s"/>
      <c r="I464" t="s"/>
      <c r="J464" t="n">
        <v>-0.1531</v>
      </c>
      <c r="K464" t="n">
        <v>0.098</v>
      </c>
      <c r="L464" t="n">
        <v>0.827</v>
      </c>
      <c r="M464" t="n">
        <v>0.075</v>
      </c>
    </row>
    <row r="465" spans="1:13">
      <c r="A465" s="1">
        <f>HYPERLINK("http://www.twitter.com/NathanBLawrence/status/994260615547031552", "994260615547031552")</f>
        <v/>
      </c>
      <c r="B465" s="2" t="n">
        <v>43229.70806712963</v>
      </c>
      <c r="C465" t="n">
        <v>0</v>
      </c>
      <c r="D465" t="n">
        <v>10</v>
      </c>
      <c r="E465" t="s">
        <v>474</v>
      </c>
      <c r="F465">
        <f>HYPERLINK("http://pbs.twimg.com/media/DcrD0cfU0AAkF8O.jpg", "http://pbs.twimg.com/media/DcrD0cfU0AAkF8O.jpg")</f>
        <v/>
      </c>
      <c r="G465" t="s"/>
      <c r="H465" t="s"/>
      <c r="I465" t="s"/>
      <c r="J465" t="n">
        <v>0.296</v>
      </c>
      <c r="K465" t="n">
        <v>0</v>
      </c>
      <c r="L465" t="n">
        <v>0.916</v>
      </c>
      <c r="M465" t="n">
        <v>0.08400000000000001</v>
      </c>
    </row>
    <row r="466" spans="1:13">
      <c r="A466" s="1">
        <f>HYPERLINK("http://www.twitter.com/NathanBLawrence/status/994260556445085696", "994260556445085696")</f>
        <v/>
      </c>
      <c r="B466" s="2" t="n">
        <v>43229.70790509259</v>
      </c>
      <c r="C466" t="n">
        <v>0</v>
      </c>
      <c r="D466" t="n">
        <v>3</v>
      </c>
      <c r="E466" t="s">
        <v>475</v>
      </c>
      <c r="F466" t="s"/>
      <c r="G466" t="s"/>
      <c r="H466" t="s"/>
      <c r="I466" t="s"/>
      <c r="J466" t="n">
        <v>-0.4033</v>
      </c>
      <c r="K466" t="n">
        <v>0.286</v>
      </c>
      <c r="L466" t="n">
        <v>0.553</v>
      </c>
      <c r="M466" t="n">
        <v>0.161</v>
      </c>
    </row>
    <row r="467" spans="1:13">
      <c r="A467" s="1">
        <f>HYPERLINK("http://www.twitter.com/NathanBLawrence/status/994260499515748353", "994260499515748353")</f>
        <v/>
      </c>
      <c r="B467" s="2" t="n">
        <v>43229.70775462963</v>
      </c>
      <c r="C467" t="n">
        <v>0</v>
      </c>
      <c r="D467" t="n">
        <v>8</v>
      </c>
      <c r="E467" t="s">
        <v>476</v>
      </c>
      <c r="F467" t="s"/>
      <c r="G467" t="s"/>
      <c r="H467" t="s"/>
      <c r="I467" t="s"/>
      <c r="J467" t="n">
        <v>0</v>
      </c>
      <c r="K467" t="n">
        <v>0.108</v>
      </c>
      <c r="L467" t="n">
        <v>0.784</v>
      </c>
      <c r="M467" t="n">
        <v>0.108</v>
      </c>
    </row>
    <row r="468" spans="1:13">
      <c r="A468" s="1">
        <f>HYPERLINK("http://www.twitter.com/NathanBLawrence/status/994260471422349317", "994260471422349317")</f>
        <v/>
      </c>
      <c r="B468" s="2" t="n">
        <v>43229.70767361111</v>
      </c>
      <c r="C468" t="n">
        <v>0</v>
      </c>
      <c r="D468" t="n">
        <v>15</v>
      </c>
      <c r="E468" t="s">
        <v>477</v>
      </c>
      <c r="F468" t="s"/>
      <c r="G468" t="s"/>
      <c r="H468" t="s"/>
      <c r="I468" t="s"/>
      <c r="J468" t="n">
        <v>-0.2942</v>
      </c>
      <c r="K468" t="n">
        <v>0.135</v>
      </c>
      <c r="L468" t="n">
        <v>0.865</v>
      </c>
      <c r="M468" t="n">
        <v>0</v>
      </c>
    </row>
    <row r="469" spans="1:13">
      <c r="A469" s="1">
        <f>HYPERLINK("http://www.twitter.com/NathanBLawrence/status/994260390732353538", "994260390732353538")</f>
        <v/>
      </c>
      <c r="B469" s="2" t="n">
        <v>43229.7074537037</v>
      </c>
      <c r="C469" t="n">
        <v>0</v>
      </c>
      <c r="D469" t="n">
        <v>5</v>
      </c>
      <c r="E469" t="s">
        <v>478</v>
      </c>
      <c r="F469" t="s"/>
      <c r="G469" t="s"/>
      <c r="H469" t="s"/>
      <c r="I469" t="s"/>
      <c r="J469" t="n">
        <v>-0.4329</v>
      </c>
      <c r="K469" t="n">
        <v>0.172</v>
      </c>
      <c r="L469" t="n">
        <v>0.75</v>
      </c>
      <c r="M469" t="n">
        <v>0.078</v>
      </c>
    </row>
    <row r="470" spans="1:13">
      <c r="A470" s="1">
        <f>HYPERLINK("http://www.twitter.com/NathanBLawrence/status/994260350211063814", "994260350211063814")</f>
        <v/>
      </c>
      <c r="B470" s="2" t="n">
        <v>43229.70733796297</v>
      </c>
      <c r="C470" t="n">
        <v>0</v>
      </c>
      <c r="D470" t="n">
        <v>6</v>
      </c>
      <c r="E470" t="s">
        <v>479</v>
      </c>
      <c r="F470" t="s"/>
      <c r="G470" t="s"/>
      <c r="H470" t="s"/>
      <c r="I470" t="s"/>
      <c r="J470" t="n">
        <v>-0.1531</v>
      </c>
      <c r="K470" t="n">
        <v>0.146</v>
      </c>
      <c r="L470" t="n">
        <v>0.732</v>
      </c>
      <c r="M470" t="n">
        <v>0.122</v>
      </c>
    </row>
    <row r="471" spans="1:13">
      <c r="A471" s="1">
        <f>HYPERLINK("http://www.twitter.com/NathanBLawrence/status/994260275523129345", "994260275523129345")</f>
        <v/>
      </c>
      <c r="B471" s="2" t="n">
        <v>43229.70712962963</v>
      </c>
      <c r="C471" t="n">
        <v>0</v>
      </c>
      <c r="D471" t="n">
        <v>6</v>
      </c>
      <c r="E471" t="s">
        <v>480</v>
      </c>
      <c r="F471" t="s"/>
      <c r="G471" t="s"/>
      <c r="H471" t="s"/>
      <c r="I471" t="s"/>
      <c r="J471" t="n">
        <v>0.6402</v>
      </c>
      <c r="K471" t="n">
        <v>0</v>
      </c>
      <c r="L471" t="n">
        <v>0.791</v>
      </c>
      <c r="M471" t="n">
        <v>0.209</v>
      </c>
    </row>
    <row r="472" spans="1:13">
      <c r="A472" s="1">
        <f>HYPERLINK("http://www.twitter.com/NathanBLawrence/status/994260157659000833", "994260157659000833")</f>
        <v/>
      </c>
      <c r="B472" s="2" t="n">
        <v>43229.70680555556</v>
      </c>
      <c r="C472" t="n">
        <v>0</v>
      </c>
      <c r="D472" t="n">
        <v>2</v>
      </c>
      <c r="E472" t="s">
        <v>481</v>
      </c>
      <c r="F472" t="s"/>
      <c r="G472" t="s"/>
      <c r="H472" t="s"/>
      <c r="I472" t="s"/>
      <c r="J472" t="n">
        <v>0</v>
      </c>
      <c r="K472" t="n">
        <v>0</v>
      </c>
      <c r="L472" t="n">
        <v>1</v>
      </c>
      <c r="M472" t="n">
        <v>0</v>
      </c>
    </row>
    <row r="473" spans="1:13">
      <c r="A473" s="1">
        <f>HYPERLINK("http://www.twitter.com/NathanBLawrence/status/994260071470260225", "994260071470260225")</f>
        <v/>
      </c>
      <c r="B473" s="2" t="n">
        <v>43229.70657407407</v>
      </c>
      <c r="C473" t="n">
        <v>0</v>
      </c>
      <c r="D473" t="n">
        <v>7</v>
      </c>
      <c r="E473" t="s">
        <v>482</v>
      </c>
      <c r="F473">
        <f>HYPERLINK("http://pbs.twimg.com/media/DcwwNpgUQAAjmqv.jpg", "http://pbs.twimg.com/media/DcwwNpgUQAAjmqv.jpg")</f>
        <v/>
      </c>
      <c r="G473" t="s"/>
      <c r="H473" t="s"/>
      <c r="I473" t="s"/>
      <c r="J473" t="n">
        <v>0</v>
      </c>
      <c r="K473" t="n">
        <v>0</v>
      </c>
      <c r="L473" t="n">
        <v>1</v>
      </c>
      <c r="M473" t="n">
        <v>0</v>
      </c>
    </row>
    <row r="474" spans="1:13">
      <c r="A474" s="1">
        <f>HYPERLINK("http://www.twitter.com/NathanBLawrence/status/994259946907762689", "994259946907762689")</f>
        <v/>
      </c>
      <c r="B474" s="2" t="n">
        <v>43229.70622685185</v>
      </c>
      <c r="C474" t="n">
        <v>0</v>
      </c>
      <c r="D474" t="n">
        <v>9</v>
      </c>
      <c r="E474" t="s">
        <v>483</v>
      </c>
      <c r="F474">
        <f>HYPERLINK("http://pbs.twimg.com/media/DctkULVV4AA45cm.jpg", "http://pbs.twimg.com/media/DctkULVV4AA45cm.jpg")</f>
        <v/>
      </c>
      <c r="G474" t="s"/>
      <c r="H474" t="s"/>
      <c r="I474" t="s"/>
      <c r="J474" t="n">
        <v>0.3182</v>
      </c>
      <c r="K474" t="n">
        <v>0</v>
      </c>
      <c r="L474" t="n">
        <v>0.753</v>
      </c>
      <c r="M474" t="n">
        <v>0.247</v>
      </c>
    </row>
    <row r="475" spans="1:13">
      <c r="A475" s="1">
        <f>HYPERLINK("http://www.twitter.com/NathanBLawrence/status/994259829890928640", "994259829890928640")</f>
        <v/>
      </c>
      <c r="B475" s="2" t="n">
        <v>43229.70590277778</v>
      </c>
      <c r="C475" t="n">
        <v>0</v>
      </c>
      <c r="D475" t="n">
        <v>133</v>
      </c>
      <c r="E475" t="s">
        <v>484</v>
      </c>
      <c r="F475" t="s"/>
      <c r="G475" t="s"/>
      <c r="H475" t="s"/>
      <c r="I475" t="s"/>
      <c r="J475" t="n">
        <v>0</v>
      </c>
      <c r="K475" t="n">
        <v>0</v>
      </c>
      <c r="L475" t="n">
        <v>1</v>
      </c>
      <c r="M475" t="n">
        <v>0</v>
      </c>
    </row>
    <row r="476" spans="1:13">
      <c r="A476" s="1">
        <f>HYPERLINK("http://www.twitter.com/NathanBLawrence/status/994259603960541184", "994259603960541184")</f>
        <v/>
      </c>
      <c r="B476" s="2" t="n">
        <v>43229.70527777778</v>
      </c>
      <c r="C476" t="n">
        <v>0</v>
      </c>
      <c r="D476" t="n">
        <v>13</v>
      </c>
      <c r="E476" t="s">
        <v>485</v>
      </c>
      <c r="F476">
        <f>HYPERLINK("http://pbs.twimg.com/media/DcwzBwwVQAEboK3.jpg", "http://pbs.twimg.com/media/DcwzBwwVQAEboK3.jpg")</f>
        <v/>
      </c>
      <c r="G476" t="s"/>
      <c r="H476" t="s"/>
      <c r="I476" t="s"/>
      <c r="J476" t="n">
        <v>0</v>
      </c>
      <c r="K476" t="n">
        <v>0</v>
      </c>
      <c r="L476" t="n">
        <v>1</v>
      </c>
      <c r="M476" t="n">
        <v>0</v>
      </c>
    </row>
    <row r="477" spans="1:13">
      <c r="A477" s="1">
        <f>HYPERLINK("http://www.twitter.com/NathanBLawrence/status/994208726532927489", "994208726532927489")</f>
        <v/>
      </c>
      <c r="B477" s="2" t="n">
        <v>43229.56488425926</v>
      </c>
      <c r="C477" t="n">
        <v>0</v>
      </c>
      <c r="D477" t="n">
        <v>7</v>
      </c>
      <c r="E477" t="s">
        <v>486</v>
      </c>
      <c r="F477" t="s"/>
      <c r="G477" t="s"/>
      <c r="H477" t="s"/>
      <c r="I477" t="s"/>
      <c r="J477" t="n">
        <v>-0.4019</v>
      </c>
      <c r="K477" t="n">
        <v>0.208</v>
      </c>
      <c r="L477" t="n">
        <v>0.681</v>
      </c>
      <c r="M477" t="n">
        <v>0.111</v>
      </c>
    </row>
    <row r="478" spans="1:13">
      <c r="A478" s="1">
        <f>HYPERLINK("http://www.twitter.com/NathanBLawrence/status/994208677665103872", "994208677665103872")</f>
        <v/>
      </c>
      <c r="B478" s="2" t="n">
        <v>43229.56474537037</v>
      </c>
      <c r="C478" t="n">
        <v>0</v>
      </c>
      <c r="D478" t="n">
        <v>9</v>
      </c>
      <c r="E478" t="s">
        <v>487</v>
      </c>
      <c r="F478" t="s"/>
      <c r="G478" t="s"/>
      <c r="H478" t="s"/>
      <c r="I478" t="s"/>
      <c r="J478" t="n">
        <v>0.1531</v>
      </c>
      <c r="K478" t="n">
        <v>0.112</v>
      </c>
      <c r="L478" t="n">
        <v>0.719</v>
      </c>
      <c r="M478" t="n">
        <v>0.169</v>
      </c>
    </row>
    <row r="479" spans="1:13">
      <c r="A479" s="1">
        <f>HYPERLINK("http://www.twitter.com/NathanBLawrence/status/994208324093652992", "994208324093652992")</f>
        <v/>
      </c>
      <c r="B479" s="2" t="n">
        <v>43229.56377314815</v>
      </c>
      <c r="C479" t="n">
        <v>0</v>
      </c>
      <c r="D479" t="n">
        <v>12</v>
      </c>
      <c r="E479" t="s">
        <v>488</v>
      </c>
      <c r="F479">
        <f>HYPERLINK("http://pbs.twimg.com/media/DcuBtX4W4AAq2vH.jpg", "http://pbs.twimg.com/media/DcuBtX4W4AAq2vH.jpg")</f>
        <v/>
      </c>
      <c r="G479" t="s"/>
      <c r="H479" t="s"/>
      <c r="I479" t="s"/>
      <c r="J479" t="n">
        <v>0</v>
      </c>
      <c r="K479" t="n">
        <v>0</v>
      </c>
      <c r="L479" t="n">
        <v>1</v>
      </c>
      <c r="M479" t="n">
        <v>0</v>
      </c>
    </row>
    <row r="480" spans="1:13">
      <c r="A480" s="1">
        <f>HYPERLINK("http://www.twitter.com/NathanBLawrence/status/993870152692363264", "993870152692363264")</f>
        <v/>
      </c>
      <c r="B480" s="2" t="n">
        <v>43228.63060185185</v>
      </c>
      <c r="C480" t="n">
        <v>0</v>
      </c>
      <c r="D480" t="n">
        <v>24</v>
      </c>
      <c r="E480" t="s">
        <v>489</v>
      </c>
      <c r="F480">
        <f>HYPERLINK("http://pbs.twimg.com/media/DcruEZmWkAElq61.jpg", "http://pbs.twimg.com/media/DcruEZmWkAElq61.jpg")</f>
        <v/>
      </c>
      <c r="G480" t="s"/>
      <c r="H480" t="s"/>
      <c r="I480" t="s"/>
      <c r="J480" t="n">
        <v>0</v>
      </c>
      <c r="K480" t="n">
        <v>0</v>
      </c>
      <c r="L480" t="n">
        <v>1</v>
      </c>
      <c r="M480" t="n">
        <v>0</v>
      </c>
    </row>
    <row r="481" spans="1:13">
      <c r="A481" s="1">
        <f>HYPERLINK("http://www.twitter.com/NathanBLawrence/status/993865208887234560", "993865208887234560")</f>
        <v/>
      </c>
      <c r="B481" s="2" t="n">
        <v>43228.61695601852</v>
      </c>
      <c r="C481" t="n">
        <v>0</v>
      </c>
      <c r="D481" t="n">
        <v>11</v>
      </c>
      <c r="E481" t="s">
        <v>490</v>
      </c>
      <c r="F481" t="s"/>
      <c r="G481" t="s"/>
      <c r="H481" t="s"/>
      <c r="I481" t="s"/>
      <c r="J481" t="n">
        <v>-0.802</v>
      </c>
      <c r="K481" t="n">
        <v>0.286</v>
      </c>
      <c r="L481" t="n">
        <v>0.714</v>
      </c>
      <c r="M481" t="n">
        <v>0</v>
      </c>
    </row>
    <row r="482" spans="1:13">
      <c r="A482" s="1">
        <f>HYPERLINK("http://www.twitter.com/NathanBLawrence/status/993865073633431553", "993865073633431553")</f>
        <v/>
      </c>
      <c r="B482" s="2" t="n">
        <v>43228.61658564815</v>
      </c>
      <c r="C482" t="n">
        <v>5</v>
      </c>
      <c r="D482" t="n">
        <v>0</v>
      </c>
      <c r="E482" t="s">
        <v>491</v>
      </c>
      <c r="F482">
        <f>HYPERLINK("http://pbs.twimg.com/media/DcrrA58VQAYM-qD.jpg", "http://pbs.twimg.com/media/DcrrA58VQAYM-qD.jpg")</f>
        <v/>
      </c>
      <c r="G482" t="s"/>
      <c r="H482" t="s"/>
      <c r="I482" t="s"/>
      <c r="J482" t="n">
        <v>0</v>
      </c>
      <c r="K482" t="n">
        <v>0</v>
      </c>
      <c r="L482" t="n">
        <v>1</v>
      </c>
      <c r="M482" t="n">
        <v>0</v>
      </c>
    </row>
    <row r="483" spans="1:13">
      <c r="A483" s="1">
        <f>HYPERLINK("http://www.twitter.com/NathanBLawrence/status/993864409511579648", "993864409511579648")</f>
        <v/>
      </c>
      <c r="B483" s="2" t="n">
        <v>43228.61474537037</v>
      </c>
      <c r="C483" t="n">
        <v>4</v>
      </c>
      <c r="D483" t="n">
        <v>0</v>
      </c>
      <c r="E483" t="s">
        <v>492</v>
      </c>
      <c r="F483">
        <f>HYPERLINK("http://pbs.twimg.com/media/DcrqZaoWkAAyEM3.jpg", "http://pbs.twimg.com/media/DcrqZaoWkAAyEM3.jpg")</f>
        <v/>
      </c>
      <c r="G483" t="s"/>
      <c r="H483" t="s"/>
      <c r="I483" t="s"/>
      <c r="J483" t="n">
        <v>0</v>
      </c>
      <c r="K483" t="n">
        <v>0</v>
      </c>
      <c r="L483" t="n">
        <v>1</v>
      </c>
      <c r="M483" t="n">
        <v>0</v>
      </c>
    </row>
    <row r="484" spans="1:13">
      <c r="A484" s="1">
        <f>HYPERLINK("http://www.twitter.com/NathanBLawrence/status/993863606830862336", "993863606830862336")</f>
        <v/>
      </c>
      <c r="B484" s="2" t="n">
        <v>43228.61253472222</v>
      </c>
      <c r="C484" t="n">
        <v>0</v>
      </c>
      <c r="D484" t="n">
        <v>2</v>
      </c>
      <c r="E484" t="s">
        <v>493</v>
      </c>
      <c r="F484">
        <f>HYPERLINK("http://pbs.twimg.com/media/DcrmqiUWkAAoQ_B.jpg", "http://pbs.twimg.com/media/DcrmqiUWkAAoQ_B.jpg")</f>
        <v/>
      </c>
      <c r="G484" t="s"/>
      <c r="H484" t="s"/>
      <c r="I484" t="s"/>
      <c r="J484" t="n">
        <v>0</v>
      </c>
      <c r="K484" t="n">
        <v>0</v>
      </c>
      <c r="L484" t="n">
        <v>1</v>
      </c>
      <c r="M484" t="n">
        <v>0</v>
      </c>
    </row>
    <row r="485" spans="1:13">
      <c r="A485" s="1">
        <f>HYPERLINK("http://www.twitter.com/NathanBLawrence/status/993863524463140864", "993863524463140864")</f>
        <v/>
      </c>
      <c r="B485" s="2" t="n">
        <v>43228.61230324074</v>
      </c>
      <c r="C485" t="n">
        <v>0</v>
      </c>
      <c r="D485" t="n">
        <v>12</v>
      </c>
      <c r="E485" t="s">
        <v>494</v>
      </c>
      <c r="F485">
        <f>HYPERLINK("http://pbs.twimg.com/media/DcroDbPW4AEoFoK.jpg", "http://pbs.twimg.com/media/DcroDbPW4AEoFoK.jpg")</f>
        <v/>
      </c>
      <c r="G485" t="s"/>
      <c r="H485" t="s"/>
      <c r="I485" t="s"/>
      <c r="J485" t="n">
        <v>0</v>
      </c>
      <c r="K485" t="n">
        <v>0</v>
      </c>
      <c r="L485" t="n">
        <v>1</v>
      </c>
      <c r="M485" t="n">
        <v>0</v>
      </c>
    </row>
    <row r="486" spans="1:13">
      <c r="A486" s="1">
        <f>HYPERLINK("http://www.twitter.com/NathanBLawrence/status/993860501582041089", "993860501582041089")</f>
        <v/>
      </c>
      <c r="B486" s="2" t="n">
        <v>43228.60396990741</v>
      </c>
      <c r="C486" t="n">
        <v>0</v>
      </c>
      <c r="D486" t="n">
        <v>104</v>
      </c>
      <c r="E486" t="s">
        <v>495</v>
      </c>
      <c r="F486" t="s"/>
      <c r="G486" t="s"/>
      <c r="H486" t="s"/>
      <c r="I486" t="s"/>
      <c r="J486" t="n">
        <v>-0.25</v>
      </c>
      <c r="K486" t="n">
        <v>0.08699999999999999</v>
      </c>
      <c r="L486" t="n">
        <v>0.913</v>
      </c>
      <c r="M486" t="n">
        <v>0</v>
      </c>
    </row>
    <row r="487" spans="1:13">
      <c r="A487" s="1">
        <f>HYPERLINK("http://www.twitter.com/NathanBLawrence/status/993860295192965121", "993860295192965121")</f>
        <v/>
      </c>
      <c r="B487" s="2" t="n">
        <v>43228.60340277778</v>
      </c>
      <c r="C487" t="n">
        <v>5</v>
      </c>
      <c r="D487" t="n">
        <v>2</v>
      </c>
      <c r="E487" t="s">
        <v>496</v>
      </c>
      <c r="F487">
        <f>HYPERLINK("http://pbs.twimg.com/media/DcrmqiUWkAAoQ_B.jpg", "http://pbs.twimg.com/media/DcrmqiUWkAAoQ_B.jpg")</f>
        <v/>
      </c>
      <c r="G487" t="s"/>
      <c r="H487" t="s"/>
      <c r="I487" t="s"/>
      <c r="J487" t="n">
        <v>0</v>
      </c>
      <c r="K487" t="n">
        <v>0</v>
      </c>
      <c r="L487" t="n">
        <v>1</v>
      </c>
      <c r="M487" t="n">
        <v>0</v>
      </c>
    </row>
    <row r="488" spans="1:13">
      <c r="A488" s="1">
        <f>HYPERLINK("http://www.twitter.com/NathanBLawrence/status/993858845804986373", "993858845804986373")</f>
        <v/>
      </c>
      <c r="B488" s="2" t="n">
        <v>43228.59939814815</v>
      </c>
      <c r="C488" t="n">
        <v>0</v>
      </c>
      <c r="D488" t="n">
        <v>3</v>
      </c>
      <c r="E488" t="s">
        <v>497</v>
      </c>
      <c r="F488">
        <f>HYPERLINK("http://pbs.twimg.com/media/DcrlFY8WAAAoufl.jpg", "http://pbs.twimg.com/media/DcrlFY8WAAAoufl.jpg")</f>
        <v/>
      </c>
      <c r="G488" t="s"/>
      <c r="H488" t="s"/>
      <c r="I488" t="s"/>
      <c r="J488" t="n">
        <v>0</v>
      </c>
      <c r="K488" t="n">
        <v>0</v>
      </c>
      <c r="L488" t="n">
        <v>1</v>
      </c>
      <c r="M488" t="n">
        <v>0</v>
      </c>
    </row>
    <row r="489" spans="1:13">
      <c r="A489" s="1">
        <f>HYPERLINK("http://www.twitter.com/NathanBLawrence/status/993858780063502338", "993858780063502338")</f>
        <v/>
      </c>
      <c r="B489" s="2" t="n">
        <v>43228.59921296296</v>
      </c>
      <c r="C489" t="n">
        <v>0</v>
      </c>
      <c r="D489" t="n">
        <v>16</v>
      </c>
      <c r="E489" t="s">
        <v>498</v>
      </c>
      <c r="F489" t="s"/>
      <c r="G489" t="s"/>
      <c r="H489" t="s"/>
      <c r="I489" t="s"/>
      <c r="J489" t="n">
        <v>0.6553</v>
      </c>
      <c r="K489" t="n">
        <v>0</v>
      </c>
      <c r="L489" t="n">
        <v>0.789</v>
      </c>
      <c r="M489" t="n">
        <v>0.211</v>
      </c>
    </row>
    <row r="490" spans="1:13">
      <c r="A490" s="1">
        <f>HYPERLINK("http://www.twitter.com/NathanBLawrence/status/993858555672481797", "993858555672481797")</f>
        <v/>
      </c>
      <c r="B490" s="2" t="n">
        <v>43228.59859953704</v>
      </c>
      <c r="C490" t="n">
        <v>5</v>
      </c>
      <c r="D490" t="n">
        <v>3</v>
      </c>
      <c r="E490" t="s">
        <v>499</v>
      </c>
      <c r="F490">
        <f>HYPERLINK("http://pbs.twimg.com/media/DcrlFY8WAAAoufl.jpg", "http://pbs.twimg.com/media/DcrlFY8WAAAoufl.jpg")</f>
        <v/>
      </c>
      <c r="G490" t="s"/>
      <c r="H490" t="s"/>
      <c r="I490" t="s"/>
      <c r="J490" t="n">
        <v>0</v>
      </c>
      <c r="K490" t="n">
        <v>0</v>
      </c>
      <c r="L490" t="n">
        <v>1</v>
      </c>
      <c r="M490" t="n">
        <v>0</v>
      </c>
    </row>
    <row r="491" spans="1:13">
      <c r="A491" s="1">
        <f>HYPERLINK("http://www.twitter.com/NathanBLawrence/status/993857386111741952", "993857386111741952")</f>
        <v/>
      </c>
      <c r="B491" s="2" t="n">
        <v>43228.59537037037</v>
      </c>
      <c r="C491" t="n">
        <v>21</v>
      </c>
      <c r="D491" t="n">
        <v>16</v>
      </c>
      <c r="E491" t="s">
        <v>500</v>
      </c>
      <c r="F491" t="s"/>
      <c r="G491" t="s"/>
      <c r="H491" t="s"/>
      <c r="I491" t="s"/>
      <c r="J491" t="n">
        <v>0.5908</v>
      </c>
      <c r="K491" t="n">
        <v>0.052</v>
      </c>
      <c r="L491" t="n">
        <v>0.804</v>
      </c>
      <c r="M491" t="n">
        <v>0.144</v>
      </c>
    </row>
    <row r="492" spans="1:13">
      <c r="A492" s="1">
        <f>HYPERLINK("http://www.twitter.com/NathanBLawrence/status/993854994125336576", "993854994125336576")</f>
        <v/>
      </c>
      <c r="B492" s="2" t="n">
        <v>43228.58877314815</v>
      </c>
      <c r="C492" t="n">
        <v>3</v>
      </c>
      <c r="D492" t="n">
        <v>1</v>
      </c>
      <c r="E492" t="s">
        <v>501</v>
      </c>
      <c r="F492">
        <f>HYPERLINK("http://pbs.twimg.com/media/Dcrh2OFX0AIqdpr.jpg", "http://pbs.twimg.com/media/Dcrh2OFX0AIqdpr.jpg")</f>
        <v/>
      </c>
      <c r="G492" t="s"/>
      <c r="H492" t="s"/>
      <c r="I492" t="s"/>
      <c r="J492" t="n">
        <v>0</v>
      </c>
      <c r="K492" t="n">
        <v>0</v>
      </c>
      <c r="L492" t="n">
        <v>1</v>
      </c>
      <c r="M492" t="n">
        <v>0</v>
      </c>
    </row>
    <row r="493" spans="1:13">
      <c r="A493" s="1">
        <f>HYPERLINK("http://www.twitter.com/NathanBLawrence/status/993854452867190784", "993854452867190784")</f>
        <v/>
      </c>
      <c r="B493" s="2" t="n">
        <v>43228.58728009259</v>
      </c>
      <c r="C493" t="n">
        <v>6</v>
      </c>
      <c r="D493" t="n">
        <v>3</v>
      </c>
      <c r="E493" t="s">
        <v>502</v>
      </c>
      <c r="F493">
        <f>HYPERLINK("http://pbs.twimg.com/media/DcrhWz-XcAEtHpO.jpg", "http://pbs.twimg.com/media/DcrhWz-XcAEtHpO.jpg")</f>
        <v/>
      </c>
      <c r="G493" t="s"/>
      <c r="H493" t="s"/>
      <c r="I493" t="s"/>
      <c r="J493" t="n">
        <v>0</v>
      </c>
      <c r="K493" t="n">
        <v>0</v>
      </c>
      <c r="L493" t="n">
        <v>1</v>
      </c>
      <c r="M493" t="n">
        <v>0</v>
      </c>
    </row>
    <row r="494" spans="1:13">
      <c r="A494" s="1">
        <f>HYPERLINK("http://www.twitter.com/NathanBLawrence/status/993728472924246016", "993728472924246016")</f>
        <v/>
      </c>
      <c r="B494" s="2" t="n">
        <v>43228.23964120371</v>
      </c>
      <c r="C494" t="n">
        <v>0</v>
      </c>
      <c r="D494" t="n">
        <v>6</v>
      </c>
      <c r="E494" t="s">
        <v>503</v>
      </c>
      <c r="F494" t="s"/>
      <c r="G494" t="s"/>
      <c r="H494" t="s"/>
      <c r="I494" t="s"/>
      <c r="J494" t="n">
        <v>-0.7845</v>
      </c>
      <c r="K494" t="n">
        <v>0.301</v>
      </c>
      <c r="L494" t="n">
        <v>0.699</v>
      </c>
      <c r="M494" t="n">
        <v>0</v>
      </c>
    </row>
    <row r="495" spans="1:13">
      <c r="A495" s="1">
        <f>HYPERLINK("http://www.twitter.com/NathanBLawrence/status/993728437318766593", "993728437318766593")</f>
        <v/>
      </c>
      <c r="B495" s="2" t="n">
        <v>43228.23953703704</v>
      </c>
      <c r="C495" t="n">
        <v>0</v>
      </c>
      <c r="D495" t="n">
        <v>16</v>
      </c>
      <c r="E495" t="s">
        <v>504</v>
      </c>
      <c r="F495">
        <f>HYPERLINK("http://pbs.twimg.com/media/DcpCFzdVMAAgSJn.jpg", "http://pbs.twimg.com/media/DcpCFzdVMAAgSJn.jpg")</f>
        <v/>
      </c>
      <c r="G495" t="s"/>
      <c r="H495" t="s"/>
      <c r="I495" t="s"/>
      <c r="J495" t="n">
        <v>-0.4767</v>
      </c>
      <c r="K495" t="n">
        <v>0.193</v>
      </c>
      <c r="L495" t="n">
        <v>0.8070000000000001</v>
      </c>
      <c r="M495" t="n">
        <v>0</v>
      </c>
    </row>
    <row r="496" spans="1:13">
      <c r="A496" s="1">
        <f>HYPERLINK("http://www.twitter.com/NathanBLawrence/status/993728343064408066", "993728343064408066")</f>
        <v/>
      </c>
      <c r="B496" s="2" t="n">
        <v>43228.2392824074</v>
      </c>
      <c r="C496" t="n">
        <v>0</v>
      </c>
      <c r="D496" t="n">
        <v>15</v>
      </c>
      <c r="E496" t="s">
        <v>505</v>
      </c>
      <c r="F496">
        <f>HYPERLINK("http://pbs.twimg.com/media/DcpOpEaU0AA7Y94.jpg", "http://pbs.twimg.com/media/DcpOpEaU0AA7Y94.jpg")</f>
        <v/>
      </c>
      <c r="G496" t="s"/>
      <c r="H496" t="s"/>
      <c r="I496" t="s"/>
      <c r="J496" t="n">
        <v>-0.6369</v>
      </c>
      <c r="K496" t="n">
        <v>0.206</v>
      </c>
      <c r="L496" t="n">
        <v>0.794</v>
      </c>
      <c r="M496" t="n">
        <v>0</v>
      </c>
    </row>
    <row r="497" spans="1:13">
      <c r="A497" s="1">
        <f>HYPERLINK("http://www.twitter.com/NathanBLawrence/status/993705121078022144", "993705121078022144")</f>
        <v/>
      </c>
      <c r="B497" s="2" t="n">
        <v>43228.17519675926</v>
      </c>
      <c r="C497" t="n">
        <v>0</v>
      </c>
      <c r="D497" t="n">
        <v>5</v>
      </c>
      <c r="E497" t="s">
        <v>506</v>
      </c>
      <c r="F497" t="s"/>
      <c r="G497" t="s"/>
      <c r="H497" t="s"/>
      <c r="I497" t="s"/>
      <c r="J497" t="n">
        <v>0.5558</v>
      </c>
      <c r="K497" t="n">
        <v>0.091</v>
      </c>
      <c r="L497" t="n">
        <v>0.715</v>
      </c>
      <c r="M497" t="n">
        <v>0.194</v>
      </c>
    </row>
    <row r="498" spans="1:13">
      <c r="A498" s="1">
        <f>HYPERLINK("http://www.twitter.com/NathanBLawrence/status/993704873597259777", "993704873597259777")</f>
        <v/>
      </c>
      <c r="B498" s="2" t="n">
        <v>43228.17451388889</v>
      </c>
      <c r="C498" t="n">
        <v>0</v>
      </c>
      <c r="D498" t="n">
        <v>2</v>
      </c>
      <c r="E498" t="s">
        <v>507</v>
      </c>
      <c r="F498">
        <f>HYPERLINK("http://pbs.twimg.com/media/DcoWqRVWkAE4FvQ.jpg", "http://pbs.twimg.com/media/DcoWqRVWkAE4FvQ.jpg")</f>
        <v/>
      </c>
      <c r="G498" t="s"/>
      <c r="H498" t="s"/>
      <c r="I498" t="s"/>
      <c r="J498" t="n">
        <v>0</v>
      </c>
      <c r="K498" t="n">
        <v>0</v>
      </c>
      <c r="L498" t="n">
        <v>1</v>
      </c>
      <c r="M498" t="n">
        <v>0</v>
      </c>
    </row>
    <row r="499" spans="1:13">
      <c r="A499" s="1">
        <f>HYPERLINK("http://www.twitter.com/NathanBLawrence/status/993704536542990336", "993704536542990336")</f>
        <v/>
      </c>
      <c r="B499" s="2" t="n">
        <v>43228.17358796296</v>
      </c>
      <c r="C499" t="n">
        <v>0</v>
      </c>
      <c r="D499" t="n">
        <v>9</v>
      </c>
      <c r="E499" t="s">
        <v>508</v>
      </c>
      <c r="F499" t="s"/>
      <c r="G499" t="s"/>
      <c r="H499" t="s"/>
      <c r="I499" t="s"/>
      <c r="J499" t="n">
        <v>-0.1027</v>
      </c>
      <c r="K499" t="n">
        <v>0.208</v>
      </c>
      <c r="L499" t="n">
        <v>0.6</v>
      </c>
      <c r="M499" t="n">
        <v>0.192</v>
      </c>
    </row>
    <row r="500" spans="1:13">
      <c r="A500" s="1">
        <f>HYPERLINK("http://www.twitter.com/NathanBLawrence/status/993704507702947840", "993704507702947840")</f>
        <v/>
      </c>
      <c r="B500" s="2" t="n">
        <v>43228.17350694445</v>
      </c>
      <c r="C500" t="n">
        <v>0</v>
      </c>
      <c r="D500" t="n">
        <v>5</v>
      </c>
      <c r="E500" t="s">
        <v>509</v>
      </c>
      <c r="F500" t="s"/>
      <c r="G500" t="s"/>
      <c r="H500" t="s"/>
      <c r="I500" t="s"/>
      <c r="J500" t="n">
        <v>-0.6369</v>
      </c>
      <c r="K500" t="n">
        <v>0.174</v>
      </c>
      <c r="L500" t="n">
        <v>0.826</v>
      </c>
      <c r="M500" t="n">
        <v>0</v>
      </c>
    </row>
    <row r="501" spans="1:13">
      <c r="A501" s="1">
        <f>HYPERLINK("http://www.twitter.com/NathanBLawrence/status/993704487901712384", "993704487901712384")</f>
        <v/>
      </c>
      <c r="B501" s="2" t="n">
        <v>43228.17344907407</v>
      </c>
      <c r="C501" t="n">
        <v>0</v>
      </c>
      <c r="D501" t="n">
        <v>8</v>
      </c>
      <c r="E501" t="s">
        <v>510</v>
      </c>
      <c r="F501" t="s"/>
      <c r="G501" t="s"/>
      <c r="H501" t="s"/>
      <c r="I501" t="s"/>
      <c r="J501" t="n">
        <v>0.0387</v>
      </c>
      <c r="K501" t="n">
        <v>0</v>
      </c>
      <c r="L501" t="n">
        <v>0.9399999999999999</v>
      </c>
      <c r="M501" t="n">
        <v>0.06</v>
      </c>
    </row>
    <row r="502" spans="1:13">
      <c r="A502" s="1">
        <f>HYPERLINK("http://www.twitter.com/NathanBLawrence/status/993704472592420864", "993704472592420864")</f>
        <v/>
      </c>
      <c r="B502" s="2" t="n">
        <v>43228.17341435186</v>
      </c>
      <c r="C502" t="n">
        <v>0</v>
      </c>
      <c r="D502" t="n">
        <v>13</v>
      </c>
      <c r="E502" t="s">
        <v>511</v>
      </c>
      <c r="F502" t="s"/>
      <c r="G502" t="s"/>
      <c r="H502" t="s"/>
      <c r="I502" t="s"/>
      <c r="J502" t="n">
        <v>-0.7059</v>
      </c>
      <c r="K502" t="n">
        <v>0.246</v>
      </c>
      <c r="L502" t="n">
        <v>0.754</v>
      </c>
      <c r="M502" t="n">
        <v>0</v>
      </c>
    </row>
    <row r="503" spans="1:13">
      <c r="A503" s="1">
        <f>HYPERLINK("http://www.twitter.com/NathanBLawrence/status/993704414484619264", "993704414484619264")</f>
        <v/>
      </c>
      <c r="B503" s="2" t="n">
        <v>43228.17325231482</v>
      </c>
      <c r="C503" t="n">
        <v>0</v>
      </c>
      <c r="D503" t="n">
        <v>8</v>
      </c>
      <c r="E503" t="s">
        <v>512</v>
      </c>
      <c r="F503" t="s"/>
      <c r="G503" t="s"/>
      <c r="H503" t="s"/>
      <c r="I503" t="s"/>
      <c r="J503" t="n">
        <v>0</v>
      </c>
      <c r="K503" t="n">
        <v>0</v>
      </c>
      <c r="L503" t="n">
        <v>1</v>
      </c>
      <c r="M503" t="n">
        <v>0</v>
      </c>
    </row>
    <row r="504" spans="1:13">
      <c r="A504" s="1">
        <f>HYPERLINK("http://www.twitter.com/NathanBLawrence/status/993704256363552769", "993704256363552769")</f>
        <v/>
      </c>
      <c r="B504" s="2" t="n">
        <v>43228.1728125</v>
      </c>
      <c r="C504" t="n">
        <v>0</v>
      </c>
      <c r="D504" t="n">
        <v>2</v>
      </c>
      <c r="E504" t="s">
        <v>513</v>
      </c>
      <c r="F504" t="s"/>
      <c r="G504" t="s"/>
      <c r="H504" t="s"/>
      <c r="I504" t="s"/>
      <c r="J504" t="n">
        <v>-0.5423</v>
      </c>
      <c r="K504" t="n">
        <v>0.17</v>
      </c>
      <c r="L504" t="n">
        <v>0.83</v>
      </c>
      <c r="M504" t="n">
        <v>0</v>
      </c>
    </row>
    <row r="505" spans="1:13">
      <c r="A505" s="1">
        <f>HYPERLINK("http://www.twitter.com/NathanBLawrence/status/993704233097711616", "993704233097711616")</f>
        <v/>
      </c>
      <c r="B505" s="2" t="n">
        <v>43228.17274305555</v>
      </c>
      <c r="C505" t="n">
        <v>0</v>
      </c>
      <c r="D505" t="n">
        <v>2</v>
      </c>
      <c r="E505" t="s">
        <v>514</v>
      </c>
      <c r="F505" t="s"/>
      <c r="G505" t="s"/>
      <c r="H505" t="s"/>
      <c r="I505" t="s"/>
      <c r="J505" t="n">
        <v>0</v>
      </c>
      <c r="K505" t="n">
        <v>0.132</v>
      </c>
      <c r="L505" t="n">
        <v>0.737</v>
      </c>
      <c r="M505" t="n">
        <v>0.132</v>
      </c>
    </row>
    <row r="506" spans="1:13">
      <c r="A506" s="1">
        <f>HYPERLINK("http://www.twitter.com/NathanBLawrence/status/993704215154446338", "993704215154446338")</f>
        <v/>
      </c>
      <c r="B506" s="2" t="n">
        <v>43228.17269675926</v>
      </c>
      <c r="C506" t="n">
        <v>0</v>
      </c>
      <c r="D506" t="n">
        <v>2</v>
      </c>
      <c r="E506" t="s">
        <v>515</v>
      </c>
      <c r="F506" t="s"/>
      <c r="G506" t="s"/>
      <c r="H506" t="s"/>
      <c r="I506" t="s"/>
      <c r="J506" t="n">
        <v>0</v>
      </c>
      <c r="K506" t="n">
        <v>0</v>
      </c>
      <c r="L506" t="n">
        <v>1</v>
      </c>
      <c r="M506" t="n">
        <v>0</v>
      </c>
    </row>
    <row r="507" spans="1:13">
      <c r="A507" s="1">
        <f>HYPERLINK("http://www.twitter.com/NathanBLawrence/status/993704119142703106", "993704119142703106")</f>
        <v/>
      </c>
      <c r="B507" s="2" t="n">
        <v>43228.17243055555</v>
      </c>
      <c r="C507" t="n">
        <v>0</v>
      </c>
      <c r="D507" t="n">
        <v>11</v>
      </c>
      <c r="E507" t="s">
        <v>516</v>
      </c>
      <c r="F507">
        <f>HYPERLINK("http://pbs.twimg.com/media/DcpPgTUWAAAvSHw.jpg", "http://pbs.twimg.com/media/DcpPgTUWAAAvSHw.jpg")</f>
        <v/>
      </c>
      <c r="G507" t="s"/>
      <c r="H507" t="s"/>
      <c r="I507" t="s"/>
      <c r="J507" t="n">
        <v>0.6249</v>
      </c>
      <c r="K507" t="n">
        <v>0</v>
      </c>
      <c r="L507" t="n">
        <v>0.797</v>
      </c>
      <c r="M507" t="n">
        <v>0.203</v>
      </c>
    </row>
    <row r="508" spans="1:13">
      <c r="A508" s="1">
        <f>HYPERLINK("http://www.twitter.com/NathanBLawrence/status/993704096808013824", "993704096808013824")</f>
        <v/>
      </c>
      <c r="B508" s="2" t="n">
        <v>43228.17237268519</v>
      </c>
      <c r="C508" t="n">
        <v>0</v>
      </c>
      <c r="D508" t="n">
        <v>3</v>
      </c>
      <c r="E508" t="s">
        <v>517</v>
      </c>
      <c r="F508">
        <f>HYPERLINK("http://pbs.twimg.com/media/DcpQ3PFV4AAe0Va.jpg", "http://pbs.twimg.com/media/DcpQ3PFV4AAe0Va.jpg")</f>
        <v/>
      </c>
      <c r="G508" t="s"/>
      <c r="H508" t="s"/>
      <c r="I508" t="s"/>
      <c r="J508" t="n">
        <v>-0.5523</v>
      </c>
      <c r="K508" t="n">
        <v>0.202</v>
      </c>
      <c r="L508" t="n">
        <v>0.798</v>
      </c>
      <c r="M508" t="n">
        <v>0</v>
      </c>
    </row>
    <row r="509" spans="1:13">
      <c r="A509" s="1">
        <f>HYPERLINK("http://www.twitter.com/NathanBLawrence/status/993704071608655877", "993704071608655877")</f>
        <v/>
      </c>
      <c r="B509" s="2" t="n">
        <v>43228.17230324074</v>
      </c>
      <c r="C509" t="n">
        <v>0</v>
      </c>
      <c r="D509" t="n">
        <v>12</v>
      </c>
      <c r="E509" t="s">
        <v>518</v>
      </c>
      <c r="F509">
        <f>HYPERLINK("http://pbs.twimg.com/media/DcpRwx5WsAAZudT.jpg", "http://pbs.twimg.com/media/DcpRwx5WsAAZudT.jpg")</f>
        <v/>
      </c>
      <c r="G509" t="s"/>
      <c r="H509" t="s"/>
      <c r="I509" t="s"/>
      <c r="J509" t="n">
        <v>-0.8764999999999999</v>
      </c>
      <c r="K509" t="n">
        <v>0.335</v>
      </c>
      <c r="L509" t="n">
        <v>0.665</v>
      </c>
      <c r="M509" t="n">
        <v>0</v>
      </c>
    </row>
    <row r="510" spans="1:13">
      <c r="A510" s="1">
        <f>HYPERLINK("http://www.twitter.com/NathanBLawrence/status/993704026867892224", "993704026867892224")</f>
        <v/>
      </c>
      <c r="B510" s="2" t="n">
        <v>43228.17217592592</v>
      </c>
      <c r="C510" t="n">
        <v>0</v>
      </c>
      <c r="D510" t="n">
        <v>11</v>
      </c>
      <c r="E510" t="s">
        <v>519</v>
      </c>
      <c r="F510" t="s"/>
      <c r="G510" t="s"/>
      <c r="H510" t="s"/>
      <c r="I510" t="s"/>
      <c r="J510" t="n">
        <v>-0.8455</v>
      </c>
      <c r="K510" t="n">
        <v>0.337</v>
      </c>
      <c r="L510" t="n">
        <v>0.663</v>
      </c>
      <c r="M510" t="n">
        <v>0</v>
      </c>
    </row>
    <row r="511" spans="1:13">
      <c r="A511" s="1">
        <f>HYPERLINK("http://www.twitter.com/NathanBLawrence/status/993704014947803139", "993704014947803139")</f>
        <v/>
      </c>
      <c r="B511" s="2" t="n">
        <v>43228.1721412037</v>
      </c>
      <c r="C511" t="n">
        <v>0</v>
      </c>
      <c r="D511" t="n">
        <v>4</v>
      </c>
      <c r="E511" t="s">
        <v>520</v>
      </c>
      <c r="F511">
        <f>HYPERLINK("http://pbs.twimg.com/media/DcpVytOU8AAEvwN.jpg", "http://pbs.twimg.com/media/DcpVytOU8AAEvwN.jpg")</f>
        <v/>
      </c>
      <c r="G511" t="s"/>
      <c r="H511" t="s"/>
      <c r="I511" t="s"/>
      <c r="J511" t="n">
        <v>-0.6077</v>
      </c>
      <c r="K511" t="n">
        <v>0.199</v>
      </c>
      <c r="L511" t="n">
        <v>0.801</v>
      </c>
      <c r="M511" t="n">
        <v>0</v>
      </c>
    </row>
    <row r="512" spans="1:13">
      <c r="A512" s="1">
        <f>HYPERLINK("http://www.twitter.com/NathanBLawrence/status/993704004566900736", "993704004566900736")</f>
        <v/>
      </c>
      <c r="B512" s="2" t="n">
        <v>43228.17211805555</v>
      </c>
      <c r="C512" t="n">
        <v>0</v>
      </c>
      <c r="D512" t="n">
        <v>3</v>
      </c>
      <c r="E512" t="s">
        <v>521</v>
      </c>
      <c r="F512" t="s"/>
      <c r="G512" t="s"/>
      <c r="H512" t="s"/>
      <c r="I512" t="s"/>
      <c r="J512" t="n">
        <v>0.06900000000000001</v>
      </c>
      <c r="K512" t="n">
        <v>0.109</v>
      </c>
      <c r="L512" t="n">
        <v>0.738</v>
      </c>
      <c r="M512" t="n">
        <v>0.153</v>
      </c>
    </row>
    <row r="513" spans="1:13">
      <c r="A513" s="1">
        <f>HYPERLINK("http://www.twitter.com/NathanBLawrence/status/993646839600701440", "993646839600701440")</f>
        <v/>
      </c>
      <c r="B513" s="2" t="n">
        <v>43228.014375</v>
      </c>
      <c r="C513" t="n">
        <v>10</v>
      </c>
      <c r="D513" t="n">
        <v>4</v>
      </c>
      <c r="E513" t="s">
        <v>522</v>
      </c>
      <c r="F513">
        <f>HYPERLINK("http://pbs.twimg.com/media/DcokiA_W0AA5mfB.jpg", "http://pbs.twimg.com/media/DcokiA_W0AA5mfB.jpg")</f>
        <v/>
      </c>
      <c r="G513" t="s"/>
      <c r="H513" t="s"/>
      <c r="I513" t="s"/>
      <c r="J513" t="n">
        <v>0</v>
      </c>
      <c r="K513" t="n">
        <v>0</v>
      </c>
      <c r="L513" t="n">
        <v>1</v>
      </c>
      <c r="M513" t="n">
        <v>0</v>
      </c>
    </row>
    <row r="514" spans="1:13">
      <c r="A514" s="1">
        <f>HYPERLINK("http://www.twitter.com/NathanBLawrence/status/993644534017024002", "993644534017024002")</f>
        <v/>
      </c>
      <c r="B514" s="2" t="n">
        <v>43228.00800925926</v>
      </c>
      <c r="C514" t="n">
        <v>9</v>
      </c>
      <c r="D514" t="n">
        <v>1</v>
      </c>
      <c r="E514" t="s">
        <v>523</v>
      </c>
      <c r="F514">
        <f>HYPERLINK("http://pbs.twimg.com/media/DcoibQhXkAAtUys.jpg", "http://pbs.twimg.com/media/DcoibQhXkAAtUys.jpg")</f>
        <v/>
      </c>
      <c r="G514" t="s"/>
      <c r="H514" t="s"/>
      <c r="I514" t="s"/>
      <c r="J514" t="n">
        <v>0.4767</v>
      </c>
      <c r="K514" t="n">
        <v>0</v>
      </c>
      <c r="L514" t="n">
        <v>0.871</v>
      </c>
      <c r="M514" t="n">
        <v>0.129</v>
      </c>
    </row>
    <row r="515" spans="1:13">
      <c r="A515" s="1">
        <f>HYPERLINK("http://www.twitter.com/NathanBLawrence/status/993642939309060097", "993642939309060097")</f>
        <v/>
      </c>
      <c r="B515" s="2" t="n">
        <v>43228.00361111111</v>
      </c>
      <c r="C515" t="n">
        <v>5</v>
      </c>
      <c r="D515" t="n">
        <v>1</v>
      </c>
      <c r="E515" t="s">
        <v>524</v>
      </c>
      <c r="F515">
        <f>HYPERLINK("http://pbs.twimg.com/media/Dcog-vrUQAA-A0e.jpg", "http://pbs.twimg.com/media/Dcog-vrUQAA-A0e.jpg")</f>
        <v/>
      </c>
      <c r="G515" t="s"/>
      <c r="H515" t="s"/>
      <c r="I515" t="s"/>
      <c r="J515" t="n">
        <v>0</v>
      </c>
      <c r="K515" t="n">
        <v>0</v>
      </c>
      <c r="L515" t="n">
        <v>1</v>
      </c>
      <c r="M515" t="n">
        <v>0</v>
      </c>
    </row>
    <row r="516" spans="1:13">
      <c r="A516" s="1">
        <f>HYPERLINK("http://www.twitter.com/NathanBLawrence/status/993641784021528581", "993641784021528581")</f>
        <v/>
      </c>
      <c r="B516" s="2" t="n">
        <v>43228.00041666667</v>
      </c>
      <c r="C516" t="n">
        <v>0</v>
      </c>
      <c r="D516" t="n">
        <v>5</v>
      </c>
      <c r="E516" t="s">
        <v>525</v>
      </c>
      <c r="F516">
        <f>HYPERLINK("http://pbs.twimg.com/media/Dcoe8S8U0AAtHia.jpg", "http://pbs.twimg.com/media/Dcoe8S8U0AAtHia.jpg")</f>
        <v/>
      </c>
      <c r="G516" t="s"/>
      <c r="H516" t="s"/>
      <c r="I516" t="s"/>
      <c r="J516" t="n">
        <v>0</v>
      </c>
      <c r="K516" t="n">
        <v>0</v>
      </c>
      <c r="L516" t="n">
        <v>1</v>
      </c>
      <c r="M516" t="n">
        <v>0</v>
      </c>
    </row>
    <row r="517" spans="1:13">
      <c r="A517" s="1">
        <f>HYPERLINK("http://www.twitter.com/NathanBLawrence/status/993641732792356864", "993641732792356864")</f>
        <v/>
      </c>
      <c r="B517" s="2" t="n">
        <v>43228.00027777778</v>
      </c>
      <c r="C517" t="n">
        <v>6</v>
      </c>
      <c r="D517" t="n">
        <v>1</v>
      </c>
      <c r="E517" t="s">
        <v>526</v>
      </c>
      <c r="F517">
        <f>HYPERLINK("http://pbs.twimg.com/media/Dcof4uMV4AAMX_I.jpg", "http://pbs.twimg.com/media/Dcof4uMV4AAMX_I.jpg")</f>
        <v/>
      </c>
      <c r="G517" t="s"/>
      <c r="H517" t="s"/>
      <c r="I517" t="s"/>
      <c r="J517" t="n">
        <v>0</v>
      </c>
      <c r="K517" t="n">
        <v>0</v>
      </c>
      <c r="L517" t="n">
        <v>1</v>
      </c>
      <c r="M517" t="n">
        <v>0</v>
      </c>
    </row>
    <row r="518" spans="1:13">
      <c r="A518" s="1">
        <f>HYPERLINK("http://www.twitter.com/NathanBLawrence/status/993641207124328449", "993641207124328449")</f>
        <v/>
      </c>
      <c r="B518" s="2" t="n">
        <v>43227.99883101852</v>
      </c>
      <c r="C518" t="n">
        <v>6</v>
      </c>
      <c r="D518" t="n">
        <v>1</v>
      </c>
      <c r="E518" t="s">
        <v>527</v>
      </c>
      <c r="F518">
        <f>HYPERLINK("http://pbs.twimg.com/media/DcofaIyUQAEbe5w.jpg", "http://pbs.twimg.com/media/DcofaIyUQAEbe5w.jpg")</f>
        <v/>
      </c>
      <c r="G518" t="s"/>
      <c r="H518" t="s"/>
      <c r="I518" t="s"/>
      <c r="J518" t="n">
        <v>0</v>
      </c>
      <c r="K518" t="n">
        <v>0</v>
      </c>
      <c r="L518" t="n">
        <v>1</v>
      </c>
      <c r="M518" t="n">
        <v>0</v>
      </c>
    </row>
    <row r="519" spans="1:13">
      <c r="A519" s="1">
        <f>HYPERLINK("http://www.twitter.com/NathanBLawrence/status/993640695943630848", "993640695943630848")</f>
        <v/>
      </c>
      <c r="B519" s="2" t="n">
        <v>43227.99741898148</v>
      </c>
      <c r="C519" t="n">
        <v>12</v>
      </c>
      <c r="D519" t="n">
        <v>5</v>
      </c>
      <c r="E519" t="s">
        <v>528</v>
      </c>
      <c r="F519">
        <f>HYPERLINK("http://pbs.twimg.com/media/Dcoe8S8U0AAtHia.jpg", "http://pbs.twimg.com/media/Dcoe8S8U0AAtHia.jpg")</f>
        <v/>
      </c>
      <c r="G519" t="s"/>
      <c r="H519" t="s"/>
      <c r="I519" t="s"/>
      <c r="J519" t="n">
        <v>0.3382</v>
      </c>
      <c r="K519" t="n">
        <v>0</v>
      </c>
      <c r="L519" t="n">
        <v>0.952</v>
      </c>
      <c r="M519" t="n">
        <v>0.048</v>
      </c>
    </row>
    <row r="520" spans="1:13">
      <c r="A520" s="1">
        <f>HYPERLINK("http://www.twitter.com/NathanBLawrence/status/993634094474059776", "993634094474059776")</f>
        <v/>
      </c>
      <c r="B520" s="2" t="n">
        <v>43227.97920138889</v>
      </c>
      <c r="C520" t="n">
        <v>0</v>
      </c>
      <c r="D520" t="n">
        <v>2</v>
      </c>
      <c r="E520" t="s">
        <v>529</v>
      </c>
      <c r="F520" t="s"/>
      <c r="G520" t="s"/>
      <c r="H520" t="s"/>
      <c r="I520" t="s"/>
      <c r="J520" t="n">
        <v>0.128</v>
      </c>
      <c r="K520" t="n">
        <v>0</v>
      </c>
      <c r="L520" t="n">
        <v>0.897</v>
      </c>
      <c r="M520" t="n">
        <v>0.103</v>
      </c>
    </row>
    <row r="521" spans="1:13">
      <c r="A521" s="1">
        <f>HYPERLINK("http://www.twitter.com/NathanBLawrence/status/993634075704426501", "993634075704426501")</f>
        <v/>
      </c>
      <c r="B521" s="2" t="n">
        <v>43227.97915509259</v>
      </c>
      <c r="C521" t="n">
        <v>0</v>
      </c>
      <c r="D521" t="n">
        <v>13</v>
      </c>
      <c r="E521" t="s">
        <v>530</v>
      </c>
      <c r="F521" t="s"/>
      <c r="G521" t="s"/>
      <c r="H521" t="s"/>
      <c r="I521" t="s"/>
      <c r="J521" t="n">
        <v>0</v>
      </c>
      <c r="K521" t="n">
        <v>0</v>
      </c>
      <c r="L521" t="n">
        <v>1</v>
      </c>
      <c r="M521" t="n">
        <v>0</v>
      </c>
    </row>
    <row r="522" spans="1:13">
      <c r="A522" s="1">
        <f>HYPERLINK("http://www.twitter.com/NathanBLawrence/status/993624244524331008", "993624244524331008")</f>
        <v/>
      </c>
      <c r="B522" s="2" t="n">
        <v>43227.95202546296</v>
      </c>
      <c r="C522" t="n">
        <v>0</v>
      </c>
      <c r="D522" t="n">
        <v>9</v>
      </c>
      <c r="E522" t="s">
        <v>531</v>
      </c>
      <c r="F522" t="s"/>
      <c r="G522" t="s"/>
      <c r="H522" t="s"/>
      <c r="I522" t="s"/>
      <c r="J522" t="n">
        <v>-0.4939</v>
      </c>
      <c r="K522" t="n">
        <v>0.167</v>
      </c>
      <c r="L522" t="n">
        <v>0.833</v>
      </c>
      <c r="M522" t="n">
        <v>0</v>
      </c>
    </row>
    <row r="523" spans="1:13">
      <c r="A523" s="1">
        <f>HYPERLINK("http://www.twitter.com/NathanBLawrence/status/993616331441401857", "993616331441401857")</f>
        <v/>
      </c>
      <c r="B523" s="2" t="n">
        <v>43227.93018518519</v>
      </c>
      <c r="C523" t="n">
        <v>0</v>
      </c>
      <c r="D523" t="n">
        <v>6</v>
      </c>
      <c r="E523" t="s">
        <v>532</v>
      </c>
      <c r="F523" t="s"/>
      <c r="G523" t="s"/>
      <c r="H523" t="s"/>
      <c r="I523" t="s"/>
      <c r="J523" t="n">
        <v>0</v>
      </c>
      <c r="K523" t="n">
        <v>0</v>
      </c>
      <c r="L523" t="n">
        <v>1</v>
      </c>
      <c r="M523" t="n">
        <v>0</v>
      </c>
    </row>
    <row r="524" spans="1:13">
      <c r="A524" s="1">
        <f>HYPERLINK("http://www.twitter.com/NathanBLawrence/status/993609185911803911", "993609185911803911")</f>
        <v/>
      </c>
      <c r="B524" s="2" t="n">
        <v>43227.91046296297</v>
      </c>
      <c r="C524" t="n">
        <v>0</v>
      </c>
      <c r="D524" t="n">
        <v>5</v>
      </c>
      <c r="E524" t="s">
        <v>533</v>
      </c>
      <c r="F524">
        <f>HYPERLINK("http://pbs.twimg.com/media/Dcn0DdwVwAA8wp6.jpg", "http://pbs.twimg.com/media/Dcn0DdwVwAA8wp6.jpg")</f>
        <v/>
      </c>
      <c r="G524" t="s"/>
      <c r="H524" t="s"/>
      <c r="I524" t="s"/>
      <c r="J524" t="n">
        <v>-0.3382</v>
      </c>
      <c r="K524" t="n">
        <v>0.1</v>
      </c>
      <c r="L524" t="n">
        <v>0.852</v>
      </c>
      <c r="M524" t="n">
        <v>0.048</v>
      </c>
    </row>
    <row r="525" spans="1:13">
      <c r="A525" s="1">
        <f>HYPERLINK("http://www.twitter.com/NathanBLawrence/status/993609171084939274", "993609171084939274")</f>
        <v/>
      </c>
      <c r="B525" s="2" t="n">
        <v>43227.91042824074</v>
      </c>
      <c r="C525" t="n">
        <v>0</v>
      </c>
      <c r="D525" t="n">
        <v>3</v>
      </c>
      <c r="E525" t="s">
        <v>534</v>
      </c>
      <c r="F525" t="s"/>
      <c r="G525" t="s"/>
      <c r="H525" t="s"/>
      <c r="I525" t="s"/>
      <c r="J525" t="n">
        <v>0</v>
      </c>
      <c r="K525" t="n">
        <v>0</v>
      </c>
      <c r="L525" t="n">
        <v>1</v>
      </c>
      <c r="M525" t="n">
        <v>0</v>
      </c>
    </row>
    <row r="526" spans="1:13">
      <c r="A526" s="1">
        <f>HYPERLINK("http://www.twitter.com/NathanBLawrence/status/993605348010483712", "993605348010483712")</f>
        <v/>
      </c>
      <c r="B526" s="2" t="n">
        <v>43227.89987268519</v>
      </c>
      <c r="C526" t="n">
        <v>0</v>
      </c>
      <c r="D526" t="n">
        <v>1</v>
      </c>
      <c r="E526" t="s">
        <v>535</v>
      </c>
      <c r="F526" t="s"/>
      <c r="G526" t="s"/>
      <c r="H526" t="s"/>
      <c r="I526" t="s"/>
      <c r="J526" t="n">
        <v>0.4019</v>
      </c>
      <c r="K526" t="n">
        <v>0</v>
      </c>
      <c r="L526" t="n">
        <v>0.881</v>
      </c>
      <c r="M526" t="n">
        <v>0.119</v>
      </c>
    </row>
    <row r="527" spans="1:13">
      <c r="A527" s="1">
        <f>HYPERLINK("http://www.twitter.com/NathanBLawrence/status/993604035038019584", "993604035038019584")</f>
        <v/>
      </c>
      <c r="B527" s="2" t="n">
        <v>43227.89625</v>
      </c>
      <c r="C527" t="n">
        <v>0</v>
      </c>
      <c r="D527" t="n">
        <v>4</v>
      </c>
      <c r="E527" t="s">
        <v>536</v>
      </c>
      <c r="F527">
        <f>HYPERLINK("http://pbs.twimg.com/media/DcmEAPzUwAESPfE.jpg", "http://pbs.twimg.com/media/DcmEAPzUwAESPfE.jpg")</f>
        <v/>
      </c>
      <c r="G527" t="s"/>
      <c r="H527" t="s"/>
      <c r="I527" t="s"/>
      <c r="J527" t="n">
        <v>0</v>
      </c>
      <c r="K527" t="n">
        <v>0</v>
      </c>
      <c r="L527" t="n">
        <v>1</v>
      </c>
      <c r="M527" t="n">
        <v>0</v>
      </c>
    </row>
    <row r="528" spans="1:13">
      <c r="A528" s="1">
        <f>HYPERLINK("http://www.twitter.com/NathanBLawrence/status/993603851709186051", "993603851709186051")</f>
        <v/>
      </c>
      <c r="B528" s="2" t="n">
        <v>43227.89575231481</v>
      </c>
      <c r="C528" t="n">
        <v>0</v>
      </c>
      <c r="D528" t="n">
        <v>22</v>
      </c>
      <c r="E528" t="s">
        <v>537</v>
      </c>
      <c r="F528">
        <f>HYPERLINK("http://pbs.twimg.com/media/Dcjv9DmXkAIYevh.jpg", "http://pbs.twimg.com/media/Dcjv9DmXkAIYevh.jpg")</f>
        <v/>
      </c>
      <c r="G528" t="s"/>
      <c r="H528" t="s"/>
      <c r="I528" t="s"/>
      <c r="J528" t="n">
        <v>0.7177</v>
      </c>
      <c r="K528" t="n">
        <v>0</v>
      </c>
      <c r="L528" t="n">
        <v>0.7</v>
      </c>
      <c r="M528" t="n">
        <v>0.3</v>
      </c>
    </row>
    <row r="529" spans="1:13">
      <c r="A529" s="1">
        <f>HYPERLINK("http://www.twitter.com/NathanBLawrence/status/993603790816317440", "993603790816317440")</f>
        <v/>
      </c>
      <c r="B529" s="2" t="n">
        <v>43227.8955787037</v>
      </c>
      <c r="C529" t="n">
        <v>0</v>
      </c>
      <c r="D529" t="n">
        <v>10</v>
      </c>
      <c r="E529" t="s">
        <v>538</v>
      </c>
      <c r="F529" t="s"/>
      <c r="G529" t="s"/>
      <c r="H529" t="s"/>
      <c r="I529" t="s"/>
      <c r="J529" t="n">
        <v>-0.34</v>
      </c>
      <c r="K529" t="n">
        <v>0.15</v>
      </c>
      <c r="L529" t="n">
        <v>0.752</v>
      </c>
      <c r="M529" t="n">
        <v>0.098</v>
      </c>
    </row>
    <row r="530" spans="1:13">
      <c r="A530" s="1">
        <f>HYPERLINK("http://www.twitter.com/NathanBLawrence/status/993600698335092742", "993600698335092742")</f>
        <v/>
      </c>
      <c r="B530" s="2" t="n">
        <v>43227.88704861111</v>
      </c>
      <c r="C530" t="n">
        <v>0</v>
      </c>
      <c r="D530" t="n">
        <v>7</v>
      </c>
      <c r="E530" t="s">
        <v>539</v>
      </c>
      <c r="F530">
        <f>HYPERLINK("http://pbs.twimg.com/media/Dcnn7iiXkAAqp2v.jpg", "http://pbs.twimg.com/media/Dcnn7iiXkAAqp2v.jpg")</f>
        <v/>
      </c>
      <c r="G530">
        <f>HYPERLINK("http://pbs.twimg.com/media/Dcnn7ieXcAAQWAM.jpg", "http://pbs.twimg.com/media/Dcnn7ieXcAAQWAM.jpg")</f>
        <v/>
      </c>
      <c r="H530">
        <f>HYPERLINK("http://pbs.twimg.com/media/Dcnn7iqW4AYCHAQ.jpg", "http://pbs.twimg.com/media/Dcnn7iqW4AYCHAQ.jpg")</f>
        <v/>
      </c>
      <c r="I530">
        <f>HYPERLINK("http://pbs.twimg.com/media/Dcnn7i3WsAAe-pK.jpg", "http://pbs.twimg.com/media/Dcnn7i3WsAAe-pK.jpg")</f>
        <v/>
      </c>
      <c r="J530" t="n">
        <v>0.08359999999999999</v>
      </c>
      <c r="K530" t="n">
        <v>0.136</v>
      </c>
      <c r="L530" t="n">
        <v>0.709</v>
      </c>
      <c r="M530" t="n">
        <v>0.154</v>
      </c>
    </row>
    <row r="531" spans="1:13">
      <c r="A531" s="1">
        <f>HYPERLINK("http://www.twitter.com/NathanBLawrence/status/993594140502953986", "993594140502953986")</f>
        <v/>
      </c>
      <c r="B531" s="2" t="n">
        <v>43227.86894675926</v>
      </c>
      <c r="C531" t="n">
        <v>0</v>
      </c>
      <c r="D531" t="n">
        <v>12</v>
      </c>
      <c r="E531" t="s">
        <v>540</v>
      </c>
      <c r="F531" t="s"/>
      <c r="G531" t="s"/>
      <c r="H531" t="s"/>
      <c r="I531" t="s"/>
      <c r="J531" t="n">
        <v>0</v>
      </c>
      <c r="K531" t="n">
        <v>0</v>
      </c>
      <c r="L531" t="n">
        <v>1</v>
      </c>
      <c r="M531" t="n">
        <v>0</v>
      </c>
    </row>
    <row r="532" spans="1:13">
      <c r="A532" s="1">
        <f>HYPERLINK("http://www.twitter.com/NathanBLawrence/status/993594082973900805", "993594082973900805")</f>
        <v/>
      </c>
      <c r="B532" s="2" t="n">
        <v>43227.86879629629</v>
      </c>
      <c r="C532" t="n">
        <v>0</v>
      </c>
      <c r="D532" t="n">
        <v>78</v>
      </c>
      <c r="E532" t="s">
        <v>541</v>
      </c>
      <c r="F532" t="s"/>
      <c r="G532" t="s"/>
      <c r="H532" t="s"/>
      <c r="I532" t="s"/>
      <c r="J532" t="n">
        <v>0</v>
      </c>
      <c r="K532" t="n">
        <v>0</v>
      </c>
      <c r="L532" t="n">
        <v>1</v>
      </c>
      <c r="M532" t="n">
        <v>0</v>
      </c>
    </row>
    <row r="533" spans="1:13">
      <c r="A533" s="1">
        <f>HYPERLINK("http://www.twitter.com/NathanBLawrence/status/993586882662600706", "993586882662600706")</f>
        <v/>
      </c>
      <c r="B533" s="2" t="n">
        <v>43227.84892361111</v>
      </c>
      <c r="C533" t="n">
        <v>0</v>
      </c>
      <c r="D533" t="n">
        <v>13</v>
      </c>
      <c r="E533" t="s">
        <v>542</v>
      </c>
      <c r="F533">
        <f>HYPERLINK("http://pbs.twimg.com/media/DcntJaIWAAAnbAr.jpg", "http://pbs.twimg.com/media/DcntJaIWAAAnbAr.jpg")</f>
        <v/>
      </c>
      <c r="G533" t="s"/>
      <c r="H533" t="s"/>
      <c r="I533" t="s"/>
      <c r="J533" t="n">
        <v>0</v>
      </c>
      <c r="K533" t="n">
        <v>0</v>
      </c>
      <c r="L533" t="n">
        <v>1</v>
      </c>
      <c r="M533" t="n">
        <v>0</v>
      </c>
    </row>
    <row r="534" spans="1:13">
      <c r="A534" s="1">
        <f>HYPERLINK("http://www.twitter.com/NathanBLawrence/status/993584140292362241", "993584140292362241")</f>
        <v/>
      </c>
      <c r="B534" s="2" t="n">
        <v>43227.84135416667</v>
      </c>
      <c r="C534" t="n">
        <v>0</v>
      </c>
      <c r="D534" t="n">
        <v>5</v>
      </c>
      <c r="E534" t="s">
        <v>543</v>
      </c>
      <c r="F534" t="s"/>
      <c r="G534" t="s"/>
      <c r="H534" t="s"/>
      <c r="I534" t="s"/>
      <c r="J534" t="n">
        <v>0.4939</v>
      </c>
      <c r="K534" t="n">
        <v>0.08599999999999999</v>
      </c>
      <c r="L534" t="n">
        <v>0.703</v>
      </c>
      <c r="M534" t="n">
        <v>0.211</v>
      </c>
    </row>
    <row r="535" spans="1:13">
      <c r="A535" s="1">
        <f>HYPERLINK("http://www.twitter.com/NathanBLawrence/status/993584092112457730", "993584092112457730")</f>
        <v/>
      </c>
      <c r="B535" s="2" t="n">
        <v>43227.84122685185</v>
      </c>
      <c r="C535" t="n">
        <v>0</v>
      </c>
      <c r="D535" t="n">
        <v>18</v>
      </c>
      <c r="E535" t="s">
        <v>544</v>
      </c>
      <c r="F535">
        <f>HYPERLINK("http://pbs.twimg.com/media/Dcnq525U0AAroQj.jpg", "http://pbs.twimg.com/media/Dcnq525U0AAroQj.jpg")</f>
        <v/>
      </c>
      <c r="G535">
        <f>HYPERLINK("http://pbs.twimg.com/media/Dcnq6z9VAAAL5br.jpg", "http://pbs.twimg.com/media/Dcnq6z9VAAAL5br.jpg")</f>
        <v/>
      </c>
      <c r="H535">
        <f>HYPERLINK("http://pbs.twimg.com/media/Dcnq7MsUwAAZadH.jpg", "http://pbs.twimg.com/media/Dcnq7MsUwAAZadH.jpg")</f>
        <v/>
      </c>
      <c r="I535" t="s"/>
      <c r="J535" t="n">
        <v>0.5204</v>
      </c>
      <c r="K535" t="n">
        <v>0</v>
      </c>
      <c r="L535" t="n">
        <v>0.856</v>
      </c>
      <c r="M535" t="n">
        <v>0.144</v>
      </c>
    </row>
    <row r="536" spans="1:13">
      <c r="A536" s="1">
        <f>HYPERLINK("http://www.twitter.com/NathanBLawrence/status/993584010050891783", "993584010050891783")</f>
        <v/>
      </c>
      <c r="B536" s="2" t="n">
        <v>43227.84099537037</v>
      </c>
      <c r="C536" t="n">
        <v>0</v>
      </c>
      <c r="D536" t="n">
        <v>17</v>
      </c>
      <c r="E536" t="s">
        <v>545</v>
      </c>
      <c r="F536">
        <f>HYPERLINK("http://pbs.twimg.com/media/Dcniv1-XcAIiCa-.jpg", "http://pbs.twimg.com/media/Dcniv1-XcAIiCa-.jpg")</f>
        <v/>
      </c>
      <c r="G536" t="s"/>
      <c r="H536" t="s"/>
      <c r="I536" t="s"/>
      <c r="J536" t="n">
        <v>0.6909</v>
      </c>
      <c r="K536" t="n">
        <v>0</v>
      </c>
      <c r="L536" t="n">
        <v>0.783</v>
      </c>
      <c r="M536" t="n">
        <v>0.217</v>
      </c>
    </row>
    <row r="537" spans="1:13">
      <c r="A537" s="1">
        <f>HYPERLINK("http://www.twitter.com/NathanBLawrence/status/993573144190509059", "993573144190509059")</f>
        <v/>
      </c>
      <c r="B537" s="2" t="n">
        <v>43227.81100694444</v>
      </c>
      <c r="C537" t="n">
        <v>0</v>
      </c>
      <c r="D537" t="n">
        <v>11</v>
      </c>
      <c r="E537" t="s">
        <v>546</v>
      </c>
      <c r="F537" t="s"/>
      <c r="G537" t="s"/>
      <c r="H537" t="s"/>
      <c r="I537" t="s"/>
      <c r="J537" t="n">
        <v>-0.3804</v>
      </c>
      <c r="K537" t="n">
        <v>0.11</v>
      </c>
      <c r="L537" t="n">
        <v>0.89</v>
      </c>
      <c r="M537" t="n">
        <v>0</v>
      </c>
    </row>
    <row r="538" spans="1:13">
      <c r="A538" s="1">
        <f>HYPERLINK("http://www.twitter.com/NathanBLawrence/status/993570953383874561", "993570953383874561")</f>
        <v/>
      </c>
      <c r="B538" s="2" t="n">
        <v>43227.80496527778</v>
      </c>
      <c r="C538" t="n">
        <v>0</v>
      </c>
      <c r="D538" t="n">
        <v>10</v>
      </c>
      <c r="E538" t="s">
        <v>547</v>
      </c>
      <c r="F538" t="s"/>
      <c r="G538" t="s"/>
      <c r="H538" t="s"/>
      <c r="I538" t="s"/>
      <c r="J538" t="n">
        <v>0</v>
      </c>
      <c r="K538" t="n">
        <v>0</v>
      </c>
      <c r="L538" t="n">
        <v>1</v>
      </c>
      <c r="M538" t="n">
        <v>0</v>
      </c>
    </row>
    <row r="539" spans="1:13">
      <c r="A539" s="1">
        <f>HYPERLINK("http://www.twitter.com/NathanBLawrence/status/993570875386589184", "993570875386589184")</f>
        <v/>
      </c>
      <c r="B539" s="2" t="n">
        <v>43227.80475694445</v>
      </c>
      <c r="C539" t="n">
        <v>0</v>
      </c>
      <c r="D539" t="n">
        <v>10</v>
      </c>
      <c r="E539" t="s">
        <v>548</v>
      </c>
      <c r="F539" t="s"/>
      <c r="G539" t="s"/>
      <c r="H539" t="s"/>
      <c r="I539" t="s"/>
      <c r="J539" t="n">
        <v>-0.7783</v>
      </c>
      <c r="K539" t="n">
        <v>0.317</v>
      </c>
      <c r="L539" t="n">
        <v>0.6830000000000001</v>
      </c>
      <c r="M539" t="n">
        <v>0</v>
      </c>
    </row>
    <row r="540" spans="1:13">
      <c r="A540" s="1">
        <f>HYPERLINK("http://www.twitter.com/NathanBLawrence/status/993552722531110912", "993552722531110912")</f>
        <v/>
      </c>
      <c r="B540" s="2" t="n">
        <v>43227.75466435185</v>
      </c>
      <c r="C540" t="n">
        <v>0</v>
      </c>
      <c r="D540" t="n">
        <v>159</v>
      </c>
      <c r="E540" t="s">
        <v>549</v>
      </c>
      <c r="F540" t="s"/>
      <c r="G540" t="s"/>
      <c r="H540" t="s"/>
      <c r="I540" t="s"/>
      <c r="J540" t="n">
        <v>-0.1779</v>
      </c>
      <c r="K540" t="n">
        <v>0.147</v>
      </c>
      <c r="L540" t="n">
        <v>0.736</v>
      </c>
      <c r="M540" t="n">
        <v>0.117</v>
      </c>
    </row>
    <row r="541" spans="1:13">
      <c r="A541" s="1">
        <f>HYPERLINK("http://www.twitter.com/NathanBLawrence/status/993552697033969666", "993552697033969666")</f>
        <v/>
      </c>
      <c r="B541" s="2" t="n">
        <v>43227.75458333334</v>
      </c>
      <c r="C541" t="n">
        <v>0</v>
      </c>
      <c r="D541" t="n">
        <v>77</v>
      </c>
      <c r="E541" t="s">
        <v>550</v>
      </c>
      <c r="F541" t="s"/>
      <c r="G541" t="s"/>
      <c r="H541" t="s"/>
      <c r="I541" t="s"/>
      <c r="J541" t="n">
        <v>0</v>
      </c>
      <c r="K541" t="n">
        <v>0</v>
      </c>
      <c r="L541" t="n">
        <v>1</v>
      </c>
      <c r="M541" t="n">
        <v>0</v>
      </c>
    </row>
    <row r="542" spans="1:13">
      <c r="A542" s="1">
        <f>HYPERLINK("http://www.twitter.com/NathanBLawrence/status/993552676867756035", "993552676867756035")</f>
        <v/>
      </c>
      <c r="B542" s="2" t="n">
        <v>43227.75453703704</v>
      </c>
      <c r="C542" t="n">
        <v>0</v>
      </c>
      <c r="D542" t="n">
        <v>5</v>
      </c>
      <c r="E542" t="s">
        <v>551</v>
      </c>
      <c r="F542" t="s"/>
      <c r="G542" t="s"/>
      <c r="H542" t="s"/>
      <c r="I542" t="s"/>
      <c r="J542" t="n">
        <v>0</v>
      </c>
      <c r="K542" t="n">
        <v>0</v>
      </c>
      <c r="L542" t="n">
        <v>1</v>
      </c>
      <c r="M542" t="n">
        <v>0</v>
      </c>
    </row>
    <row r="543" spans="1:13">
      <c r="A543" s="1">
        <f>HYPERLINK("http://www.twitter.com/NathanBLawrence/status/993552631577661440", "993552631577661440")</f>
        <v/>
      </c>
      <c r="B543" s="2" t="n">
        <v>43227.75440972222</v>
      </c>
      <c r="C543" t="n">
        <v>0</v>
      </c>
      <c r="D543" t="n">
        <v>2</v>
      </c>
      <c r="E543" t="s">
        <v>552</v>
      </c>
      <c r="F543" t="s"/>
      <c r="G543" t="s"/>
      <c r="H543" t="s"/>
      <c r="I543" t="s"/>
      <c r="J543" t="n">
        <v>0</v>
      </c>
      <c r="K543" t="n">
        <v>0</v>
      </c>
      <c r="L543" t="n">
        <v>1</v>
      </c>
      <c r="M543" t="n">
        <v>0</v>
      </c>
    </row>
    <row r="544" spans="1:13">
      <c r="A544" s="1">
        <f>HYPERLINK("http://www.twitter.com/NathanBLawrence/status/993552520864763907", "993552520864763907")</f>
        <v/>
      </c>
      <c r="B544" s="2" t="n">
        <v>43227.75409722222</v>
      </c>
      <c r="C544" t="n">
        <v>0</v>
      </c>
      <c r="D544" t="n">
        <v>49</v>
      </c>
      <c r="E544" t="s">
        <v>553</v>
      </c>
      <c r="F544" t="s"/>
      <c r="G544" t="s"/>
      <c r="H544" t="s"/>
      <c r="I544" t="s"/>
      <c r="J544" t="n">
        <v>0.6369</v>
      </c>
      <c r="K544" t="n">
        <v>0.158</v>
      </c>
      <c r="L544" t="n">
        <v>0.548</v>
      </c>
      <c r="M544" t="n">
        <v>0.294</v>
      </c>
    </row>
    <row r="545" spans="1:13">
      <c r="A545" s="1">
        <f>HYPERLINK("http://www.twitter.com/NathanBLawrence/status/993552494012915714", "993552494012915714")</f>
        <v/>
      </c>
      <c r="B545" s="2" t="n">
        <v>43227.75402777778</v>
      </c>
      <c r="C545" t="n">
        <v>0</v>
      </c>
      <c r="D545" t="n">
        <v>5</v>
      </c>
      <c r="E545" t="s">
        <v>554</v>
      </c>
      <c r="F545" t="s"/>
      <c r="G545" t="s"/>
      <c r="H545" t="s"/>
      <c r="I545" t="s"/>
      <c r="J545" t="n">
        <v>-0.3304</v>
      </c>
      <c r="K545" t="n">
        <v>0.14</v>
      </c>
      <c r="L545" t="n">
        <v>0.778</v>
      </c>
      <c r="M545" t="n">
        <v>0.082</v>
      </c>
    </row>
    <row r="546" spans="1:13">
      <c r="A546" s="1">
        <f>HYPERLINK("http://www.twitter.com/NathanBLawrence/status/993552448370421761", "993552448370421761")</f>
        <v/>
      </c>
      <c r="B546" s="2" t="n">
        <v>43227.75390046297</v>
      </c>
      <c r="C546" t="n">
        <v>0</v>
      </c>
      <c r="D546" t="n">
        <v>83</v>
      </c>
      <c r="E546" t="s">
        <v>555</v>
      </c>
      <c r="F546" t="s"/>
      <c r="G546" t="s"/>
      <c r="H546" t="s"/>
      <c r="I546" t="s"/>
      <c r="J546" t="n">
        <v>-0.5266999999999999</v>
      </c>
      <c r="K546" t="n">
        <v>0.217</v>
      </c>
      <c r="L546" t="n">
        <v>0.6879999999999999</v>
      </c>
      <c r="M546" t="n">
        <v>0.094</v>
      </c>
    </row>
    <row r="547" spans="1:13">
      <c r="A547" s="1">
        <f>HYPERLINK("http://www.twitter.com/NathanBLawrence/status/993507202861281280", "993507202861281280")</f>
        <v/>
      </c>
      <c r="B547" s="2" t="n">
        <v>43227.62905092593</v>
      </c>
      <c r="C547" t="n">
        <v>0</v>
      </c>
      <c r="D547" t="n">
        <v>2</v>
      </c>
      <c r="E547" t="s">
        <v>556</v>
      </c>
      <c r="F547" t="s"/>
      <c r="G547" t="s"/>
      <c r="H547" t="s"/>
      <c r="I547" t="s"/>
      <c r="J547" t="n">
        <v>0.4926</v>
      </c>
      <c r="K547" t="n">
        <v>0</v>
      </c>
      <c r="L547" t="n">
        <v>0.775</v>
      </c>
      <c r="M547" t="n">
        <v>0.225</v>
      </c>
    </row>
    <row r="548" spans="1:13">
      <c r="A548" s="1">
        <f>HYPERLINK("http://www.twitter.com/NathanBLawrence/status/993506458875650057", "993506458875650057")</f>
        <v/>
      </c>
      <c r="B548" s="2" t="n">
        <v>43227.62699074074</v>
      </c>
      <c r="C548" t="n">
        <v>0</v>
      </c>
      <c r="D548" t="n">
        <v>19</v>
      </c>
      <c r="E548" t="s">
        <v>557</v>
      </c>
      <c r="F548">
        <f>HYPERLINK("http://pbs.twimg.com/media/DcmK_xuXUAIlMnd.jpg", "http://pbs.twimg.com/media/DcmK_xuXUAIlMnd.jpg")</f>
        <v/>
      </c>
      <c r="G548" t="s"/>
      <c r="H548" t="s"/>
      <c r="I548" t="s"/>
      <c r="J548" t="n">
        <v>0.5162</v>
      </c>
      <c r="K548" t="n">
        <v>0.068</v>
      </c>
      <c r="L548" t="n">
        <v>0.73</v>
      </c>
      <c r="M548" t="n">
        <v>0.203</v>
      </c>
    </row>
    <row r="549" spans="1:13">
      <c r="A549" s="1">
        <f>HYPERLINK("http://www.twitter.com/NathanBLawrence/status/993506437371432962", "993506437371432962")</f>
        <v/>
      </c>
      <c r="B549" s="2" t="n">
        <v>43227.62693287037</v>
      </c>
      <c r="C549" t="n">
        <v>0</v>
      </c>
      <c r="D549" t="n">
        <v>11</v>
      </c>
      <c r="E549" t="s">
        <v>558</v>
      </c>
      <c r="F549" t="s"/>
      <c r="G549" t="s"/>
      <c r="H549" t="s"/>
      <c r="I549" t="s"/>
      <c r="J549" t="n">
        <v>-0.1154</v>
      </c>
      <c r="K549" t="n">
        <v>0.125</v>
      </c>
      <c r="L549" t="n">
        <v>0.768</v>
      </c>
      <c r="M549" t="n">
        <v>0.107</v>
      </c>
    </row>
    <row r="550" spans="1:13">
      <c r="A550" s="1">
        <f>HYPERLINK("http://www.twitter.com/NathanBLawrence/status/993506409638760448", "993506409638760448")</f>
        <v/>
      </c>
      <c r="B550" s="2" t="n">
        <v>43227.62686342592</v>
      </c>
      <c r="C550" t="n">
        <v>0</v>
      </c>
      <c r="D550" t="n">
        <v>16</v>
      </c>
      <c r="E550" t="s">
        <v>559</v>
      </c>
      <c r="F550">
        <f>HYPERLINK("http://pbs.twimg.com/media/DcjzO9QX0AAtJeY.jpg", "http://pbs.twimg.com/media/DcjzO9QX0AAtJeY.jpg")</f>
        <v/>
      </c>
      <c r="G550" t="s"/>
      <c r="H550" t="s"/>
      <c r="I550" t="s"/>
      <c r="J550" t="n">
        <v>0.1695</v>
      </c>
      <c r="K550" t="n">
        <v>0</v>
      </c>
      <c r="L550" t="n">
        <v>0.886</v>
      </c>
      <c r="M550" t="n">
        <v>0.114</v>
      </c>
    </row>
    <row r="551" spans="1:13">
      <c r="A551" s="1">
        <f>HYPERLINK("http://www.twitter.com/NathanBLawrence/status/993506319947763712", "993506319947763712")</f>
        <v/>
      </c>
      <c r="B551" s="2" t="n">
        <v>43227.62660879629</v>
      </c>
      <c r="C551" t="n">
        <v>0</v>
      </c>
      <c r="D551" t="n">
        <v>13</v>
      </c>
      <c r="E551" t="s">
        <v>560</v>
      </c>
      <c r="F551">
        <f>HYPERLINK("http://pbs.twimg.com/media/DcmFJ-pV4AA8wNJ.jpg", "http://pbs.twimg.com/media/DcmFJ-pV4AA8wNJ.jpg")</f>
        <v/>
      </c>
      <c r="G551" t="s"/>
      <c r="H551" t="s"/>
      <c r="I551" t="s"/>
      <c r="J551" t="n">
        <v>-0.7783</v>
      </c>
      <c r="K551" t="n">
        <v>0.317</v>
      </c>
      <c r="L551" t="n">
        <v>0.6830000000000001</v>
      </c>
      <c r="M551" t="n">
        <v>0</v>
      </c>
    </row>
    <row r="552" spans="1:13">
      <c r="A552" s="1">
        <f>HYPERLINK("http://www.twitter.com/NathanBLawrence/status/993506302319058944", "993506302319058944")</f>
        <v/>
      </c>
      <c r="B552" s="2" t="n">
        <v>43227.6265625</v>
      </c>
      <c r="C552" t="n">
        <v>0</v>
      </c>
      <c r="D552" t="n">
        <v>12</v>
      </c>
      <c r="E552" t="s">
        <v>561</v>
      </c>
      <c r="F552">
        <f>HYPERLINK("http://pbs.twimg.com/media/DcmbyNXVAAEh3zf.jpg", "http://pbs.twimg.com/media/DcmbyNXVAAEh3zf.jpg")</f>
        <v/>
      </c>
      <c r="G552" t="s"/>
      <c r="H552" t="s"/>
      <c r="I552" t="s"/>
      <c r="J552" t="n">
        <v>-0.5399</v>
      </c>
      <c r="K552" t="n">
        <v>0.17</v>
      </c>
      <c r="L552" t="n">
        <v>0.83</v>
      </c>
      <c r="M552" t="n">
        <v>0</v>
      </c>
    </row>
    <row r="553" spans="1:13">
      <c r="A553" s="1">
        <f>HYPERLINK("http://www.twitter.com/NathanBLawrence/status/993506217447383042", "993506217447383042")</f>
        <v/>
      </c>
      <c r="B553" s="2" t="n">
        <v>43227.62633101852</v>
      </c>
      <c r="C553" t="n">
        <v>0</v>
      </c>
      <c r="D553" t="n">
        <v>15</v>
      </c>
      <c r="E553" t="s">
        <v>562</v>
      </c>
      <c r="F553">
        <f>HYPERLINK("http://pbs.twimg.com/media/DcmLm5LU8AIr2bi.jpg", "http://pbs.twimg.com/media/DcmLm5LU8AIr2bi.jpg")</f>
        <v/>
      </c>
      <c r="G553" t="s"/>
      <c r="H553" t="s"/>
      <c r="I553" t="s"/>
      <c r="J553" t="n">
        <v>0.4648</v>
      </c>
      <c r="K553" t="n">
        <v>0</v>
      </c>
      <c r="L553" t="n">
        <v>0.879</v>
      </c>
      <c r="M553" t="n">
        <v>0.121</v>
      </c>
    </row>
    <row r="554" spans="1:13">
      <c r="A554" s="1">
        <f>HYPERLINK("http://www.twitter.com/NathanBLawrence/status/993505845110542337", "993505845110542337")</f>
        <v/>
      </c>
      <c r="B554" s="2" t="n">
        <v>43227.62530092592</v>
      </c>
      <c r="C554" t="n">
        <v>0</v>
      </c>
      <c r="D554" t="n">
        <v>33</v>
      </c>
      <c r="E554" t="s">
        <v>563</v>
      </c>
      <c r="F554">
        <f>HYPERLINK("http://pbs.twimg.com/media/DcmEK5wWsAUm-8m.jpg", "http://pbs.twimg.com/media/DcmEK5wWsAUm-8m.jpg")</f>
        <v/>
      </c>
      <c r="G554" t="s"/>
      <c r="H554" t="s"/>
      <c r="I554" t="s"/>
      <c r="J554" t="n">
        <v>0</v>
      </c>
      <c r="K554" t="n">
        <v>0</v>
      </c>
      <c r="L554" t="n">
        <v>1</v>
      </c>
      <c r="M554" t="n">
        <v>0</v>
      </c>
    </row>
    <row r="555" spans="1:13">
      <c r="A555" s="1">
        <f>HYPERLINK("http://www.twitter.com/NathanBLawrence/status/993505820473163776", "993505820473163776")</f>
        <v/>
      </c>
      <c r="B555" s="2" t="n">
        <v>43227.62523148148</v>
      </c>
      <c r="C555" t="n">
        <v>0</v>
      </c>
      <c r="D555" t="n">
        <v>11</v>
      </c>
      <c r="E555" t="s">
        <v>564</v>
      </c>
      <c r="F555">
        <f>HYPERLINK("http://pbs.twimg.com/media/DcmBddFW4AAX3Ip.jpg", "http://pbs.twimg.com/media/DcmBddFW4AAX3Ip.jpg")</f>
        <v/>
      </c>
      <c r="G555">
        <f>HYPERLINK("http://pbs.twimg.com/media/DcmBeqvWkAAT7XP.jpg", "http://pbs.twimg.com/media/DcmBeqvWkAAT7XP.jpg")</f>
        <v/>
      </c>
      <c r="H555">
        <f>HYPERLINK("http://pbs.twimg.com/media/DcmBfoLX4AEBwMd.jpg", "http://pbs.twimg.com/media/DcmBfoLX4AEBwMd.jpg")</f>
        <v/>
      </c>
      <c r="I555">
        <f>HYPERLINK("http://pbs.twimg.com/media/DcmBg5PXkAAeOsB.jpg", "http://pbs.twimg.com/media/DcmBg5PXkAAeOsB.jpg")</f>
        <v/>
      </c>
      <c r="J555" t="n">
        <v>0</v>
      </c>
      <c r="K555" t="n">
        <v>0</v>
      </c>
      <c r="L555" t="n">
        <v>1</v>
      </c>
      <c r="M555" t="n">
        <v>0</v>
      </c>
    </row>
    <row r="556" spans="1:13">
      <c r="A556" s="1">
        <f>HYPERLINK("http://www.twitter.com/NathanBLawrence/status/993505721672241153", "993505721672241153")</f>
        <v/>
      </c>
      <c r="B556" s="2" t="n">
        <v>43227.62496527778</v>
      </c>
      <c r="C556" t="n">
        <v>0</v>
      </c>
      <c r="D556" t="n">
        <v>12</v>
      </c>
      <c r="E556" t="s">
        <v>565</v>
      </c>
      <c r="F556">
        <f>HYPERLINK("http://pbs.twimg.com/media/DcmWMWYXcAEUvvx.jpg", "http://pbs.twimg.com/media/DcmWMWYXcAEUvvx.jpg")</f>
        <v/>
      </c>
      <c r="G556" t="s"/>
      <c r="H556" t="s"/>
      <c r="I556" t="s"/>
      <c r="J556" t="n">
        <v>-0.4098</v>
      </c>
      <c r="K556" t="n">
        <v>0.154</v>
      </c>
      <c r="L556" t="n">
        <v>0.846</v>
      </c>
      <c r="M556" t="n">
        <v>0</v>
      </c>
    </row>
    <row r="557" spans="1:13">
      <c r="A557" s="1">
        <f>HYPERLINK("http://www.twitter.com/NathanBLawrence/status/993278162258808832", "993278162258808832")</f>
        <v/>
      </c>
      <c r="B557" s="2" t="n">
        <v>43226.99701388889</v>
      </c>
      <c r="C557" t="n">
        <v>0</v>
      </c>
      <c r="D557" t="n">
        <v>4829</v>
      </c>
      <c r="E557" t="s">
        <v>566</v>
      </c>
      <c r="F557">
        <f>HYPERLINK("https://video.twimg.com/amplify_video/992869958337093637/vid/1280x720/9WKSweLSAtEigJ5m.mp4?tag=2", "https://video.twimg.com/amplify_video/992869958337093637/vid/1280x720/9WKSweLSAtEigJ5m.mp4?tag=2")</f>
        <v/>
      </c>
      <c r="G557" t="s"/>
      <c r="H557" t="s"/>
      <c r="I557" t="s"/>
      <c r="J557" t="n">
        <v>0.5719</v>
      </c>
      <c r="K557" t="n">
        <v>0</v>
      </c>
      <c r="L557" t="n">
        <v>0.85</v>
      </c>
      <c r="M557" t="n">
        <v>0.15</v>
      </c>
    </row>
    <row r="558" spans="1:13">
      <c r="A558" s="1">
        <f>HYPERLINK("http://www.twitter.com/NathanBLawrence/status/993278103135891457", "993278103135891457")</f>
        <v/>
      </c>
      <c r="B558" s="2" t="n">
        <v>43226.99685185185</v>
      </c>
      <c r="C558" t="n">
        <v>0</v>
      </c>
      <c r="D558" t="n">
        <v>4</v>
      </c>
      <c r="E558" t="s">
        <v>567</v>
      </c>
      <c r="F558" t="s"/>
      <c r="G558" t="s"/>
      <c r="H558" t="s"/>
      <c r="I558" t="s"/>
      <c r="J558" t="n">
        <v>0</v>
      </c>
      <c r="K558" t="n">
        <v>0</v>
      </c>
      <c r="L558" t="n">
        <v>1</v>
      </c>
      <c r="M558" t="n">
        <v>0</v>
      </c>
    </row>
    <row r="559" spans="1:13">
      <c r="A559" s="1">
        <f>HYPERLINK("http://www.twitter.com/NathanBLawrence/status/993277949649539072", "993277949649539072")</f>
        <v/>
      </c>
      <c r="B559" s="2" t="n">
        <v>43226.99643518519</v>
      </c>
      <c r="C559" t="n">
        <v>0</v>
      </c>
      <c r="D559" t="n">
        <v>2</v>
      </c>
      <c r="E559" t="s">
        <v>568</v>
      </c>
      <c r="F559" t="s"/>
      <c r="G559" t="s"/>
      <c r="H559" t="s"/>
      <c r="I559" t="s"/>
      <c r="J559" t="n">
        <v>-0.1027</v>
      </c>
      <c r="K559" t="n">
        <v>0.142</v>
      </c>
      <c r="L559" t="n">
        <v>0.694</v>
      </c>
      <c r="M559" t="n">
        <v>0.163</v>
      </c>
    </row>
    <row r="560" spans="1:13">
      <c r="A560" s="1">
        <f>HYPERLINK("http://www.twitter.com/NathanBLawrence/status/993277792807784449", "993277792807784449")</f>
        <v/>
      </c>
      <c r="B560" s="2" t="n">
        <v>43226.99599537037</v>
      </c>
      <c r="C560" t="n">
        <v>0</v>
      </c>
      <c r="D560" t="n">
        <v>5</v>
      </c>
      <c r="E560" t="s">
        <v>569</v>
      </c>
      <c r="F560" t="s"/>
      <c r="G560" t="s"/>
      <c r="H560" t="s"/>
      <c r="I560" t="s"/>
      <c r="J560" t="n">
        <v>0.4404</v>
      </c>
      <c r="K560" t="n">
        <v>0</v>
      </c>
      <c r="L560" t="n">
        <v>0.888</v>
      </c>
      <c r="M560" t="n">
        <v>0.112</v>
      </c>
    </row>
    <row r="561" spans="1:13">
      <c r="A561" s="1">
        <f>HYPERLINK("http://www.twitter.com/NathanBLawrence/status/993277721664016385", "993277721664016385")</f>
        <v/>
      </c>
      <c r="B561" s="2" t="n">
        <v>43226.99579861111</v>
      </c>
      <c r="C561" t="n">
        <v>0</v>
      </c>
      <c r="D561" t="n">
        <v>7</v>
      </c>
      <c r="E561" t="s">
        <v>570</v>
      </c>
      <c r="F561">
        <f>HYPERLINK("http://pbs.twimg.com/media/DcjRY5-XcAA9At-.jpg", "http://pbs.twimg.com/media/DcjRY5-XcAA9At-.jpg")</f>
        <v/>
      </c>
      <c r="G561">
        <f>HYPERLINK("http://pbs.twimg.com/media/DcjRZDPWkAU8FrO.jpg", "http://pbs.twimg.com/media/DcjRZDPWkAU8FrO.jpg")</f>
        <v/>
      </c>
      <c r="H561">
        <f>HYPERLINK("http://pbs.twimg.com/media/DcjRZLfWsAE-mvM.jpg", "http://pbs.twimg.com/media/DcjRZLfWsAE-mvM.jpg")</f>
        <v/>
      </c>
      <c r="I561">
        <f>HYPERLINK("http://pbs.twimg.com/media/DcjRZUZW0AA9MOw.jpg", "http://pbs.twimg.com/media/DcjRZUZW0AA9MOw.jpg")</f>
        <v/>
      </c>
      <c r="J561" t="n">
        <v>-0.8038</v>
      </c>
      <c r="K561" t="n">
        <v>0.247</v>
      </c>
      <c r="L561" t="n">
        <v>0.753</v>
      </c>
      <c r="M561" t="n">
        <v>0</v>
      </c>
    </row>
    <row r="562" spans="1:13">
      <c r="A562" s="1">
        <f>HYPERLINK("http://www.twitter.com/NathanBLawrence/status/993277651551948808", "993277651551948808")</f>
        <v/>
      </c>
      <c r="B562" s="2" t="n">
        <v>43226.99560185185</v>
      </c>
      <c r="C562" t="n">
        <v>0</v>
      </c>
      <c r="D562" t="n">
        <v>12</v>
      </c>
      <c r="E562" t="s">
        <v>571</v>
      </c>
      <c r="F562" t="s"/>
      <c r="G562" t="s"/>
      <c r="H562" t="s"/>
      <c r="I562" t="s"/>
      <c r="J562" t="n">
        <v>0</v>
      </c>
      <c r="K562" t="n">
        <v>0</v>
      </c>
      <c r="L562" t="n">
        <v>1</v>
      </c>
      <c r="M562" t="n">
        <v>0</v>
      </c>
    </row>
    <row r="563" spans="1:13">
      <c r="A563" s="1">
        <f>HYPERLINK("http://www.twitter.com/NathanBLawrence/status/993277634078527488", "993277634078527488")</f>
        <v/>
      </c>
      <c r="B563" s="2" t="n">
        <v>43226.99555555556</v>
      </c>
      <c r="C563" t="n">
        <v>0</v>
      </c>
      <c r="D563" t="n">
        <v>29</v>
      </c>
      <c r="E563" t="s">
        <v>572</v>
      </c>
      <c r="F563" t="s"/>
      <c r="G563" t="s"/>
      <c r="H563" t="s"/>
      <c r="I563" t="s"/>
      <c r="J563" t="n">
        <v>0.2023</v>
      </c>
      <c r="K563" t="n">
        <v>0.08400000000000001</v>
      </c>
      <c r="L563" t="n">
        <v>0.796</v>
      </c>
      <c r="M563" t="n">
        <v>0.119</v>
      </c>
    </row>
    <row r="564" spans="1:13">
      <c r="A564" s="1">
        <f>HYPERLINK("http://www.twitter.com/NathanBLawrence/status/993277576692060161", "993277576692060161")</f>
        <v/>
      </c>
      <c r="B564" s="2" t="n">
        <v>43226.9954050926</v>
      </c>
      <c r="C564" t="n">
        <v>2</v>
      </c>
      <c r="D564" t="n">
        <v>0</v>
      </c>
      <c r="E564" t="s">
        <v>573</v>
      </c>
      <c r="F564" t="s"/>
      <c r="G564" t="s"/>
      <c r="H564" t="s"/>
      <c r="I564" t="s"/>
      <c r="J564" t="n">
        <v>0.6696</v>
      </c>
      <c r="K564" t="n">
        <v>0</v>
      </c>
      <c r="L564" t="n">
        <v>0.757</v>
      </c>
      <c r="M564" t="n">
        <v>0.243</v>
      </c>
    </row>
    <row r="565" spans="1:13">
      <c r="A565" s="1">
        <f>HYPERLINK("http://www.twitter.com/NathanBLawrence/status/993277421997756421", "993277421997756421")</f>
        <v/>
      </c>
      <c r="B565" s="2" t="n">
        <v>43226.99497685185</v>
      </c>
      <c r="C565" t="n">
        <v>0</v>
      </c>
      <c r="D565" t="n">
        <v>26</v>
      </c>
      <c r="E565" t="s">
        <v>574</v>
      </c>
      <c r="F565" t="s"/>
      <c r="G565" t="s"/>
      <c r="H565" t="s"/>
      <c r="I565" t="s"/>
      <c r="J565" t="n">
        <v>0.5106000000000001</v>
      </c>
      <c r="K565" t="n">
        <v>0.082</v>
      </c>
      <c r="L565" t="n">
        <v>0.637</v>
      </c>
      <c r="M565" t="n">
        <v>0.281</v>
      </c>
    </row>
    <row r="566" spans="1:13">
      <c r="A566" s="1">
        <f>HYPERLINK("http://www.twitter.com/NathanBLawrence/status/993277364619620352", "993277364619620352")</f>
        <v/>
      </c>
      <c r="B566" s="2" t="n">
        <v>43226.99481481482</v>
      </c>
      <c r="C566" t="n">
        <v>0</v>
      </c>
      <c r="D566" t="n">
        <v>16</v>
      </c>
      <c r="E566" t="s">
        <v>575</v>
      </c>
      <c r="F566">
        <f>HYPERLINK("http://pbs.twimg.com/media/Dci_O6dUwAAUi3a.jpg", "http://pbs.twimg.com/media/Dci_O6dUwAAUi3a.jpg")</f>
        <v/>
      </c>
      <c r="G566" t="s"/>
      <c r="H566" t="s"/>
      <c r="I566" t="s"/>
      <c r="J566" t="n">
        <v>0</v>
      </c>
      <c r="K566" t="n">
        <v>0</v>
      </c>
      <c r="L566" t="n">
        <v>1</v>
      </c>
      <c r="M566" t="n">
        <v>0</v>
      </c>
    </row>
    <row r="567" spans="1:13">
      <c r="A567" s="1">
        <f>HYPERLINK("http://www.twitter.com/NathanBLawrence/status/993277342792462336", "993277342792462336")</f>
        <v/>
      </c>
      <c r="B567" s="2" t="n">
        <v>43226.99475694444</v>
      </c>
      <c r="C567" t="n">
        <v>0</v>
      </c>
      <c r="D567" t="n">
        <v>20</v>
      </c>
      <c r="E567" t="s">
        <v>576</v>
      </c>
      <c r="F567" t="s"/>
      <c r="G567" t="s"/>
      <c r="H567" t="s"/>
      <c r="I567" t="s"/>
      <c r="J567" t="n">
        <v>-0.3127</v>
      </c>
      <c r="K567" t="n">
        <v>0.198</v>
      </c>
      <c r="L567" t="n">
        <v>0.6899999999999999</v>
      </c>
      <c r="M567" t="n">
        <v>0.111</v>
      </c>
    </row>
    <row r="568" spans="1:13">
      <c r="A568" s="1">
        <f>HYPERLINK("http://www.twitter.com/NathanBLawrence/status/993277318897524736", "993277318897524736")</f>
        <v/>
      </c>
      <c r="B568" s="2" t="n">
        <v>43226.9946875</v>
      </c>
      <c r="C568" t="n">
        <v>0</v>
      </c>
      <c r="D568" t="n">
        <v>21</v>
      </c>
      <c r="E568" t="s">
        <v>577</v>
      </c>
      <c r="F568">
        <f>HYPERLINK("http://pbs.twimg.com/media/Dci2Y-3WAAEIP2w.jpg", "http://pbs.twimg.com/media/Dci2Y-3WAAEIP2w.jpg")</f>
        <v/>
      </c>
      <c r="G568" t="s"/>
      <c r="H568" t="s"/>
      <c r="I568" t="s"/>
      <c r="J568" t="n">
        <v>0.3182</v>
      </c>
      <c r="K568" t="n">
        <v>0.079</v>
      </c>
      <c r="L568" t="n">
        <v>0.758</v>
      </c>
      <c r="M568" t="n">
        <v>0.162</v>
      </c>
    </row>
    <row r="569" spans="1:13">
      <c r="A569" s="1">
        <f>HYPERLINK("http://www.twitter.com/NathanBLawrence/status/993175696175493132", "993175696175493132")</f>
        <v/>
      </c>
      <c r="B569" s="2" t="n">
        <v>43226.71425925926</v>
      </c>
      <c r="C569" t="n">
        <v>0</v>
      </c>
      <c r="D569" t="n">
        <v>151</v>
      </c>
      <c r="E569" t="s">
        <v>578</v>
      </c>
      <c r="F569" t="s"/>
      <c r="G569" t="s"/>
      <c r="H569" t="s"/>
      <c r="I569" t="s"/>
      <c r="J569" t="n">
        <v>0.1779</v>
      </c>
      <c r="K569" t="n">
        <v>0.195</v>
      </c>
      <c r="L569" t="n">
        <v>0.545</v>
      </c>
      <c r="M569" t="n">
        <v>0.261</v>
      </c>
    </row>
    <row r="570" spans="1:13">
      <c r="A570" s="1">
        <f>HYPERLINK("http://www.twitter.com/NathanBLawrence/status/993175654777720832", "993175654777720832")</f>
        <v/>
      </c>
      <c r="B570" s="2" t="n">
        <v>43226.7141550926</v>
      </c>
      <c r="C570" t="n">
        <v>0</v>
      </c>
      <c r="D570" t="n">
        <v>6</v>
      </c>
      <c r="E570" t="s">
        <v>579</v>
      </c>
      <c r="F570" t="s"/>
      <c r="G570" t="s"/>
      <c r="H570" t="s"/>
      <c r="I570" t="s"/>
      <c r="J570" t="n">
        <v>-0.4019</v>
      </c>
      <c r="K570" t="n">
        <v>0.291</v>
      </c>
      <c r="L570" t="n">
        <v>0.53</v>
      </c>
      <c r="M570" t="n">
        <v>0.179</v>
      </c>
    </row>
    <row r="571" spans="1:13">
      <c r="A571" s="1">
        <f>HYPERLINK("http://www.twitter.com/NathanBLawrence/status/993175603141541888", "993175603141541888")</f>
        <v/>
      </c>
      <c r="B571" s="2" t="n">
        <v>43226.71400462963</v>
      </c>
      <c r="C571" t="n">
        <v>0</v>
      </c>
      <c r="D571" t="n">
        <v>13</v>
      </c>
      <c r="E571" t="s">
        <v>580</v>
      </c>
      <c r="F571" t="s"/>
      <c r="G571" t="s"/>
      <c r="H571" t="s"/>
      <c r="I571" t="s"/>
      <c r="J571" t="n">
        <v>0</v>
      </c>
      <c r="K571" t="n">
        <v>0</v>
      </c>
      <c r="L571" t="n">
        <v>1</v>
      </c>
      <c r="M571" t="n">
        <v>0</v>
      </c>
    </row>
    <row r="572" spans="1:13">
      <c r="A572" s="1">
        <f>HYPERLINK("http://www.twitter.com/NathanBLawrence/status/993175569482289152", "993175569482289152")</f>
        <v/>
      </c>
      <c r="B572" s="2" t="n">
        <v>43226.71391203703</v>
      </c>
      <c r="C572" t="n">
        <v>0</v>
      </c>
      <c r="D572" t="n">
        <v>1</v>
      </c>
      <c r="E572" t="s">
        <v>581</v>
      </c>
      <c r="F572" t="s"/>
      <c r="G572" t="s"/>
      <c r="H572" t="s"/>
      <c r="I572" t="s"/>
      <c r="J572" t="n">
        <v>0.481</v>
      </c>
      <c r="K572" t="n">
        <v>0</v>
      </c>
      <c r="L572" t="n">
        <v>0.842</v>
      </c>
      <c r="M572" t="n">
        <v>0.158</v>
      </c>
    </row>
    <row r="573" spans="1:13">
      <c r="A573" s="1">
        <f>HYPERLINK("http://www.twitter.com/NathanBLawrence/status/993175469909532674", "993175469909532674")</f>
        <v/>
      </c>
      <c r="B573" s="2" t="n">
        <v>43226.71363425926</v>
      </c>
      <c r="C573" t="n">
        <v>0</v>
      </c>
      <c r="D573" t="n">
        <v>4</v>
      </c>
      <c r="E573" t="s">
        <v>582</v>
      </c>
      <c r="F573" t="s"/>
      <c r="G573" t="s"/>
      <c r="H573" t="s"/>
      <c r="I573" t="s"/>
      <c r="J573" t="n">
        <v>0</v>
      </c>
      <c r="K573" t="n">
        <v>0</v>
      </c>
      <c r="L573" t="n">
        <v>1</v>
      </c>
      <c r="M573" t="n">
        <v>0</v>
      </c>
    </row>
    <row r="574" spans="1:13">
      <c r="A574" s="1">
        <f>HYPERLINK("http://www.twitter.com/NathanBLawrence/status/993175409859624960", "993175409859624960")</f>
        <v/>
      </c>
      <c r="B574" s="2" t="n">
        <v>43226.71347222223</v>
      </c>
      <c r="C574" t="n">
        <v>0</v>
      </c>
      <c r="D574" t="n">
        <v>11</v>
      </c>
      <c r="E574" t="s">
        <v>583</v>
      </c>
      <c r="F574" t="s"/>
      <c r="G574" t="s"/>
      <c r="H574" t="s"/>
      <c r="I574" t="s"/>
      <c r="J574" t="n">
        <v>0</v>
      </c>
      <c r="K574" t="n">
        <v>0</v>
      </c>
      <c r="L574" t="n">
        <v>1</v>
      </c>
      <c r="M574" t="n">
        <v>0</v>
      </c>
    </row>
    <row r="575" spans="1:13">
      <c r="A575" s="1">
        <f>HYPERLINK("http://www.twitter.com/NathanBLawrence/status/993174269935980544", "993174269935980544")</f>
        <v/>
      </c>
      <c r="B575" s="2" t="n">
        <v>43226.71032407408</v>
      </c>
      <c r="C575" t="n">
        <v>3</v>
      </c>
      <c r="D575" t="n">
        <v>1</v>
      </c>
      <c r="E575" t="s">
        <v>584</v>
      </c>
      <c r="F575" t="s"/>
      <c r="G575" t="s"/>
      <c r="H575" t="s"/>
      <c r="I575" t="s"/>
      <c r="J575" t="n">
        <v>0.5345</v>
      </c>
      <c r="K575" t="n">
        <v>0.054</v>
      </c>
      <c r="L575" t="n">
        <v>0.8070000000000001</v>
      </c>
      <c r="M575" t="n">
        <v>0.139</v>
      </c>
    </row>
    <row r="576" spans="1:13">
      <c r="A576" s="1">
        <f>HYPERLINK("http://www.twitter.com/NathanBLawrence/status/993173582091112448", "993173582091112448")</f>
        <v/>
      </c>
      <c r="B576" s="2" t="n">
        <v>43226.70842592593</v>
      </c>
      <c r="C576" t="n">
        <v>0</v>
      </c>
      <c r="D576" t="n">
        <v>4</v>
      </c>
      <c r="E576" t="s">
        <v>585</v>
      </c>
      <c r="F576" t="s"/>
      <c r="G576" t="s"/>
      <c r="H576" t="s"/>
      <c r="I576" t="s"/>
      <c r="J576" t="n">
        <v>0.5719</v>
      </c>
      <c r="K576" t="n">
        <v>0</v>
      </c>
      <c r="L576" t="n">
        <v>0.791</v>
      </c>
      <c r="M576" t="n">
        <v>0.209</v>
      </c>
    </row>
    <row r="577" spans="1:13">
      <c r="A577" s="1">
        <f>HYPERLINK("http://www.twitter.com/NathanBLawrence/status/993173398288297984", "993173398288297984")</f>
        <v/>
      </c>
      <c r="B577" s="2" t="n">
        <v>43226.70792824074</v>
      </c>
      <c r="C577" t="n">
        <v>0</v>
      </c>
      <c r="D577" t="n">
        <v>5</v>
      </c>
      <c r="E577" t="s">
        <v>586</v>
      </c>
      <c r="F577" t="s"/>
      <c r="G577" t="s"/>
      <c r="H577" t="s"/>
      <c r="I577" t="s"/>
      <c r="J577" t="n">
        <v>-0.5266999999999999</v>
      </c>
      <c r="K577" t="n">
        <v>0.188</v>
      </c>
      <c r="L577" t="n">
        <v>0.8120000000000001</v>
      </c>
      <c r="M577" t="n">
        <v>0</v>
      </c>
    </row>
    <row r="578" spans="1:13">
      <c r="A578" s="1">
        <f>HYPERLINK("http://www.twitter.com/NathanBLawrence/status/993173349726654464", "993173349726654464")</f>
        <v/>
      </c>
      <c r="B578" s="2" t="n">
        <v>43226.70778935185</v>
      </c>
      <c r="C578" t="n">
        <v>0</v>
      </c>
      <c r="D578" t="n">
        <v>14</v>
      </c>
      <c r="E578" t="s">
        <v>587</v>
      </c>
      <c r="F578">
        <f>HYPERLINK("https://video.twimg.com/ext_tw_video/992633729486016514/pu/vid/320x180/qygvyzKzs6dcXsVA.mp4?tag=3", "https://video.twimg.com/ext_tw_video/992633729486016514/pu/vid/320x180/qygvyzKzs6dcXsVA.mp4?tag=3")</f>
        <v/>
      </c>
      <c r="G578" t="s"/>
      <c r="H578" t="s"/>
      <c r="I578" t="s"/>
      <c r="J578" t="n">
        <v>-0.3612</v>
      </c>
      <c r="K578" t="n">
        <v>0.102</v>
      </c>
      <c r="L578" t="n">
        <v>0.898</v>
      </c>
      <c r="M578" t="n">
        <v>0</v>
      </c>
    </row>
    <row r="579" spans="1:13">
      <c r="A579" s="1">
        <f>HYPERLINK("http://www.twitter.com/NathanBLawrence/status/993173324355293184", "993173324355293184")</f>
        <v/>
      </c>
      <c r="B579" s="2" t="n">
        <v>43226.7077199074</v>
      </c>
      <c r="C579" t="n">
        <v>0</v>
      </c>
      <c r="D579" t="n">
        <v>6</v>
      </c>
      <c r="E579" t="s">
        <v>588</v>
      </c>
      <c r="F579" t="s"/>
      <c r="G579" t="s"/>
      <c r="H579" t="s"/>
      <c r="I579" t="s"/>
      <c r="J579" t="n">
        <v>-0.296</v>
      </c>
      <c r="K579" t="n">
        <v>0.099</v>
      </c>
      <c r="L579" t="n">
        <v>0.901</v>
      </c>
      <c r="M579" t="n">
        <v>0</v>
      </c>
    </row>
    <row r="580" spans="1:13">
      <c r="A580" s="1">
        <f>HYPERLINK("http://www.twitter.com/NathanBLawrence/status/993173260383784960", "993173260383784960")</f>
        <v/>
      </c>
      <c r="B580" s="2" t="n">
        <v>43226.7075462963</v>
      </c>
      <c r="C580" t="n">
        <v>0</v>
      </c>
      <c r="D580" t="n">
        <v>10</v>
      </c>
      <c r="E580" t="s">
        <v>589</v>
      </c>
      <c r="F580" t="s"/>
      <c r="G580" t="s"/>
      <c r="H580" t="s"/>
      <c r="I580" t="s"/>
      <c r="J580" t="n">
        <v>-0.8955</v>
      </c>
      <c r="K580" t="n">
        <v>0.351</v>
      </c>
      <c r="L580" t="n">
        <v>0.649</v>
      </c>
      <c r="M580" t="n">
        <v>0</v>
      </c>
    </row>
    <row r="581" spans="1:13">
      <c r="A581" s="1">
        <f>HYPERLINK("http://www.twitter.com/NathanBLawrence/status/993173190414389248", "993173190414389248")</f>
        <v/>
      </c>
      <c r="B581" s="2" t="n">
        <v>43226.70734953704</v>
      </c>
      <c r="C581" t="n">
        <v>0</v>
      </c>
      <c r="D581" t="n">
        <v>5</v>
      </c>
      <c r="E581" t="s">
        <v>590</v>
      </c>
      <c r="F581" t="s"/>
      <c r="G581" t="s"/>
      <c r="H581" t="s"/>
      <c r="I581" t="s"/>
      <c r="J581" t="n">
        <v>-0.7906</v>
      </c>
      <c r="K581" t="n">
        <v>0.269</v>
      </c>
      <c r="L581" t="n">
        <v>0.731</v>
      </c>
      <c r="M581" t="n">
        <v>0</v>
      </c>
    </row>
    <row r="582" spans="1:13">
      <c r="A582" s="1">
        <f>HYPERLINK("http://www.twitter.com/NathanBLawrence/status/993173153714266112", "993173153714266112")</f>
        <v/>
      </c>
      <c r="B582" s="2" t="n">
        <v>43226.70724537037</v>
      </c>
      <c r="C582" t="n">
        <v>0</v>
      </c>
      <c r="D582" t="n">
        <v>5</v>
      </c>
      <c r="E582" t="s">
        <v>591</v>
      </c>
      <c r="F582" t="s"/>
      <c r="G582" t="s"/>
      <c r="H582" t="s"/>
      <c r="I582" t="s"/>
      <c r="J582" t="n">
        <v>0</v>
      </c>
      <c r="K582" t="n">
        <v>0</v>
      </c>
      <c r="L582" t="n">
        <v>1</v>
      </c>
      <c r="M582" t="n">
        <v>0</v>
      </c>
    </row>
    <row r="583" spans="1:13">
      <c r="A583" s="1">
        <f>HYPERLINK("http://www.twitter.com/NathanBLawrence/status/993173134252675073", "993173134252675073")</f>
        <v/>
      </c>
      <c r="B583" s="2" t="n">
        <v>43226.70719907407</v>
      </c>
      <c r="C583" t="n">
        <v>0</v>
      </c>
      <c r="D583" t="n">
        <v>2</v>
      </c>
      <c r="E583" t="s">
        <v>592</v>
      </c>
      <c r="F583" t="s"/>
      <c r="G583" t="s"/>
      <c r="H583" t="s"/>
      <c r="I583" t="s"/>
      <c r="J583" t="n">
        <v>-0.4767</v>
      </c>
      <c r="K583" t="n">
        <v>0.129</v>
      </c>
      <c r="L583" t="n">
        <v>0.871</v>
      </c>
      <c r="M583" t="n">
        <v>0</v>
      </c>
    </row>
    <row r="584" spans="1:13">
      <c r="A584" s="1">
        <f>HYPERLINK("http://www.twitter.com/NathanBLawrence/status/993173122793852929", "993173122793852929")</f>
        <v/>
      </c>
      <c r="B584" s="2" t="n">
        <v>43226.70716435185</v>
      </c>
      <c r="C584" t="n">
        <v>0</v>
      </c>
      <c r="D584" t="n">
        <v>2</v>
      </c>
      <c r="E584" t="s">
        <v>593</v>
      </c>
      <c r="F584" t="s"/>
      <c r="G584" t="s"/>
      <c r="H584" t="s"/>
      <c r="I584" t="s"/>
      <c r="J584" t="n">
        <v>0</v>
      </c>
      <c r="K584" t="n">
        <v>0</v>
      </c>
      <c r="L584" t="n">
        <v>1</v>
      </c>
      <c r="M584" t="n">
        <v>0</v>
      </c>
    </row>
    <row r="585" spans="1:13">
      <c r="A585" s="1">
        <f>HYPERLINK("http://www.twitter.com/NathanBLawrence/status/993173065948450822", "993173065948450822")</f>
        <v/>
      </c>
      <c r="B585" s="2" t="n">
        <v>43226.70700231481</v>
      </c>
      <c r="C585" t="n">
        <v>0</v>
      </c>
      <c r="D585" t="n">
        <v>7</v>
      </c>
      <c r="E585" t="s">
        <v>594</v>
      </c>
      <c r="F585" t="s"/>
      <c r="G585" t="s"/>
      <c r="H585" t="s"/>
      <c r="I585" t="s"/>
      <c r="J585" t="n">
        <v>0.4404</v>
      </c>
      <c r="K585" t="n">
        <v>0</v>
      </c>
      <c r="L585" t="n">
        <v>0.837</v>
      </c>
      <c r="M585" t="n">
        <v>0.163</v>
      </c>
    </row>
    <row r="586" spans="1:13">
      <c r="A586" s="1">
        <f>HYPERLINK("http://www.twitter.com/NathanBLawrence/status/993173045463408640", "993173045463408640")</f>
        <v/>
      </c>
      <c r="B586" s="2" t="n">
        <v>43226.70694444444</v>
      </c>
      <c r="C586" t="n">
        <v>0</v>
      </c>
      <c r="D586" t="n">
        <v>3</v>
      </c>
      <c r="E586" t="s">
        <v>595</v>
      </c>
      <c r="F586" t="s"/>
      <c r="G586" t="s"/>
      <c r="H586" t="s"/>
      <c r="I586" t="s"/>
      <c r="J586" t="n">
        <v>0</v>
      </c>
      <c r="K586" t="n">
        <v>0</v>
      </c>
      <c r="L586" t="n">
        <v>1</v>
      </c>
      <c r="M586" t="n">
        <v>0</v>
      </c>
    </row>
    <row r="587" spans="1:13">
      <c r="A587" s="1">
        <f>HYPERLINK("http://www.twitter.com/NathanBLawrence/status/993173036584132609", "993173036584132609")</f>
        <v/>
      </c>
      <c r="B587" s="2" t="n">
        <v>43226.7069212963</v>
      </c>
      <c r="C587" t="n">
        <v>0</v>
      </c>
      <c r="D587" t="n">
        <v>5</v>
      </c>
      <c r="E587" t="s">
        <v>596</v>
      </c>
      <c r="F587" t="s"/>
      <c r="G587" t="s"/>
      <c r="H587" t="s"/>
      <c r="I587" t="s"/>
      <c r="J587" t="n">
        <v>-0.25</v>
      </c>
      <c r="K587" t="n">
        <v>0.21</v>
      </c>
      <c r="L587" t="n">
        <v>0.67</v>
      </c>
      <c r="M587" t="n">
        <v>0.121</v>
      </c>
    </row>
    <row r="588" spans="1:13">
      <c r="A588" s="1">
        <f>HYPERLINK("http://www.twitter.com/NathanBLawrence/status/993173022986076160", "993173022986076160")</f>
        <v/>
      </c>
      <c r="B588" s="2" t="n">
        <v>43226.70688657407</v>
      </c>
      <c r="C588" t="n">
        <v>0</v>
      </c>
      <c r="D588" t="n">
        <v>11</v>
      </c>
      <c r="E588" t="s">
        <v>597</v>
      </c>
      <c r="F588" t="s"/>
      <c r="G588" t="s"/>
      <c r="H588" t="s"/>
      <c r="I588" t="s"/>
      <c r="J588" t="n">
        <v>0.3256</v>
      </c>
      <c r="K588" t="n">
        <v>0.145</v>
      </c>
      <c r="L588" t="n">
        <v>0.628</v>
      </c>
      <c r="M588" t="n">
        <v>0.227</v>
      </c>
    </row>
    <row r="589" spans="1:13">
      <c r="A589" s="1">
        <f>HYPERLINK("http://www.twitter.com/NathanBLawrence/status/993172929377599490", "993172929377599490")</f>
        <v/>
      </c>
      <c r="B589" s="2" t="n">
        <v>43226.70663194444</v>
      </c>
      <c r="C589" t="n">
        <v>0</v>
      </c>
      <c r="D589" t="n">
        <v>6</v>
      </c>
      <c r="E589" t="s">
        <v>598</v>
      </c>
      <c r="F589">
        <f>HYPERLINK("http://pbs.twimg.com/media/DcebyfAV0AEp4bm.jpg", "http://pbs.twimg.com/media/DcebyfAV0AEp4bm.jpg")</f>
        <v/>
      </c>
      <c r="G589" t="s"/>
      <c r="H589" t="s"/>
      <c r="I589" t="s"/>
      <c r="J589" t="n">
        <v>-0.4466</v>
      </c>
      <c r="K589" t="n">
        <v>0.14</v>
      </c>
      <c r="L589" t="n">
        <v>0.86</v>
      </c>
      <c r="M589" t="n">
        <v>0</v>
      </c>
    </row>
    <row r="590" spans="1:13">
      <c r="A590" s="1">
        <f>HYPERLINK("http://www.twitter.com/NathanBLawrence/status/993172903045705728", "993172903045705728")</f>
        <v/>
      </c>
      <c r="B590" s="2" t="n">
        <v>43226.7065625</v>
      </c>
      <c r="C590" t="n">
        <v>0</v>
      </c>
      <c r="D590" t="n">
        <v>4</v>
      </c>
      <c r="E590" t="s">
        <v>599</v>
      </c>
      <c r="F590" t="s"/>
      <c r="G590" t="s"/>
      <c r="H590" t="s"/>
      <c r="I590" t="s"/>
      <c r="J590" t="n">
        <v>-0.4019</v>
      </c>
      <c r="K590" t="n">
        <v>0.231</v>
      </c>
      <c r="L590" t="n">
        <v>0.769</v>
      </c>
      <c r="M590" t="n">
        <v>0</v>
      </c>
    </row>
    <row r="591" spans="1:13">
      <c r="A591" s="1">
        <f>HYPERLINK("http://www.twitter.com/NathanBLawrence/status/993172881415733248", "993172881415733248")</f>
        <v/>
      </c>
      <c r="B591" s="2" t="n">
        <v>43226.70649305556</v>
      </c>
      <c r="C591" t="n">
        <v>0</v>
      </c>
      <c r="D591" t="n">
        <v>14</v>
      </c>
      <c r="E591" t="s">
        <v>600</v>
      </c>
      <c r="F591" t="s"/>
      <c r="G591" t="s"/>
      <c r="H591" t="s"/>
      <c r="I591" t="s"/>
      <c r="J591" t="n">
        <v>0</v>
      </c>
      <c r="K591" t="n">
        <v>0</v>
      </c>
      <c r="L591" t="n">
        <v>1</v>
      </c>
      <c r="M591" t="n">
        <v>0</v>
      </c>
    </row>
    <row r="592" spans="1:13">
      <c r="A592" s="1">
        <f>HYPERLINK("http://www.twitter.com/NathanBLawrence/status/993158678533550080", "993158678533550080")</f>
        <v/>
      </c>
      <c r="B592" s="2" t="n">
        <v>43226.66730324074</v>
      </c>
      <c r="C592" t="n">
        <v>0</v>
      </c>
      <c r="D592" t="n">
        <v>975</v>
      </c>
      <c r="E592" t="s">
        <v>601</v>
      </c>
      <c r="F592" t="s"/>
      <c r="G592" t="s"/>
      <c r="H592" t="s"/>
      <c r="I592" t="s"/>
      <c r="J592" t="n">
        <v>0.3182</v>
      </c>
      <c r="K592" t="n">
        <v>0</v>
      </c>
      <c r="L592" t="n">
        <v>0.897</v>
      </c>
      <c r="M592" t="n">
        <v>0.103</v>
      </c>
    </row>
    <row r="593" spans="1:13">
      <c r="A593" s="1">
        <f>HYPERLINK("http://www.twitter.com/NathanBLawrence/status/993158645679616003", "993158645679616003")</f>
        <v/>
      </c>
      <c r="B593" s="2" t="n">
        <v>43226.66721064815</v>
      </c>
      <c r="C593" t="n">
        <v>0</v>
      </c>
      <c r="D593" t="n">
        <v>5561</v>
      </c>
      <c r="E593" t="s">
        <v>602</v>
      </c>
      <c r="F593" t="s"/>
      <c r="G593" t="s"/>
      <c r="H593" t="s"/>
      <c r="I593" t="s"/>
      <c r="J593" t="n">
        <v>-0.7096</v>
      </c>
      <c r="K593" t="n">
        <v>0.247</v>
      </c>
      <c r="L593" t="n">
        <v>0.753</v>
      </c>
      <c r="M593" t="n">
        <v>0</v>
      </c>
    </row>
    <row r="594" spans="1:13">
      <c r="A594" s="1">
        <f>HYPERLINK("http://www.twitter.com/NathanBLawrence/status/993158611110125573", "993158611110125573")</f>
        <v/>
      </c>
      <c r="B594" s="2" t="n">
        <v>43226.66711805556</v>
      </c>
      <c r="C594" t="n">
        <v>0</v>
      </c>
      <c r="D594" t="n">
        <v>891</v>
      </c>
      <c r="E594" t="s">
        <v>603</v>
      </c>
      <c r="F594" t="s"/>
      <c r="G594" t="s"/>
      <c r="H594" t="s"/>
      <c r="I594" t="s"/>
      <c r="J594" t="n">
        <v>0.4767</v>
      </c>
      <c r="K594" t="n">
        <v>0</v>
      </c>
      <c r="L594" t="n">
        <v>0.871</v>
      </c>
      <c r="M594" t="n">
        <v>0.129</v>
      </c>
    </row>
    <row r="595" spans="1:13">
      <c r="A595" s="1">
        <f>HYPERLINK("http://www.twitter.com/NathanBLawrence/status/993158583620718592", "993158583620718592")</f>
        <v/>
      </c>
      <c r="B595" s="2" t="n">
        <v>43226.66703703703</v>
      </c>
      <c r="C595" t="n">
        <v>0</v>
      </c>
      <c r="D595" t="n">
        <v>7</v>
      </c>
      <c r="E595" t="s">
        <v>604</v>
      </c>
      <c r="F595" t="s"/>
      <c r="G595" t="s"/>
      <c r="H595" t="s"/>
      <c r="I595" t="s"/>
      <c r="J595" t="n">
        <v>-0.4184</v>
      </c>
      <c r="K595" t="n">
        <v>0.134</v>
      </c>
      <c r="L595" t="n">
        <v>0.866</v>
      </c>
      <c r="M595" t="n">
        <v>0</v>
      </c>
    </row>
    <row r="596" spans="1:13">
      <c r="A596" s="1">
        <f>HYPERLINK("http://www.twitter.com/NathanBLawrence/status/993155012212809728", "993155012212809728")</f>
        <v/>
      </c>
      <c r="B596" s="2" t="n">
        <v>43226.6571875</v>
      </c>
      <c r="C596" t="n">
        <v>2</v>
      </c>
      <c r="D596" t="n">
        <v>0</v>
      </c>
      <c r="E596" t="s">
        <v>605</v>
      </c>
      <c r="F596">
        <f>HYPERLINK("http://pbs.twimg.com/media/DchlOCBW4AA-kB7.jpg", "http://pbs.twimg.com/media/DchlOCBW4AA-kB7.jpg")</f>
        <v/>
      </c>
      <c r="G596" t="s"/>
      <c r="H596" t="s"/>
      <c r="I596" t="s"/>
      <c r="J596" t="n">
        <v>0.6369</v>
      </c>
      <c r="K596" t="n">
        <v>0</v>
      </c>
      <c r="L596" t="n">
        <v>0.704</v>
      </c>
      <c r="M596" t="n">
        <v>0.296</v>
      </c>
    </row>
    <row r="597" spans="1:13">
      <c r="A597" s="1">
        <f>HYPERLINK("http://www.twitter.com/NathanBLawrence/status/993154574180593664", "993154574180593664")</f>
        <v/>
      </c>
      <c r="B597" s="2" t="n">
        <v>43226.6559837963</v>
      </c>
      <c r="C597" t="n">
        <v>0</v>
      </c>
      <c r="D597" t="n">
        <v>1</v>
      </c>
      <c r="E597" t="s">
        <v>606</v>
      </c>
      <c r="F597" t="s"/>
      <c r="G597" t="s"/>
      <c r="H597" t="s"/>
      <c r="I597" t="s"/>
      <c r="J597" t="n">
        <v>0.2263</v>
      </c>
      <c r="K597" t="n">
        <v>0</v>
      </c>
      <c r="L597" t="n">
        <v>0.899</v>
      </c>
      <c r="M597" t="n">
        <v>0.101</v>
      </c>
    </row>
    <row r="598" spans="1:13">
      <c r="A598" s="1">
        <f>HYPERLINK("http://www.twitter.com/NathanBLawrence/status/992956668928552960", "992956668928552960")</f>
        <v/>
      </c>
      <c r="B598" s="2" t="n">
        <v>43226.10986111111</v>
      </c>
      <c r="C598" t="n">
        <v>0</v>
      </c>
      <c r="D598" t="n">
        <v>682</v>
      </c>
      <c r="E598" t="s">
        <v>607</v>
      </c>
      <c r="F598" t="s"/>
      <c r="G598" t="s"/>
      <c r="H598" t="s"/>
      <c r="I598" t="s"/>
      <c r="J598" t="n">
        <v>0</v>
      </c>
      <c r="K598" t="n">
        <v>0</v>
      </c>
      <c r="L598" t="n">
        <v>1</v>
      </c>
      <c r="M598" t="n">
        <v>0</v>
      </c>
    </row>
    <row r="599" spans="1:13">
      <c r="A599" s="1">
        <f>HYPERLINK("http://www.twitter.com/NathanBLawrence/status/992954813238382602", "992954813238382602")</f>
        <v/>
      </c>
      <c r="B599" s="2" t="n">
        <v>43226.10474537037</v>
      </c>
      <c r="C599" t="n">
        <v>0</v>
      </c>
      <c r="D599" t="n">
        <v>28414</v>
      </c>
      <c r="E599" t="s">
        <v>608</v>
      </c>
      <c r="F599" t="s"/>
      <c r="G599" t="s"/>
      <c r="H599" t="s"/>
      <c r="I599" t="s"/>
      <c r="J599" t="n">
        <v>0.34</v>
      </c>
      <c r="K599" t="n">
        <v>0.075</v>
      </c>
      <c r="L599" t="n">
        <v>0.754</v>
      </c>
      <c r="M599" t="n">
        <v>0.171</v>
      </c>
    </row>
    <row r="600" spans="1:13">
      <c r="A600" s="1">
        <f>HYPERLINK("http://www.twitter.com/NathanBLawrence/status/992954778043977728", "992954778043977728")</f>
        <v/>
      </c>
      <c r="B600" s="2" t="n">
        <v>43226.1046412037</v>
      </c>
      <c r="C600" t="n">
        <v>0</v>
      </c>
      <c r="D600" t="n">
        <v>518</v>
      </c>
      <c r="E600" t="s">
        <v>609</v>
      </c>
      <c r="F600">
        <f>HYPERLINK("http://pbs.twimg.com/media/DccXBdCX4AEdc54.jpg", "http://pbs.twimg.com/media/DccXBdCX4AEdc54.jpg")</f>
        <v/>
      </c>
      <c r="G600">
        <f>HYPERLINK("http://pbs.twimg.com/media/DccXBdBW4AEwEMI.jpg", "http://pbs.twimg.com/media/DccXBdBW4AEwEMI.jpg")</f>
        <v/>
      </c>
      <c r="H600" t="s"/>
      <c r="I600" t="s"/>
      <c r="J600" t="n">
        <v>0</v>
      </c>
      <c r="K600" t="n">
        <v>0</v>
      </c>
      <c r="L600" t="n">
        <v>1</v>
      </c>
      <c r="M600" t="n">
        <v>0</v>
      </c>
    </row>
    <row r="601" spans="1:13">
      <c r="A601" s="1">
        <f>HYPERLINK("http://www.twitter.com/NathanBLawrence/status/992954746658082816", "992954746658082816")</f>
        <v/>
      </c>
      <c r="B601" s="2" t="n">
        <v>43226.10456018519</v>
      </c>
      <c r="C601" t="n">
        <v>0</v>
      </c>
      <c r="D601" t="n">
        <v>31</v>
      </c>
      <c r="E601" t="s">
        <v>610</v>
      </c>
      <c r="F601" t="s"/>
      <c r="G601" t="s"/>
      <c r="H601" t="s"/>
      <c r="I601" t="s"/>
      <c r="J601" t="n">
        <v>-0.7003</v>
      </c>
      <c r="K601" t="n">
        <v>0.277</v>
      </c>
      <c r="L601" t="n">
        <v>0.597</v>
      </c>
      <c r="M601" t="n">
        <v>0.126</v>
      </c>
    </row>
    <row r="602" spans="1:13">
      <c r="A602" s="1">
        <f>HYPERLINK("http://www.twitter.com/NathanBLawrence/status/992954523437207552", "992954523437207552")</f>
        <v/>
      </c>
      <c r="B602" s="2" t="n">
        <v>43226.10394675926</v>
      </c>
      <c r="C602" t="n">
        <v>0</v>
      </c>
      <c r="D602" t="n">
        <v>5</v>
      </c>
      <c r="E602" t="s">
        <v>611</v>
      </c>
      <c r="F602" t="s"/>
      <c r="G602" t="s"/>
      <c r="H602" t="s"/>
      <c r="I602" t="s"/>
      <c r="J602" t="n">
        <v>-0.4023</v>
      </c>
      <c r="K602" t="n">
        <v>0.114</v>
      </c>
      <c r="L602" t="n">
        <v>0.886</v>
      </c>
      <c r="M602" t="n">
        <v>0</v>
      </c>
    </row>
    <row r="603" spans="1:13">
      <c r="A603" s="1">
        <f>HYPERLINK("http://www.twitter.com/NathanBLawrence/status/992954467459923968", "992954467459923968")</f>
        <v/>
      </c>
      <c r="B603" s="2" t="n">
        <v>43226.10378472223</v>
      </c>
      <c r="C603" t="n">
        <v>0</v>
      </c>
      <c r="D603" t="n">
        <v>11</v>
      </c>
      <c r="E603" t="s">
        <v>612</v>
      </c>
      <c r="F603" t="s"/>
      <c r="G603" t="s"/>
      <c r="H603" t="s"/>
      <c r="I603" t="s"/>
      <c r="J603" t="n">
        <v>-0.2953</v>
      </c>
      <c r="K603" t="n">
        <v>0.141</v>
      </c>
      <c r="L603" t="n">
        <v>0.76</v>
      </c>
      <c r="M603" t="n">
        <v>0.099</v>
      </c>
    </row>
    <row r="604" spans="1:13">
      <c r="A604" s="1">
        <f>HYPERLINK("http://www.twitter.com/NathanBLawrence/status/992954248223772672", "992954248223772672")</f>
        <v/>
      </c>
      <c r="B604" s="2" t="n">
        <v>43226.10318287037</v>
      </c>
      <c r="C604" t="n">
        <v>5</v>
      </c>
      <c r="D604" t="n">
        <v>6</v>
      </c>
      <c r="E604" t="s">
        <v>613</v>
      </c>
      <c r="F604" t="s"/>
      <c r="G604" t="s"/>
      <c r="H604" t="s"/>
      <c r="I604" t="s"/>
      <c r="J604" t="n">
        <v>-0.4019</v>
      </c>
      <c r="K604" t="n">
        <v>0.336</v>
      </c>
      <c r="L604" t="n">
        <v>0.458</v>
      </c>
      <c r="M604" t="n">
        <v>0.206</v>
      </c>
    </row>
    <row r="605" spans="1:13">
      <c r="A605" s="1">
        <f>HYPERLINK("http://www.twitter.com/NathanBLawrence/status/992953868572078080", "992953868572078080")</f>
        <v/>
      </c>
      <c r="B605" s="2" t="n">
        <v>43226.1021412037</v>
      </c>
      <c r="C605" t="n">
        <v>0</v>
      </c>
      <c r="D605" t="n">
        <v>2</v>
      </c>
      <c r="E605" t="s">
        <v>614</v>
      </c>
      <c r="F605" t="s"/>
      <c r="G605" t="s"/>
      <c r="H605" t="s"/>
      <c r="I605" t="s"/>
      <c r="J605" t="n">
        <v>0</v>
      </c>
      <c r="K605" t="n">
        <v>0</v>
      </c>
      <c r="L605" t="n">
        <v>1</v>
      </c>
      <c r="M605" t="n">
        <v>0</v>
      </c>
    </row>
    <row r="606" spans="1:13">
      <c r="A606" s="1">
        <f>HYPERLINK("http://www.twitter.com/NathanBLawrence/status/992952686818586624", "992952686818586624")</f>
        <v/>
      </c>
      <c r="B606" s="2" t="n">
        <v>43226.09887731481</v>
      </c>
      <c r="C606" t="n">
        <v>0</v>
      </c>
      <c r="D606" t="n">
        <v>3</v>
      </c>
      <c r="E606" t="s">
        <v>615</v>
      </c>
      <c r="F606" t="s"/>
      <c r="G606" t="s"/>
      <c r="H606" t="s"/>
      <c r="I606" t="s"/>
      <c r="J606" t="n">
        <v>0.25</v>
      </c>
      <c r="K606" t="n">
        <v>0.168</v>
      </c>
      <c r="L606" t="n">
        <v>0.547</v>
      </c>
      <c r="M606" t="n">
        <v>0.285</v>
      </c>
    </row>
    <row r="607" spans="1:13">
      <c r="A607" s="1">
        <f>HYPERLINK("http://www.twitter.com/NathanBLawrence/status/992952598868234240", "992952598868234240")</f>
        <v/>
      </c>
      <c r="B607" s="2" t="n">
        <v>43226.09863425926</v>
      </c>
      <c r="C607" t="n">
        <v>0</v>
      </c>
      <c r="D607" t="n">
        <v>0</v>
      </c>
      <c r="E607" t="s">
        <v>616</v>
      </c>
      <c r="F607" t="s"/>
      <c r="G607" t="s"/>
      <c r="H607" t="s"/>
      <c r="I607" t="s"/>
      <c r="J607" t="n">
        <v>-0.2263</v>
      </c>
      <c r="K607" t="n">
        <v>0.275</v>
      </c>
      <c r="L607" t="n">
        <v>0.725</v>
      </c>
      <c r="M607" t="n">
        <v>0</v>
      </c>
    </row>
    <row r="608" spans="1:13">
      <c r="A608" s="1">
        <f>HYPERLINK("http://www.twitter.com/NathanBLawrence/status/992952455653679105", "992952455653679105")</f>
        <v/>
      </c>
      <c r="B608" s="2" t="n">
        <v>43226.09824074074</v>
      </c>
      <c r="C608" t="n">
        <v>0</v>
      </c>
      <c r="D608" t="n">
        <v>1</v>
      </c>
      <c r="E608" t="s">
        <v>617</v>
      </c>
      <c r="F608" t="s"/>
      <c r="G608" t="s"/>
      <c r="H608" t="s"/>
      <c r="I608" t="s"/>
      <c r="J608" t="n">
        <v>-0.3089</v>
      </c>
      <c r="K608" t="n">
        <v>0.201</v>
      </c>
      <c r="L608" t="n">
        <v>0.799</v>
      </c>
      <c r="M608" t="n">
        <v>0</v>
      </c>
    </row>
    <row r="609" spans="1:13">
      <c r="A609" s="1">
        <f>HYPERLINK("http://www.twitter.com/NathanBLawrence/status/992952318248316928", "992952318248316928")</f>
        <v/>
      </c>
      <c r="B609" s="2" t="n">
        <v>43226.0978587963</v>
      </c>
      <c r="C609" t="n">
        <v>0</v>
      </c>
      <c r="D609" t="n">
        <v>0</v>
      </c>
      <c r="E609" t="s">
        <v>618</v>
      </c>
      <c r="F609" t="s"/>
      <c r="G609" t="s"/>
      <c r="H609" t="s"/>
      <c r="I609" t="s"/>
      <c r="J609" t="n">
        <v>-0.6428</v>
      </c>
      <c r="K609" t="n">
        <v>0.26</v>
      </c>
      <c r="L609" t="n">
        <v>0.671</v>
      </c>
      <c r="M609" t="n">
        <v>0.06900000000000001</v>
      </c>
    </row>
    <row r="610" spans="1:13">
      <c r="A610" s="1">
        <f>HYPERLINK("http://www.twitter.com/NathanBLawrence/status/992952289261432832", "992952289261432832")</f>
        <v/>
      </c>
      <c r="B610" s="2" t="n">
        <v>43226.09777777778</v>
      </c>
      <c r="C610" t="n">
        <v>0</v>
      </c>
      <c r="D610" t="n">
        <v>18</v>
      </c>
      <c r="E610" t="s">
        <v>619</v>
      </c>
      <c r="F610" t="s"/>
      <c r="G610" t="s"/>
      <c r="H610" t="s"/>
      <c r="I610" t="s"/>
      <c r="J610" t="n">
        <v>0.4019</v>
      </c>
      <c r="K610" t="n">
        <v>0.103</v>
      </c>
      <c r="L610" t="n">
        <v>0.6899999999999999</v>
      </c>
      <c r="M610" t="n">
        <v>0.207</v>
      </c>
    </row>
    <row r="611" spans="1:13">
      <c r="A611" s="1">
        <f>HYPERLINK("http://www.twitter.com/NathanBLawrence/status/992951987149950977", "992951987149950977")</f>
        <v/>
      </c>
      <c r="B611" s="2" t="n">
        <v>43226.09694444444</v>
      </c>
      <c r="C611" t="n">
        <v>1</v>
      </c>
      <c r="D611" t="n">
        <v>0</v>
      </c>
      <c r="E611" t="s">
        <v>620</v>
      </c>
      <c r="F611" t="s"/>
      <c r="G611" t="s"/>
      <c r="H611" t="s"/>
      <c r="I611" t="s"/>
      <c r="J611" t="n">
        <v>-0.6428</v>
      </c>
      <c r="K611" t="n">
        <v>0.26</v>
      </c>
      <c r="L611" t="n">
        <v>0.671</v>
      </c>
      <c r="M611" t="n">
        <v>0.06900000000000001</v>
      </c>
    </row>
    <row r="612" spans="1:13">
      <c r="A612" s="1">
        <f>HYPERLINK("http://www.twitter.com/NathanBLawrence/status/992951865825513472", "992951865825513472")</f>
        <v/>
      </c>
      <c r="B612" s="2" t="n">
        <v>43226.0966087963</v>
      </c>
      <c r="C612" t="n">
        <v>0</v>
      </c>
      <c r="D612" t="n">
        <v>1</v>
      </c>
      <c r="E612" t="s">
        <v>621</v>
      </c>
      <c r="F612" t="s"/>
      <c r="G612" t="s"/>
      <c r="H612" t="s"/>
      <c r="I612" t="s"/>
      <c r="J612" t="n">
        <v>-0.4404</v>
      </c>
      <c r="K612" t="n">
        <v>0.127</v>
      </c>
      <c r="L612" t="n">
        <v>0.873</v>
      </c>
      <c r="M612" t="n">
        <v>0</v>
      </c>
    </row>
    <row r="613" spans="1:13">
      <c r="A613" s="1">
        <f>HYPERLINK("http://www.twitter.com/NathanBLawrence/status/992951755695673346", "992951755695673346")</f>
        <v/>
      </c>
      <c r="B613" s="2" t="n">
        <v>43226.09630787037</v>
      </c>
      <c r="C613" t="n">
        <v>6</v>
      </c>
      <c r="D613" t="n">
        <v>5</v>
      </c>
      <c r="E613" t="s">
        <v>622</v>
      </c>
      <c r="F613" t="s"/>
      <c r="G613" t="s"/>
      <c r="H613" t="s"/>
      <c r="I613" t="s"/>
      <c r="J613" t="n">
        <v>-0.4023</v>
      </c>
      <c r="K613" t="n">
        <v>0.125</v>
      </c>
      <c r="L613" t="n">
        <v>0.875</v>
      </c>
      <c r="M613" t="n">
        <v>0</v>
      </c>
    </row>
    <row r="614" spans="1:13">
      <c r="A614" s="1">
        <f>HYPERLINK("http://www.twitter.com/NathanBLawrence/status/992951218787045377", "992951218787045377")</f>
        <v/>
      </c>
      <c r="B614" s="2" t="n">
        <v>43226.09482638889</v>
      </c>
      <c r="C614" t="n">
        <v>0</v>
      </c>
      <c r="D614" t="n">
        <v>16</v>
      </c>
      <c r="E614" t="s">
        <v>623</v>
      </c>
      <c r="F614">
        <f>HYPERLINK("http://pbs.twimg.com/media/DcYvVvjW0AE29zZ.jpg", "http://pbs.twimg.com/media/DcYvVvjW0AE29zZ.jpg")</f>
        <v/>
      </c>
      <c r="G614" t="s"/>
      <c r="H614" t="s"/>
      <c r="I614" t="s"/>
      <c r="J614" t="n">
        <v>-0.2617</v>
      </c>
      <c r="K614" t="n">
        <v>0.076</v>
      </c>
      <c r="L614" t="n">
        <v>0.924</v>
      </c>
      <c r="M614" t="n">
        <v>0</v>
      </c>
    </row>
    <row r="615" spans="1:13">
      <c r="A615" s="1">
        <f>HYPERLINK("http://www.twitter.com/NathanBLawrence/status/992951200185274373", "992951200185274373")</f>
        <v/>
      </c>
      <c r="B615" s="2" t="n">
        <v>43226.09476851852</v>
      </c>
      <c r="C615" t="n">
        <v>0</v>
      </c>
      <c r="D615" t="n">
        <v>11</v>
      </c>
      <c r="E615" t="s">
        <v>624</v>
      </c>
      <c r="F615" t="s"/>
      <c r="G615" t="s"/>
      <c r="H615" t="s"/>
      <c r="I615" t="s"/>
      <c r="J615" t="n">
        <v>-0.4731</v>
      </c>
      <c r="K615" t="n">
        <v>0.234</v>
      </c>
      <c r="L615" t="n">
        <v>0.659</v>
      </c>
      <c r="M615" t="n">
        <v>0.107</v>
      </c>
    </row>
    <row r="616" spans="1:13">
      <c r="A616" s="1">
        <f>HYPERLINK("http://www.twitter.com/NathanBLawrence/status/992951177070481408", "992951177070481408")</f>
        <v/>
      </c>
      <c r="B616" s="2" t="n">
        <v>43226.09471064815</v>
      </c>
      <c r="C616" t="n">
        <v>0</v>
      </c>
      <c r="D616" t="n">
        <v>25</v>
      </c>
      <c r="E616" t="s">
        <v>572</v>
      </c>
      <c r="F616" t="s"/>
      <c r="G616" t="s"/>
      <c r="H616" t="s"/>
      <c r="I616" t="s"/>
      <c r="J616" t="n">
        <v>0.2023</v>
      </c>
      <c r="K616" t="n">
        <v>0.08400000000000001</v>
      </c>
      <c r="L616" t="n">
        <v>0.796</v>
      </c>
      <c r="M616" t="n">
        <v>0.119</v>
      </c>
    </row>
    <row r="617" spans="1:13">
      <c r="A617" s="1">
        <f>HYPERLINK("http://www.twitter.com/NathanBLawrence/status/992951145525137409", "992951145525137409")</f>
        <v/>
      </c>
      <c r="B617" s="2" t="n">
        <v>43226.09461805555</v>
      </c>
      <c r="C617" t="n">
        <v>0</v>
      </c>
      <c r="D617" t="n">
        <v>14</v>
      </c>
      <c r="E617" t="s">
        <v>625</v>
      </c>
      <c r="F617">
        <f>HYPERLINK("http://pbs.twimg.com/media/DcZ_pJzWkAAwxe9.jpg", "http://pbs.twimg.com/media/DcZ_pJzWkAAwxe9.jpg")</f>
        <v/>
      </c>
      <c r="G617" t="s"/>
      <c r="H617" t="s"/>
      <c r="I617" t="s"/>
      <c r="J617" t="n">
        <v>0.5766</v>
      </c>
      <c r="K617" t="n">
        <v>0.061</v>
      </c>
      <c r="L617" t="n">
        <v>0.719</v>
      </c>
      <c r="M617" t="n">
        <v>0.219</v>
      </c>
    </row>
    <row r="618" spans="1:13">
      <c r="A618" s="1">
        <f>HYPERLINK("http://www.twitter.com/NathanBLawrence/status/992925217797308416", "992925217797308416")</f>
        <v/>
      </c>
      <c r="B618" s="2" t="n">
        <v>43226.02307870371</v>
      </c>
      <c r="C618" t="n">
        <v>0</v>
      </c>
      <c r="D618" t="n">
        <v>3106</v>
      </c>
      <c r="E618" t="s">
        <v>626</v>
      </c>
      <c r="F618" t="s"/>
      <c r="G618" t="s"/>
      <c r="H618" t="s"/>
      <c r="I618" t="s"/>
      <c r="J618" t="n">
        <v>0.0516</v>
      </c>
      <c r="K618" t="n">
        <v>0.103</v>
      </c>
      <c r="L618" t="n">
        <v>0.785</v>
      </c>
      <c r="M618" t="n">
        <v>0.112</v>
      </c>
    </row>
    <row r="619" spans="1:13">
      <c r="A619" s="1">
        <f>HYPERLINK("http://www.twitter.com/NathanBLawrence/status/992868567149367296", "992868567149367296")</f>
        <v/>
      </c>
      <c r="B619" s="2" t="n">
        <v>43225.86674768518</v>
      </c>
      <c r="C619" t="n">
        <v>0</v>
      </c>
      <c r="D619" t="n">
        <v>0</v>
      </c>
      <c r="E619" t="s">
        <v>627</v>
      </c>
      <c r="F619" t="s"/>
      <c r="G619" t="s"/>
      <c r="H619" t="s"/>
      <c r="I619" t="s"/>
      <c r="J619" t="n">
        <v>0.34</v>
      </c>
      <c r="K619" t="n">
        <v>0</v>
      </c>
      <c r="L619" t="n">
        <v>0.844</v>
      </c>
      <c r="M619" t="n">
        <v>0.156</v>
      </c>
    </row>
    <row r="620" spans="1:13">
      <c r="A620" s="1">
        <f>HYPERLINK("http://www.twitter.com/NathanBLawrence/status/992864499249147905", "992864499249147905")</f>
        <v/>
      </c>
      <c r="B620" s="2" t="n">
        <v>43225.85552083333</v>
      </c>
      <c r="C620" t="n">
        <v>2</v>
      </c>
      <c r="D620" t="n">
        <v>0</v>
      </c>
      <c r="E620" t="s">
        <v>628</v>
      </c>
      <c r="F620" t="s"/>
      <c r="G620" t="s"/>
      <c r="H620" t="s"/>
      <c r="I620" t="s"/>
      <c r="J620" t="n">
        <v>0</v>
      </c>
      <c r="K620" t="n">
        <v>0</v>
      </c>
      <c r="L620" t="n">
        <v>1</v>
      </c>
      <c r="M620" t="n">
        <v>0</v>
      </c>
    </row>
    <row r="621" spans="1:13">
      <c r="A621" s="1">
        <f>HYPERLINK("http://www.twitter.com/NathanBLawrence/status/992858862964396037", "992858862964396037")</f>
        <v/>
      </c>
      <c r="B621" s="2" t="n">
        <v>43225.83997685185</v>
      </c>
      <c r="C621" t="n">
        <v>0</v>
      </c>
      <c r="D621" t="n">
        <v>292</v>
      </c>
      <c r="E621" t="s">
        <v>629</v>
      </c>
      <c r="F621" t="s"/>
      <c r="G621" t="s"/>
      <c r="H621" t="s"/>
      <c r="I621" t="s"/>
      <c r="J621" t="n">
        <v>0</v>
      </c>
      <c r="K621" t="n">
        <v>0</v>
      </c>
      <c r="L621" t="n">
        <v>1</v>
      </c>
      <c r="M621" t="n">
        <v>0</v>
      </c>
    </row>
    <row r="622" spans="1:13">
      <c r="A622" s="1">
        <f>HYPERLINK("http://www.twitter.com/NathanBLawrence/status/992858845016883200", "992858845016883200")</f>
        <v/>
      </c>
      <c r="B622" s="2" t="n">
        <v>43225.83991898148</v>
      </c>
      <c r="C622" t="n">
        <v>0</v>
      </c>
      <c r="D622" t="n">
        <v>38</v>
      </c>
      <c r="E622" t="s">
        <v>630</v>
      </c>
      <c r="F622" t="s"/>
      <c r="G622" t="s"/>
      <c r="H622" t="s"/>
      <c r="I622" t="s"/>
      <c r="J622" t="n">
        <v>0.2382</v>
      </c>
      <c r="K622" t="n">
        <v>0.193</v>
      </c>
      <c r="L622" t="n">
        <v>0.586</v>
      </c>
      <c r="M622" t="n">
        <v>0.221</v>
      </c>
    </row>
    <row r="623" spans="1:13">
      <c r="A623" s="1">
        <f>HYPERLINK("http://www.twitter.com/NathanBLawrence/status/992858338034618369", "992858338034618369")</f>
        <v/>
      </c>
      <c r="B623" s="2" t="n">
        <v>43225.83851851852</v>
      </c>
      <c r="C623" t="n">
        <v>0</v>
      </c>
      <c r="D623" t="n">
        <v>0</v>
      </c>
      <c r="E623" t="s">
        <v>631</v>
      </c>
      <c r="F623" t="s"/>
      <c r="G623" t="s"/>
      <c r="H623" t="s"/>
      <c r="I623" t="s"/>
      <c r="J623" t="n">
        <v>0.3818</v>
      </c>
      <c r="K623" t="n">
        <v>0.123</v>
      </c>
      <c r="L623" t="n">
        <v>0.633</v>
      </c>
      <c r="M623" t="n">
        <v>0.243</v>
      </c>
    </row>
    <row r="624" spans="1:13">
      <c r="A624" s="1">
        <f>HYPERLINK("http://www.twitter.com/NathanBLawrence/status/992856704252628997", "992856704252628997")</f>
        <v/>
      </c>
      <c r="B624" s="2" t="n">
        <v>43225.83401620371</v>
      </c>
      <c r="C624" t="n">
        <v>0</v>
      </c>
      <c r="D624" t="n">
        <v>1</v>
      </c>
      <c r="E624" t="s">
        <v>632</v>
      </c>
      <c r="F624" t="s"/>
      <c r="G624" t="s"/>
      <c r="H624" t="s"/>
      <c r="I624" t="s"/>
      <c r="J624" t="n">
        <v>0</v>
      </c>
      <c r="K624" t="n">
        <v>0</v>
      </c>
      <c r="L624" t="n">
        <v>1</v>
      </c>
      <c r="M624" t="n">
        <v>0</v>
      </c>
    </row>
    <row r="625" spans="1:13">
      <c r="A625" s="1">
        <f>HYPERLINK("http://www.twitter.com/NathanBLawrence/status/992856693213204481", "992856693213204481")</f>
        <v/>
      </c>
      <c r="B625" s="2" t="n">
        <v>43225.83398148148</v>
      </c>
      <c r="C625" t="n">
        <v>1</v>
      </c>
      <c r="D625" t="n">
        <v>0</v>
      </c>
      <c r="E625" t="s">
        <v>633</v>
      </c>
      <c r="F625" t="s"/>
      <c r="G625" t="s"/>
      <c r="H625" t="s"/>
      <c r="I625" t="s"/>
      <c r="J625" t="n">
        <v>0.4215</v>
      </c>
      <c r="K625" t="n">
        <v>0</v>
      </c>
      <c r="L625" t="n">
        <v>0.263</v>
      </c>
      <c r="M625" t="n">
        <v>0.737</v>
      </c>
    </row>
    <row r="626" spans="1:13">
      <c r="A626" s="1">
        <f>HYPERLINK("http://www.twitter.com/NathanBLawrence/status/992856434479173632", "992856434479173632")</f>
        <v/>
      </c>
      <c r="B626" s="2" t="n">
        <v>43225.83327546297</v>
      </c>
      <c r="C626" t="n">
        <v>0</v>
      </c>
      <c r="D626" t="n">
        <v>7</v>
      </c>
      <c r="E626" t="s">
        <v>634</v>
      </c>
      <c r="F626">
        <f>HYPERLINK("http://pbs.twimg.com/media/DccP4OvXcAYGo7r.jpg", "http://pbs.twimg.com/media/DccP4OvXcAYGo7r.jpg")</f>
        <v/>
      </c>
      <c r="G626" t="s"/>
      <c r="H626" t="s"/>
      <c r="I626" t="s"/>
      <c r="J626" t="n">
        <v>0.4926</v>
      </c>
      <c r="K626" t="n">
        <v>0</v>
      </c>
      <c r="L626" t="n">
        <v>0.653</v>
      </c>
      <c r="M626" t="n">
        <v>0.347</v>
      </c>
    </row>
    <row r="627" spans="1:13">
      <c r="A627" s="1">
        <f>HYPERLINK("http://www.twitter.com/NathanBLawrence/status/992839080424681474", "992839080424681474")</f>
        <v/>
      </c>
      <c r="B627" s="2" t="n">
        <v>43225.78538194444</v>
      </c>
      <c r="C627" t="n">
        <v>0</v>
      </c>
      <c r="D627" t="n">
        <v>5</v>
      </c>
      <c r="E627" t="s">
        <v>635</v>
      </c>
      <c r="F627">
        <f>HYPERLINK("http://pbs.twimg.com/media/DcdFsksX4AUZrow.jpg", "http://pbs.twimg.com/media/DcdFsksX4AUZrow.jpg")</f>
        <v/>
      </c>
      <c r="G627" t="s"/>
      <c r="H627" t="s"/>
      <c r="I627" t="s"/>
      <c r="J627" t="n">
        <v>0.4588</v>
      </c>
      <c r="K627" t="n">
        <v>0.06</v>
      </c>
      <c r="L627" t="n">
        <v>0.787</v>
      </c>
      <c r="M627" t="n">
        <v>0.153</v>
      </c>
    </row>
    <row r="628" spans="1:13">
      <c r="A628" s="1">
        <f>HYPERLINK("http://www.twitter.com/NathanBLawrence/status/992837389092638720", "992837389092638720")</f>
        <v/>
      </c>
      <c r="B628" s="2" t="n">
        <v>43225.78071759259</v>
      </c>
      <c r="C628" t="n">
        <v>0</v>
      </c>
      <c r="D628" t="n">
        <v>6</v>
      </c>
      <c r="E628" t="s">
        <v>636</v>
      </c>
      <c r="F628" t="s"/>
      <c r="G628" t="s"/>
      <c r="H628" t="s"/>
      <c r="I628" t="s"/>
      <c r="J628" t="n">
        <v>0</v>
      </c>
      <c r="K628" t="n">
        <v>0</v>
      </c>
      <c r="L628" t="n">
        <v>1</v>
      </c>
      <c r="M628" t="n">
        <v>0</v>
      </c>
    </row>
    <row r="629" spans="1:13">
      <c r="A629" s="1">
        <f>HYPERLINK("http://www.twitter.com/NathanBLawrence/status/992836769598107648", "992836769598107648")</f>
        <v/>
      </c>
      <c r="B629" s="2" t="n">
        <v>43225.77900462963</v>
      </c>
      <c r="C629" t="n">
        <v>0</v>
      </c>
      <c r="D629" t="n">
        <v>8</v>
      </c>
      <c r="E629" t="s">
        <v>637</v>
      </c>
      <c r="F629">
        <f>HYPERLINK("http://pbs.twimg.com/media/DccwLQnUwAEzt9D.jpg", "http://pbs.twimg.com/media/DccwLQnUwAEzt9D.jpg")</f>
        <v/>
      </c>
      <c r="G629" t="s"/>
      <c r="H629" t="s"/>
      <c r="I629" t="s"/>
      <c r="J629" t="n">
        <v>0.2462</v>
      </c>
      <c r="K629" t="n">
        <v>0</v>
      </c>
      <c r="L629" t="n">
        <v>0.914</v>
      </c>
      <c r="M629" t="n">
        <v>0.08599999999999999</v>
      </c>
    </row>
    <row r="630" spans="1:13">
      <c r="A630" s="1">
        <f>HYPERLINK("http://www.twitter.com/NathanBLawrence/status/992836555806068737", "992836555806068737")</f>
        <v/>
      </c>
      <c r="B630" s="2" t="n">
        <v>43225.77841435185</v>
      </c>
      <c r="C630" t="n">
        <v>0</v>
      </c>
      <c r="D630" t="n">
        <v>15</v>
      </c>
      <c r="E630" t="s">
        <v>638</v>
      </c>
      <c r="F630">
        <f>HYPERLINK("http://pbs.twimg.com/media/Dcc5D3PVMAApE-A.jpg", "http://pbs.twimg.com/media/Dcc5D3PVMAApE-A.jpg")</f>
        <v/>
      </c>
      <c r="G630" t="s"/>
      <c r="H630" t="s"/>
      <c r="I630" t="s"/>
      <c r="J630" t="n">
        <v>0.4588</v>
      </c>
      <c r="K630" t="n">
        <v>0.058</v>
      </c>
      <c r="L630" t="n">
        <v>0.796</v>
      </c>
      <c r="M630" t="n">
        <v>0.146</v>
      </c>
    </row>
    <row r="631" spans="1:13">
      <c r="A631" s="1">
        <f>HYPERLINK("http://www.twitter.com/NathanBLawrence/status/992836255472865280", "992836255472865280")</f>
        <v/>
      </c>
      <c r="B631" s="2" t="n">
        <v>43225.77758101852</v>
      </c>
      <c r="C631" t="n">
        <v>0</v>
      </c>
      <c r="D631" t="n">
        <v>7</v>
      </c>
      <c r="E631" t="s">
        <v>639</v>
      </c>
      <c r="F631" t="s"/>
      <c r="G631" t="s"/>
      <c r="H631" t="s"/>
      <c r="I631" t="s"/>
      <c r="J631" t="n">
        <v>0</v>
      </c>
      <c r="K631" t="n">
        <v>0</v>
      </c>
      <c r="L631" t="n">
        <v>1</v>
      </c>
      <c r="M631" t="n">
        <v>0</v>
      </c>
    </row>
    <row r="632" spans="1:13">
      <c r="A632" s="1">
        <f>HYPERLINK("http://www.twitter.com/NathanBLawrence/status/992836131933904896", "992836131933904896")</f>
        <v/>
      </c>
      <c r="B632" s="2" t="n">
        <v>43225.77724537037</v>
      </c>
      <c r="C632" t="n">
        <v>0</v>
      </c>
      <c r="D632" t="n">
        <v>8</v>
      </c>
      <c r="E632" t="s">
        <v>640</v>
      </c>
      <c r="F632">
        <f>HYPERLINK("http://pbs.twimg.com/media/Dccn15-X0AA-KXZ.jpg", "http://pbs.twimg.com/media/Dccn15-X0AA-KXZ.jpg")</f>
        <v/>
      </c>
      <c r="G632" t="s"/>
      <c r="H632" t="s"/>
      <c r="I632" t="s"/>
      <c r="J632" t="n">
        <v>0.8201000000000001</v>
      </c>
      <c r="K632" t="n">
        <v>0</v>
      </c>
      <c r="L632" t="n">
        <v>0.63</v>
      </c>
      <c r="M632" t="n">
        <v>0.37</v>
      </c>
    </row>
    <row r="633" spans="1:13">
      <c r="A633" s="1">
        <f>HYPERLINK("http://www.twitter.com/NathanBLawrence/status/992836109657886721", "992836109657886721")</f>
        <v/>
      </c>
      <c r="B633" s="2" t="n">
        <v>43225.7771875</v>
      </c>
      <c r="C633" t="n">
        <v>0</v>
      </c>
      <c r="D633" t="n">
        <v>8</v>
      </c>
      <c r="E633" t="s">
        <v>641</v>
      </c>
      <c r="F633">
        <f>HYPERLINK("http://pbs.twimg.com/media/Dcc0jb6U8AUXyGr.jpg", "http://pbs.twimg.com/media/Dcc0jb6U8AUXyGr.jpg")</f>
        <v/>
      </c>
      <c r="G633" t="s"/>
      <c r="H633" t="s"/>
      <c r="I633" t="s"/>
      <c r="J633" t="n">
        <v>-0.7906</v>
      </c>
      <c r="K633" t="n">
        <v>0.259</v>
      </c>
      <c r="L633" t="n">
        <v>0.741</v>
      </c>
      <c r="M633" t="n">
        <v>0</v>
      </c>
    </row>
    <row r="634" spans="1:13">
      <c r="A634" s="1">
        <f>HYPERLINK("http://www.twitter.com/NathanBLawrence/status/992836083825209345", "992836083825209345")</f>
        <v/>
      </c>
      <c r="B634" s="2" t="n">
        <v>43225.77711805556</v>
      </c>
      <c r="C634" t="n">
        <v>0</v>
      </c>
      <c r="D634" t="n">
        <v>11</v>
      </c>
      <c r="E634" t="s">
        <v>642</v>
      </c>
      <c r="F634" t="s"/>
      <c r="G634" t="s"/>
      <c r="H634" t="s"/>
      <c r="I634" t="s"/>
      <c r="J634" t="n">
        <v>0</v>
      </c>
      <c r="K634" t="n">
        <v>0</v>
      </c>
      <c r="L634" t="n">
        <v>1</v>
      </c>
      <c r="M634" t="n">
        <v>0</v>
      </c>
    </row>
    <row r="635" spans="1:13">
      <c r="A635" s="1">
        <f>HYPERLINK("http://www.twitter.com/NathanBLawrence/status/992811018094080000", "992811018094080000")</f>
        <v/>
      </c>
      <c r="B635" s="2" t="n">
        <v>43225.70793981481</v>
      </c>
      <c r="C635" t="n">
        <v>0</v>
      </c>
      <c r="D635" t="n">
        <v>18277</v>
      </c>
      <c r="E635" t="s">
        <v>643</v>
      </c>
      <c r="F635" t="s"/>
      <c r="G635" t="s"/>
      <c r="H635" t="s"/>
      <c r="I635" t="s"/>
      <c r="J635" t="n">
        <v>-0.5106000000000001</v>
      </c>
      <c r="K635" t="n">
        <v>0.142</v>
      </c>
      <c r="L635" t="n">
        <v>0.858</v>
      </c>
      <c r="M635" t="n">
        <v>0</v>
      </c>
    </row>
    <row r="636" spans="1:13">
      <c r="A636" s="1">
        <f>HYPERLINK("http://www.twitter.com/NathanBLawrence/status/992810956534272000", "992810956534272000")</f>
        <v/>
      </c>
      <c r="B636" s="2" t="n">
        <v>43225.70777777778</v>
      </c>
      <c r="C636" t="n">
        <v>0</v>
      </c>
      <c r="D636" t="n">
        <v>1000</v>
      </c>
      <c r="E636" t="s">
        <v>644</v>
      </c>
      <c r="F636" t="s"/>
      <c r="G636" t="s"/>
      <c r="H636" t="s"/>
      <c r="I636" t="s"/>
      <c r="J636" t="n">
        <v>0.2168</v>
      </c>
      <c r="K636" t="n">
        <v>0</v>
      </c>
      <c r="L636" t="n">
        <v>0.911</v>
      </c>
      <c r="M636" t="n">
        <v>0.089</v>
      </c>
    </row>
    <row r="637" spans="1:13">
      <c r="A637" s="1">
        <f>HYPERLINK("http://www.twitter.com/NathanBLawrence/status/992810869800259584", "992810869800259584")</f>
        <v/>
      </c>
      <c r="B637" s="2" t="n">
        <v>43225.70753472222</v>
      </c>
      <c r="C637" t="n">
        <v>0</v>
      </c>
      <c r="D637" t="n">
        <v>2891</v>
      </c>
      <c r="E637" t="s">
        <v>645</v>
      </c>
      <c r="F637" t="s"/>
      <c r="G637" t="s"/>
      <c r="H637" t="s"/>
      <c r="I637" t="s"/>
      <c r="J637" t="n">
        <v>-0.3612</v>
      </c>
      <c r="K637" t="n">
        <v>0.106</v>
      </c>
      <c r="L637" t="n">
        <v>0.894</v>
      </c>
      <c r="M637" t="n">
        <v>0</v>
      </c>
    </row>
    <row r="638" spans="1:13">
      <c r="A638" s="1">
        <f>HYPERLINK("http://www.twitter.com/NathanBLawrence/status/992810841933340673", "992810841933340673")</f>
        <v/>
      </c>
      <c r="B638" s="2" t="n">
        <v>43225.7074537037</v>
      </c>
      <c r="C638" t="n">
        <v>0</v>
      </c>
      <c r="D638" t="n">
        <v>46</v>
      </c>
      <c r="E638" t="s">
        <v>646</v>
      </c>
      <c r="F638" t="s"/>
      <c r="G638" t="s"/>
      <c r="H638" t="s"/>
      <c r="I638" t="s"/>
      <c r="J638" t="n">
        <v>0.3182</v>
      </c>
      <c r="K638" t="n">
        <v>0.12</v>
      </c>
      <c r="L638" t="n">
        <v>0.674</v>
      </c>
      <c r="M638" t="n">
        <v>0.206</v>
      </c>
    </row>
    <row r="639" spans="1:13">
      <c r="A639" s="1">
        <f>HYPERLINK("http://www.twitter.com/NathanBLawrence/status/992810813026177025", "992810813026177025")</f>
        <v/>
      </c>
      <c r="B639" s="2" t="n">
        <v>43225.70738425926</v>
      </c>
      <c r="C639" t="n">
        <v>0</v>
      </c>
      <c r="D639" t="n">
        <v>979</v>
      </c>
      <c r="E639" t="s">
        <v>647</v>
      </c>
      <c r="F639" t="s"/>
      <c r="G639" t="s"/>
      <c r="H639" t="s"/>
      <c r="I639" t="s"/>
      <c r="J639" t="n">
        <v>0.4215</v>
      </c>
      <c r="K639" t="n">
        <v>0</v>
      </c>
      <c r="L639" t="n">
        <v>0.891</v>
      </c>
      <c r="M639" t="n">
        <v>0.109</v>
      </c>
    </row>
    <row r="640" spans="1:13">
      <c r="A640" s="1">
        <f>HYPERLINK("http://www.twitter.com/NathanBLawrence/status/992792270914162689", "992792270914162689")</f>
        <v/>
      </c>
      <c r="B640" s="2" t="n">
        <v>43225.65621527778</v>
      </c>
      <c r="C640" t="n">
        <v>1</v>
      </c>
      <c r="D640" t="n">
        <v>0</v>
      </c>
      <c r="E640" t="s">
        <v>648</v>
      </c>
      <c r="F640" t="s"/>
      <c r="G640" t="s"/>
      <c r="H640" t="s"/>
      <c r="I640" t="s"/>
      <c r="J640" t="n">
        <v>-0.8745000000000001</v>
      </c>
      <c r="K640" t="n">
        <v>0.4</v>
      </c>
      <c r="L640" t="n">
        <v>0.6</v>
      </c>
      <c r="M640" t="n">
        <v>0</v>
      </c>
    </row>
    <row r="641" spans="1:13">
      <c r="A641" s="1">
        <f>HYPERLINK("http://www.twitter.com/NathanBLawrence/status/992785471007846403", "992785471007846403")</f>
        <v/>
      </c>
      <c r="B641" s="2" t="n">
        <v>43225.6374537037</v>
      </c>
      <c r="C641" t="n">
        <v>0</v>
      </c>
      <c r="D641" t="n">
        <v>6</v>
      </c>
      <c r="E641" t="s">
        <v>649</v>
      </c>
      <c r="F641" t="s"/>
      <c r="G641" t="s"/>
      <c r="H641" t="s"/>
      <c r="I641" t="s"/>
      <c r="J641" t="n">
        <v>0</v>
      </c>
      <c r="K641" t="n">
        <v>0</v>
      </c>
      <c r="L641" t="n">
        <v>1</v>
      </c>
      <c r="M641" t="n">
        <v>0</v>
      </c>
    </row>
    <row r="642" spans="1:13">
      <c r="A642" s="1">
        <f>HYPERLINK("http://www.twitter.com/NathanBLawrence/status/992785414187638784", "992785414187638784")</f>
        <v/>
      </c>
      <c r="B642" s="2" t="n">
        <v>43225.63729166667</v>
      </c>
      <c r="C642" t="n">
        <v>0</v>
      </c>
      <c r="D642" t="n">
        <v>3204</v>
      </c>
      <c r="E642" t="s">
        <v>650</v>
      </c>
      <c r="F642" t="s"/>
      <c r="G642" t="s"/>
      <c r="H642" t="s"/>
      <c r="I642" t="s"/>
      <c r="J642" t="n">
        <v>-0.6841</v>
      </c>
      <c r="K642" t="n">
        <v>0.168</v>
      </c>
      <c r="L642" t="n">
        <v>0.832</v>
      </c>
      <c r="M642" t="n">
        <v>0</v>
      </c>
    </row>
    <row r="643" spans="1:13">
      <c r="A643" s="1">
        <f>HYPERLINK("http://www.twitter.com/NathanBLawrence/status/992784802817499140", "992784802817499140")</f>
        <v/>
      </c>
      <c r="B643" s="2" t="n">
        <v>43225.63560185185</v>
      </c>
      <c r="C643" t="n">
        <v>0</v>
      </c>
      <c r="D643" t="n">
        <v>3</v>
      </c>
      <c r="E643" t="s">
        <v>651</v>
      </c>
      <c r="F643" t="s"/>
      <c r="G643" t="s"/>
      <c r="H643" t="s"/>
      <c r="I643" t="s"/>
      <c r="J643" t="n">
        <v>0</v>
      </c>
      <c r="K643" t="n">
        <v>0</v>
      </c>
      <c r="L643" t="n">
        <v>1</v>
      </c>
      <c r="M643" t="n">
        <v>0</v>
      </c>
    </row>
    <row r="644" spans="1:13">
      <c r="A644" s="1">
        <f>HYPERLINK("http://www.twitter.com/NathanBLawrence/status/992784775625756672", "992784775625756672")</f>
        <v/>
      </c>
      <c r="B644" s="2" t="n">
        <v>43225.63553240741</v>
      </c>
      <c r="C644" t="n">
        <v>0</v>
      </c>
      <c r="D644" t="n">
        <v>3</v>
      </c>
      <c r="E644" t="s">
        <v>652</v>
      </c>
      <c r="F644" t="s"/>
      <c r="G644" t="s"/>
      <c r="H644" t="s"/>
      <c r="I644" t="s"/>
      <c r="J644" t="n">
        <v>0.7074</v>
      </c>
      <c r="K644" t="n">
        <v>0.098</v>
      </c>
      <c r="L644" t="n">
        <v>0.632</v>
      </c>
      <c r="M644" t="n">
        <v>0.27</v>
      </c>
    </row>
    <row r="645" spans="1:13">
      <c r="A645" s="1">
        <f>HYPERLINK("http://www.twitter.com/NathanBLawrence/status/992784748106960898", "992784748106960898")</f>
        <v/>
      </c>
      <c r="B645" s="2" t="n">
        <v>43225.63545138889</v>
      </c>
      <c r="C645" t="n">
        <v>0</v>
      </c>
      <c r="D645" t="n">
        <v>13</v>
      </c>
      <c r="E645" t="s">
        <v>653</v>
      </c>
      <c r="F645" t="s"/>
      <c r="G645" t="s"/>
      <c r="H645" t="s"/>
      <c r="I645" t="s"/>
      <c r="J645" t="n">
        <v>0</v>
      </c>
      <c r="K645" t="n">
        <v>0</v>
      </c>
      <c r="L645" t="n">
        <v>1</v>
      </c>
      <c r="M645" t="n">
        <v>0</v>
      </c>
    </row>
    <row r="646" spans="1:13">
      <c r="A646" s="1">
        <f>HYPERLINK("http://www.twitter.com/NathanBLawrence/status/992784673020567553", "992784673020567553")</f>
        <v/>
      </c>
      <c r="B646" s="2" t="n">
        <v>43225.63524305556</v>
      </c>
      <c r="C646" t="n">
        <v>0</v>
      </c>
      <c r="D646" t="n">
        <v>0</v>
      </c>
      <c r="E646" t="s">
        <v>654</v>
      </c>
      <c r="F646" t="s"/>
      <c r="G646" t="s"/>
      <c r="H646" t="s"/>
      <c r="I646" t="s"/>
      <c r="J646" t="n">
        <v>0.5057</v>
      </c>
      <c r="K646" t="n">
        <v>0.158</v>
      </c>
      <c r="L646" t="n">
        <v>0.425</v>
      </c>
      <c r="M646" t="n">
        <v>0.417</v>
      </c>
    </row>
    <row r="647" spans="1:13">
      <c r="A647" s="1">
        <f>HYPERLINK("http://www.twitter.com/NathanBLawrence/status/992784592758329344", "992784592758329344")</f>
        <v/>
      </c>
      <c r="B647" s="2" t="n">
        <v>43225.63502314815</v>
      </c>
      <c r="C647" t="n">
        <v>0</v>
      </c>
      <c r="D647" t="n">
        <v>3</v>
      </c>
      <c r="E647" t="s">
        <v>655</v>
      </c>
      <c r="F647" t="s"/>
      <c r="G647" t="s"/>
      <c r="H647" t="s"/>
      <c r="I647" t="s"/>
      <c r="J647" t="n">
        <v>0.4588</v>
      </c>
      <c r="K647" t="n">
        <v>0</v>
      </c>
      <c r="L647" t="n">
        <v>0.826</v>
      </c>
      <c r="M647" t="n">
        <v>0.174</v>
      </c>
    </row>
    <row r="648" spans="1:13">
      <c r="A648" s="1">
        <f>HYPERLINK("http://www.twitter.com/NathanBLawrence/status/992784577474244610", "992784577474244610")</f>
        <v/>
      </c>
      <c r="B648" s="2" t="n">
        <v>43225.63497685185</v>
      </c>
      <c r="C648" t="n">
        <v>0</v>
      </c>
      <c r="D648" t="n">
        <v>8</v>
      </c>
      <c r="E648" t="s">
        <v>656</v>
      </c>
      <c r="F648" t="s"/>
      <c r="G648" t="s"/>
      <c r="H648" t="s"/>
      <c r="I648" t="s"/>
      <c r="J648" t="n">
        <v>-0.4939</v>
      </c>
      <c r="K648" t="n">
        <v>0.251</v>
      </c>
      <c r="L648" t="n">
        <v>0.653</v>
      </c>
      <c r="M648" t="n">
        <v>0.096</v>
      </c>
    </row>
    <row r="649" spans="1:13">
      <c r="A649" s="1">
        <f>HYPERLINK("http://www.twitter.com/NathanBLawrence/status/992784297265332229", "992784297265332229")</f>
        <v/>
      </c>
      <c r="B649" s="2" t="n">
        <v>43225.63421296296</v>
      </c>
      <c r="C649" t="n">
        <v>0</v>
      </c>
      <c r="D649" t="n">
        <v>5</v>
      </c>
      <c r="E649" t="s">
        <v>657</v>
      </c>
      <c r="F649" t="s"/>
      <c r="G649" t="s"/>
      <c r="H649" t="s"/>
      <c r="I649" t="s"/>
      <c r="J649" t="n">
        <v>-0.5574</v>
      </c>
      <c r="K649" t="n">
        <v>0.18</v>
      </c>
      <c r="L649" t="n">
        <v>0.82</v>
      </c>
      <c r="M649" t="n">
        <v>0</v>
      </c>
    </row>
    <row r="650" spans="1:13">
      <c r="A650" s="1">
        <f>HYPERLINK("http://www.twitter.com/NathanBLawrence/status/992783782204801024", "992783782204801024")</f>
        <v/>
      </c>
      <c r="B650" s="2" t="n">
        <v>43225.63278935185</v>
      </c>
      <c r="C650" t="n">
        <v>2</v>
      </c>
      <c r="D650" t="n">
        <v>0</v>
      </c>
      <c r="E650" t="s">
        <v>658</v>
      </c>
      <c r="F650" t="s"/>
      <c r="G650" t="s"/>
      <c r="H650" t="s"/>
      <c r="I650" t="s"/>
      <c r="J650" t="n">
        <v>0</v>
      </c>
      <c r="K650" t="n">
        <v>0</v>
      </c>
      <c r="L650" t="n">
        <v>1</v>
      </c>
      <c r="M650" t="n">
        <v>0</v>
      </c>
    </row>
    <row r="651" spans="1:13">
      <c r="A651" s="1">
        <f>HYPERLINK("http://www.twitter.com/NathanBLawrence/status/992783672507060225", "992783672507060225")</f>
        <v/>
      </c>
      <c r="B651" s="2" t="n">
        <v>43225.63248842592</v>
      </c>
      <c r="C651" t="n">
        <v>0</v>
      </c>
      <c r="D651" t="n">
        <v>10</v>
      </c>
      <c r="E651" t="s">
        <v>659</v>
      </c>
      <c r="F651" t="s"/>
      <c r="G651" t="s"/>
      <c r="H651" t="s"/>
      <c r="I651" t="s"/>
      <c r="J651" t="n">
        <v>-0.6597</v>
      </c>
      <c r="K651" t="n">
        <v>0.275</v>
      </c>
      <c r="L651" t="n">
        <v>0.629</v>
      </c>
      <c r="M651" t="n">
        <v>0.096</v>
      </c>
    </row>
    <row r="652" spans="1:13">
      <c r="A652" s="1">
        <f>HYPERLINK("http://www.twitter.com/NathanBLawrence/status/992776143932665857", "992776143932665857")</f>
        <v/>
      </c>
      <c r="B652" s="2" t="n">
        <v>43225.61171296296</v>
      </c>
      <c r="C652" t="n">
        <v>0</v>
      </c>
      <c r="D652" t="n">
        <v>2844</v>
      </c>
      <c r="E652" t="s">
        <v>660</v>
      </c>
      <c r="F652" t="s"/>
      <c r="G652" t="s"/>
      <c r="H652" t="s"/>
      <c r="I652" t="s"/>
      <c r="J652" t="n">
        <v>0</v>
      </c>
      <c r="K652" t="n">
        <v>0</v>
      </c>
      <c r="L652" t="n">
        <v>1</v>
      </c>
      <c r="M652" t="n">
        <v>0</v>
      </c>
    </row>
    <row r="653" spans="1:13">
      <c r="A653" s="1">
        <f>HYPERLINK("http://www.twitter.com/NathanBLawrence/status/992775528150118400", "992775528150118400")</f>
        <v/>
      </c>
      <c r="B653" s="2" t="n">
        <v>43225.61001157408</v>
      </c>
      <c r="C653" t="n">
        <v>0</v>
      </c>
      <c r="D653" t="n">
        <v>19</v>
      </c>
      <c r="E653" t="s">
        <v>661</v>
      </c>
      <c r="F653">
        <f>HYPERLINK("http://pbs.twimg.com/media/DccL8dvXkAAY4G0.jpg", "http://pbs.twimg.com/media/DccL8dvXkAAY4G0.jpg")</f>
        <v/>
      </c>
      <c r="G653" t="s"/>
      <c r="H653" t="s"/>
      <c r="I653" t="s"/>
      <c r="J653" t="n">
        <v>-0.3853</v>
      </c>
      <c r="K653" t="n">
        <v>0.116</v>
      </c>
      <c r="L653" t="n">
        <v>0.884</v>
      </c>
      <c r="M653" t="n">
        <v>0</v>
      </c>
    </row>
    <row r="654" spans="1:13">
      <c r="A654" s="1">
        <f>HYPERLINK("http://www.twitter.com/NathanBLawrence/status/992775391378059264", "992775391378059264")</f>
        <v/>
      </c>
      <c r="B654" s="2" t="n">
        <v>43225.60962962963</v>
      </c>
      <c r="C654" t="n">
        <v>0</v>
      </c>
      <c r="D654" t="n">
        <v>11</v>
      </c>
      <c r="E654" t="s">
        <v>662</v>
      </c>
      <c r="F654">
        <f>HYPERLINK("http://pbs.twimg.com/media/DccF0CTVAAAoBYL.jpg", "http://pbs.twimg.com/media/DccF0CTVAAAoBYL.jpg")</f>
        <v/>
      </c>
      <c r="G654" t="s"/>
      <c r="H654" t="s"/>
      <c r="I654" t="s"/>
      <c r="J654" t="n">
        <v>0.5622</v>
      </c>
      <c r="K654" t="n">
        <v>0</v>
      </c>
      <c r="L654" t="n">
        <v>0.768</v>
      </c>
      <c r="M654" t="n">
        <v>0.232</v>
      </c>
    </row>
    <row r="655" spans="1:13">
      <c r="A655" s="1">
        <f>HYPERLINK("http://www.twitter.com/NathanBLawrence/status/992775384868540417", "992775384868540417")</f>
        <v/>
      </c>
      <c r="B655" s="2" t="n">
        <v>43225.60961805555</v>
      </c>
      <c r="C655" t="n">
        <v>20</v>
      </c>
      <c r="D655" t="n">
        <v>19</v>
      </c>
      <c r="E655" t="s">
        <v>663</v>
      </c>
      <c r="F655">
        <f>HYPERLINK("http://pbs.twimg.com/media/DccL8dvXkAAY4G0.jpg", "http://pbs.twimg.com/media/DccL8dvXkAAY4G0.jpg")</f>
        <v/>
      </c>
      <c r="G655" t="s"/>
      <c r="H655" t="s"/>
      <c r="I655" t="s"/>
      <c r="J655" t="n">
        <v>-0.8568</v>
      </c>
      <c r="K655" t="n">
        <v>0.187</v>
      </c>
      <c r="L655" t="n">
        <v>0.8129999999999999</v>
      </c>
      <c r="M655" t="n">
        <v>0</v>
      </c>
    </row>
    <row r="656" spans="1:13">
      <c r="A656" s="1">
        <f>HYPERLINK("http://www.twitter.com/NathanBLawrence/status/992769791562829824", "992769791562829824")</f>
        <v/>
      </c>
      <c r="B656" s="2" t="n">
        <v>43225.59417824074</v>
      </c>
      <c r="C656" t="n">
        <v>0</v>
      </c>
      <c r="D656" t="n">
        <v>8</v>
      </c>
      <c r="E656" t="s">
        <v>664</v>
      </c>
      <c r="F656" t="s"/>
      <c r="G656" t="s"/>
      <c r="H656" t="s"/>
      <c r="I656" t="s"/>
      <c r="J656" t="n">
        <v>-0.765</v>
      </c>
      <c r="K656" t="n">
        <v>0.309</v>
      </c>
      <c r="L656" t="n">
        <v>0.6909999999999999</v>
      </c>
      <c r="M656" t="n">
        <v>0</v>
      </c>
    </row>
    <row r="657" spans="1:13">
      <c r="A657" s="1">
        <f>HYPERLINK("http://www.twitter.com/NathanBLawrence/status/992722821590679552", "992722821590679552")</f>
        <v/>
      </c>
      <c r="B657" s="2" t="n">
        <v>43225.46457175926</v>
      </c>
      <c r="C657" t="n">
        <v>0</v>
      </c>
      <c r="D657" t="n">
        <v>2826</v>
      </c>
      <c r="E657" t="s">
        <v>665</v>
      </c>
      <c r="F657" t="s"/>
      <c r="G657" t="s"/>
      <c r="H657" t="s"/>
      <c r="I657" t="s"/>
      <c r="J657" t="n">
        <v>-0.4939</v>
      </c>
      <c r="K657" t="n">
        <v>0.262</v>
      </c>
      <c r="L657" t="n">
        <v>0.738</v>
      </c>
      <c r="M657" t="n">
        <v>0</v>
      </c>
    </row>
    <row r="658" spans="1:13">
      <c r="A658" s="1">
        <f>HYPERLINK("http://www.twitter.com/NathanBLawrence/status/992722668590895105", "992722668590895105")</f>
        <v/>
      </c>
      <c r="B658" s="2" t="n">
        <v>43225.46414351852</v>
      </c>
      <c r="C658" t="n">
        <v>0</v>
      </c>
      <c r="D658" t="n">
        <v>5</v>
      </c>
      <c r="E658" t="s">
        <v>666</v>
      </c>
      <c r="F658" t="s"/>
      <c r="G658" t="s"/>
      <c r="H658" t="s"/>
      <c r="I658" t="s"/>
      <c r="J658" t="n">
        <v>0.4019</v>
      </c>
      <c r="K658" t="n">
        <v>0</v>
      </c>
      <c r="L658" t="n">
        <v>0.769</v>
      </c>
      <c r="M658" t="n">
        <v>0.231</v>
      </c>
    </row>
    <row r="659" spans="1:13">
      <c r="A659" s="1">
        <f>HYPERLINK("http://www.twitter.com/NathanBLawrence/status/992722629588144128", "992722629588144128")</f>
        <v/>
      </c>
      <c r="B659" s="2" t="n">
        <v>43225.46403935185</v>
      </c>
      <c r="C659" t="n">
        <v>0</v>
      </c>
      <c r="D659" t="n">
        <v>1769</v>
      </c>
      <c r="E659" t="s">
        <v>667</v>
      </c>
      <c r="F659">
        <f>HYPERLINK("http://pbs.twimg.com/media/DbzjUSfVQAAguJc.jpg", "http://pbs.twimg.com/media/DbzjUSfVQAAguJc.jpg")</f>
        <v/>
      </c>
      <c r="G659" t="s"/>
      <c r="H659" t="s"/>
      <c r="I659" t="s"/>
      <c r="J659" t="n">
        <v>-0.9587</v>
      </c>
      <c r="K659" t="n">
        <v>0.474</v>
      </c>
      <c r="L659" t="n">
        <v>0.526</v>
      </c>
      <c r="M659" t="n">
        <v>0</v>
      </c>
    </row>
    <row r="660" spans="1:13">
      <c r="A660" s="1">
        <f>HYPERLINK("http://www.twitter.com/NathanBLawrence/status/992597015644327936", "992597015644327936")</f>
        <v/>
      </c>
      <c r="B660" s="2" t="n">
        <v>43225.11740740741</v>
      </c>
      <c r="C660" t="n">
        <v>0</v>
      </c>
      <c r="D660" t="n">
        <v>24</v>
      </c>
      <c r="E660" t="s">
        <v>668</v>
      </c>
      <c r="F660" t="s"/>
      <c r="G660" t="s"/>
      <c r="H660" t="s"/>
      <c r="I660" t="s"/>
      <c r="J660" t="n">
        <v>0.2023</v>
      </c>
      <c r="K660" t="n">
        <v>0.081</v>
      </c>
      <c r="L660" t="n">
        <v>0.769</v>
      </c>
      <c r="M660" t="n">
        <v>0.15</v>
      </c>
    </row>
    <row r="661" spans="1:13">
      <c r="A661" s="1">
        <f>HYPERLINK("http://www.twitter.com/NathanBLawrence/status/992591629717508096", "992591629717508096")</f>
        <v/>
      </c>
      <c r="B661" s="2" t="n">
        <v>43225.10254629629</v>
      </c>
      <c r="C661" t="n">
        <v>0</v>
      </c>
      <c r="D661" t="n">
        <v>14</v>
      </c>
      <c r="E661" t="s">
        <v>669</v>
      </c>
      <c r="F661" t="s"/>
      <c r="G661" t="s"/>
      <c r="H661" t="s"/>
      <c r="I661" t="s"/>
      <c r="J661" t="n">
        <v>-0.5255</v>
      </c>
      <c r="K661" t="n">
        <v>0.159</v>
      </c>
      <c r="L661" t="n">
        <v>0.841</v>
      </c>
      <c r="M661" t="n">
        <v>0</v>
      </c>
    </row>
    <row r="662" spans="1:13">
      <c r="A662" s="1">
        <f>HYPERLINK("http://www.twitter.com/NathanBLawrence/status/992591536721420288", "992591536721420288")</f>
        <v/>
      </c>
      <c r="B662" s="2" t="n">
        <v>43225.10229166667</v>
      </c>
      <c r="C662" t="n">
        <v>0</v>
      </c>
      <c r="D662" t="n">
        <v>54</v>
      </c>
      <c r="E662" t="s">
        <v>670</v>
      </c>
      <c r="F662" t="s"/>
      <c r="G662" t="s"/>
      <c r="H662" t="s"/>
      <c r="I662" t="s"/>
      <c r="J662" t="n">
        <v>0</v>
      </c>
      <c r="K662" t="n">
        <v>0</v>
      </c>
      <c r="L662" t="n">
        <v>1</v>
      </c>
      <c r="M662" t="n">
        <v>0</v>
      </c>
    </row>
    <row r="663" spans="1:13">
      <c r="A663" s="1">
        <f>HYPERLINK("http://www.twitter.com/NathanBLawrence/status/992591511794667520", "992591511794667520")</f>
        <v/>
      </c>
      <c r="B663" s="2" t="n">
        <v>43225.10222222222</v>
      </c>
      <c r="C663" t="n">
        <v>2</v>
      </c>
      <c r="D663" t="n">
        <v>0</v>
      </c>
      <c r="E663" t="s">
        <v>671</v>
      </c>
      <c r="F663" t="s"/>
      <c r="G663" t="s"/>
      <c r="H663" t="s"/>
      <c r="I663" t="s"/>
      <c r="J663" t="n">
        <v>-0.8769</v>
      </c>
      <c r="K663" t="n">
        <v>0.602</v>
      </c>
      <c r="L663" t="n">
        <v>0.398</v>
      </c>
      <c r="M663" t="n">
        <v>0</v>
      </c>
    </row>
    <row r="664" spans="1:13">
      <c r="A664" s="1">
        <f>HYPERLINK("http://www.twitter.com/NathanBLawrence/status/992591325441773568", "992591325441773568")</f>
        <v/>
      </c>
      <c r="B664" s="2" t="n">
        <v>43225.10171296296</v>
      </c>
      <c r="C664" t="n">
        <v>0</v>
      </c>
      <c r="D664" t="n">
        <v>7</v>
      </c>
      <c r="E664" t="s">
        <v>672</v>
      </c>
      <c r="F664" t="s"/>
      <c r="G664" t="s"/>
      <c r="H664" t="s"/>
      <c r="I664" t="s"/>
      <c r="J664" t="n">
        <v>-0.6369</v>
      </c>
      <c r="K664" t="n">
        <v>0.174</v>
      </c>
      <c r="L664" t="n">
        <v>0.826</v>
      </c>
      <c r="M664" t="n">
        <v>0</v>
      </c>
    </row>
    <row r="665" spans="1:13">
      <c r="A665" s="1">
        <f>HYPERLINK("http://www.twitter.com/NathanBLawrence/status/992591305665638400", "992591305665638400")</f>
        <v/>
      </c>
      <c r="B665" s="2" t="n">
        <v>43225.10165509259</v>
      </c>
      <c r="C665" t="n">
        <v>0</v>
      </c>
      <c r="D665" t="n">
        <v>4</v>
      </c>
      <c r="E665" t="s">
        <v>673</v>
      </c>
      <c r="F665" t="s"/>
      <c r="G665" t="s"/>
      <c r="H665" t="s"/>
      <c r="I665" t="s"/>
      <c r="J665" t="n">
        <v>-0.3182</v>
      </c>
      <c r="K665" t="n">
        <v>0.091</v>
      </c>
      <c r="L665" t="n">
        <v>0.909</v>
      </c>
      <c r="M665" t="n">
        <v>0</v>
      </c>
    </row>
    <row r="666" spans="1:13">
      <c r="A666" s="1">
        <f>HYPERLINK("http://www.twitter.com/NathanBLawrence/status/992591134349283328", "992591134349283328")</f>
        <v/>
      </c>
      <c r="B666" s="2" t="n">
        <v>43225.10118055555</v>
      </c>
      <c r="C666" t="n">
        <v>0</v>
      </c>
      <c r="D666" t="n">
        <v>4</v>
      </c>
      <c r="E666" t="s">
        <v>674</v>
      </c>
      <c r="F666" t="s"/>
      <c r="G666" t="s"/>
      <c r="H666" t="s"/>
      <c r="I666" t="s"/>
      <c r="J666" t="n">
        <v>0</v>
      </c>
      <c r="K666" t="n">
        <v>0</v>
      </c>
      <c r="L666" t="n">
        <v>1</v>
      </c>
      <c r="M666" t="n">
        <v>0</v>
      </c>
    </row>
    <row r="667" spans="1:13">
      <c r="A667" s="1">
        <f>HYPERLINK("http://www.twitter.com/NathanBLawrence/status/992591104943054848", "992591104943054848")</f>
        <v/>
      </c>
      <c r="B667" s="2" t="n">
        <v>43225.10109953704</v>
      </c>
      <c r="C667" t="n">
        <v>0</v>
      </c>
      <c r="D667" t="n">
        <v>4</v>
      </c>
      <c r="E667" t="s">
        <v>675</v>
      </c>
      <c r="F667" t="s"/>
      <c r="G667" t="s"/>
      <c r="H667" t="s"/>
      <c r="I667" t="s"/>
      <c r="J667" t="n">
        <v>-0.4404</v>
      </c>
      <c r="K667" t="n">
        <v>0.121</v>
      </c>
      <c r="L667" t="n">
        <v>0.879</v>
      </c>
      <c r="M667" t="n">
        <v>0</v>
      </c>
    </row>
    <row r="668" spans="1:13">
      <c r="A668" s="1">
        <f>HYPERLINK("http://www.twitter.com/NathanBLawrence/status/992591088840998912", "992591088840998912")</f>
        <v/>
      </c>
      <c r="B668" s="2" t="n">
        <v>43225.10105324074</v>
      </c>
      <c r="C668" t="n">
        <v>0</v>
      </c>
      <c r="D668" t="n">
        <v>6</v>
      </c>
      <c r="E668" t="s">
        <v>676</v>
      </c>
      <c r="F668" t="s"/>
      <c r="G668" t="s"/>
      <c r="H668" t="s"/>
      <c r="I668" t="s"/>
      <c r="J668" t="n">
        <v>0.5319</v>
      </c>
      <c r="K668" t="n">
        <v>0</v>
      </c>
      <c r="L668" t="n">
        <v>0.783</v>
      </c>
      <c r="M668" t="n">
        <v>0.217</v>
      </c>
    </row>
    <row r="669" spans="1:13">
      <c r="A669" s="1">
        <f>HYPERLINK("http://www.twitter.com/NathanBLawrence/status/992590646014808065", "992590646014808065")</f>
        <v/>
      </c>
      <c r="B669" s="2" t="n">
        <v>43225.09983796296</v>
      </c>
      <c r="C669" t="n">
        <v>0</v>
      </c>
      <c r="D669" t="n">
        <v>10</v>
      </c>
      <c r="E669" t="s">
        <v>677</v>
      </c>
      <c r="F669" t="s"/>
      <c r="G669" t="s"/>
      <c r="H669" t="s"/>
      <c r="I669" t="s"/>
      <c r="J669" t="n">
        <v>0.5859</v>
      </c>
      <c r="K669" t="n">
        <v>0.11</v>
      </c>
      <c r="L669" t="n">
        <v>0.616</v>
      </c>
      <c r="M669" t="n">
        <v>0.274</v>
      </c>
    </row>
    <row r="670" spans="1:13">
      <c r="A670" s="1">
        <f>HYPERLINK("http://www.twitter.com/NathanBLawrence/status/992590542306533376", "992590542306533376")</f>
        <v/>
      </c>
      <c r="B670" s="2" t="n">
        <v>43225.09954861111</v>
      </c>
      <c r="C670" t="n">
        <v>0</v>
      </c>
      <c r="D670" t="n">
        <v>8</v>
      </c>
      <c r="E670" t="s">
        <v>678</v>
      </c>
      <c r="F670" t="s"/>
      <c r="G670" t="s"/>
      <c r="H670" t="s"/>
      <c r="I670" t="s"/>
      <c r="J670" t="n">
        <v>0.2023</v>
      </c>
      <c r="K670" t="n">
        <v>0.081</v>
      </c>
      <c r="L670" t="n">
        <v>0.769</v>
      </c>
      <c r="M670" t="n">
        <v>0.15</v>
      </c>
    </row>
    <row r="671" spans="1:13">
      <c r="A671" s="1">
        <f>HYPERLINK("http://www.twitter.com/NathanBLawrence/status/992590524413562882", "992590524413562882")</f>
        <v/>
      </c>
      <c r="B671" s="2" t="n">
        <v>43225.09950231481</v>
      </c>
      <c r="C671" t="n">
        <v>0</v>
      </c>
      <c r="D671" t="n">
        <v>4</v>
      </c>
      <c r="E671" t="s">
        <v>679</v>
      </c>
      <c r="F671" t="s"/>
      <c r="G671" t="s"/>
      <c r="H671" t="s"/>
      <c r="I671" t="s"/>
      <c r="J671" t="n">
        <v>0</v>
      </c>
      <c r="K671" t="n">
        <v>0.125</v>
      </c>
      <c r="L671" t="n">
        <v>0.75</v>
      </c>
      <c r="M671" t="n">
        <v>0.125</v>
      </c>
    </row>
    <row r="672" spans="1:13">
      <c r="A672" s="1">
        <f>HYPERLINK("http://www.twitter.com/NathanBLawrence/status/992590501017718784", "992590501017718784")</f>
        <v/>
      </c>
      <c r="B672" s="2" t="n">
        <v>43225.09943287037</v>
      </c>
      <c r="C672" t="n">
        <v>0</v>
      </c>
      <c r="D672" t="n">
        <v>10</v>
      </c>
      <c r="E672" t="s">
        <v>680</v>
      </c>
      <c r="F672" t="s"/>
      <c r="G672" t="s"/>
      <c r="H672" t="s"/>
      <c r="I672" t="s"/>
      <c r="J672" t="n">
        <v>0</v>
      </c>
      <c r="K672" t="n">
        <v>0</v>
      </c>
      <c r="L672" t="n">
        <v>1</v>
      </c>
      <c r="M672" t="n">
        <v>0</v>
      </c>
    </row>
    <row r="673" spans="1:13">
      <c r="A673" s="1">
        <f>HYPERLINK("http://www.twitter.com/NathanBLawrence/status/992590410798297088", "992590410798297088")</f>
        <v/>
      </c>
      <c r="B673" s="2" t="n">
        <v>43225.09918981481</v>
      </c>
      <c r="C673" t="n">
        <v>0</v>
      </c>
      <c r="D673" t="n">
        <v>10</v>
      </c>
      <c r="E673" t="s">
        <v>681</v>
      </c>
      <c r="F673">
        <f>HYPERLINK("http://pbs.twimg.com/media/DcZUsGmX0AAew3i.jpg", "http://pbs.twimg.com/media/DcZUsGmX0AAew3i.jpg")</f>
        <v/>
      </c>
      <c r="G673" t="s"/>
      <c r="H673" t="s"/>
      <c r="I673" t="s"/>
      <c r="J673" t="n">
        <v>0</v>
      </c>
      <c r="K673" t="n">
        <v>0</v>
      </c>
      <c r="L673" t="n">
        <v>1</v>
      </c>
      <c r="M673" t="n">
        <v>0</v>
      </c>
    </row>
    <row r="674" spans="1:13">
      <c r="A674" s="1">
        <f>HYPERLINK("http://www.twitter.com/NathanBLawrence/status/992590252735913990", "992590252735913990")</f>
        <v/>
      </c>
      <c r="B674" s="2" t="n">
        <v>43225.09875</v>
      </c>
      <c r="C674" t="n">
        <v>0</v>
      </c>
      <c r="D674" t="n">
        <v>5</v>
      </c>
      <c r="E674" t="s">
        <v>682</v>
      </c>
      <c r="F674" t="s"/>
      <c r="G674" t="s"/>
      <c r="H674" t="s"/>
      <c r="I674" t="s"/>
      <c r="J674" t="n">
        <v>-0.4086</v>
      </c>
      <c r="K674" t="n">
        <v>0.169</v>
      </c>
      <c r="L674" t="n">
        <v>0.748</v>
      </c>
      <c r="M674" t="n">
        <v>0.083</v>
      </c>
    </row>
    <row r="675" spans="1:13">
      <c r="A675" s="1">
        <f>HYPERLINK("http://www.twitter.com/NathanBLawrence/status/992529610284961798", "992529610284961798")</f>
        <v/>
      </c>
      <c r="B675" s="2" t="n">
        <v>43224.93141203704</v>
      </c>
      <c r="C675" t="n">
        <v>0</v>
      </c>
      <c r="D675" t="n">
        <v>0</v>
      </c>
      <c r="E675" t="s">
        <v>683</v>
      </c>
      <c r="F675" t="s"/>
      <c r="G675" t="s"/>
      <c r="H675" t="s"/>
      <c r="I675" t="s"/>
      <c r="J675" t="n">
        <v>0</v>
      </c>
      <c r="K675" t="n">
        <v>0</v>
      </c>
      <c r="L675" t="n">
        <v>1</v>
      </c>
      <c r="M675" t="n">
        <v>0</v>
      </c>
    </row>
    <row r="676" spans="1:13">
      <c r="A676" s="1">
        <f>HYPERLINK("http://www.twitter.com/NathanBLawrence/status/992529550813908993", "992529550813908993")</f>
        <v/>
      </c>
      <c r="B676" s="2" t="n">
        <v>43224.93123842592</v>
      </c>
      <c r="C676" t="n">
        <v>0</v>
      </c>
      <c r="D676" t="n">
        <v>2</v>
      </c>
      <c r="E676" t="s">
        <v>684</v>
      </c>
      <c r="F676" t="s"/>
      <c r="G676" t="s"/>
      <c r="H676" t="s"/>
      <c r="I676" t="s"/>
      <c r="J676" t="n">
        <v>0</v>
      </c>
      <c r="K676" t="n">
        <v>0</v>
      </c>
      <c r="L676" t="n">
        <v>1</v>
      </c>
      <c r="M676" t="n">
        <v>0</v>
      </c>
    </row>
    <row r="677" spans="1:13">
      <c r="A677" s="1">
        <f>HYPERLINK("http://www.twitter.com/NathanBLawrence/status/992529511009980421", "992529511009980421")</f>
        <v/>
      </c>
      <c r="B677" s="2" t="n">
        <v>43224.93113425926</v>
      </c>
      <c r="C677" t="n">
        <v>0</v>
      </c>
      <c r="D677" t="n">
        <v>283</v>
      </c>
      <c r="E677" t="s">
        <v>685</v>
      </c>
      <c r="F677" t="s"/>
      <c r="G677" t="s"/>
      <c r="H677" t="s"/>
      <c r="I677" t="s"/>
      <c r="J677" t="n">
        <v>-0.34</v>
      </c>
      <c r="K677" t="n">
        <v>0.103</v>
      </c>
      <c r="L677" t="n">
        <v>0.897</v>
      </c>
      <c r="M677" t="n">
        <v>0</v>
      </c>
    </row>
    <row r="678" spans="1:13">
      <c r="A678" s="1">
        <f>HYPERLINK("http://www.twitter.com/NathanBLawrence/status/992529486498484225", "992529486498484225")</f>
        <v/>
      </c>
      <c r="B678" s="2" t="n">
        <v>43224.93106481482</v>
      </c>
      <c r="C678" t="n">
        <v>0</v>
      </c>
      <c r="D678" t="n">
        <v>282</v>
      </c>
      <c r="E678" t="s">
        <v>686</v>
      </c>
      <c r="F678" t="s"/>
      <c r="G678" t="s"/>
      <c r="H678" t="s"/>
      <c r="I678" t="s"/>
      <c r="J678" t="n">
        <v>-0.4019</v>
      </c>
      <c r="K678" t="n">
        <v>0.206</v>
      </c>
      <c r="L678" t="n">
        <v>0.7</v>
      </c>
      <c r="M678" t="n">
        <v>0.095</v>
      </c>
    </row>
    <row r="679" spans="1:13">
      <c r="A679" s="1">
        <f>HYPERLINK("http://www.twitter.com/NathanBLawrence/status/992529366734303233", "992529366734303233")</f>
        <v/>
      </c>
      <c r="B679" s="2" t="n">
        <v>43224.93072916667</v>
      </c>
      <c r="C679" t="n">
        <v>0</v>
      </c>
      <c r="D679" t="n">
        <v>0</v>
      </c>
      <c r="E679" t="s">
        <v>687</v>
      </c>
      <c r="F679" t="s"/>
      <c r="G679" t="s"/>
      <c r="H679" t="s"/>
      <c r="I679" t="s"/>
      <c r="J679" t="n">
        <v>0.1007</v>
      </c>
      <c r="K679" t="n">
        <v>0.238</v>
      </c>
      <c r="L679" t="n">
        <v>0.5629999999999999</v>
      </c>
      <c r="M679" t="n">
        <v>0.199</v>
      </c>
    </row>
    <row r="680" spans="1:13">
      <c r="A680" s="1">
        <f>HYPERLINK("http://www.twitter.com/NathanBLawrence/status/992529264460353536", "992529264460353536")</f>
        <v/>
      </c>
      <c r="B680" s="2" t="n">
        <v>43224.93045138889</v>
      </c>
      <c r="C680" t="n">
        <v>0</v>
      </c>
      <c r="D680" t="n">
        <v>0</v>
      </c>
      <c r="E680" t="s">
        <v>688</v>
      </c>
      <c r="F680" t="s"/>
      <c r="G680" t="s"/>
      <c r="H680" t="s"/>
      <c r="I680" t="s"/>
      <c r="J680" t="n">
        <v>0.5279</v>
      </c>
      <c r="K680" t="n">
        <v>0.11</v>
      </c>
      <c r="L680" t="n">
        <v>0.711</v>
      </c>
      <c r="M680" t="n">
        <v>0.179</v>
      </c>
    </row>
    <row r="681" spans="1:13">
      <c r="A681" s="1">
        <f>HYPERLINK("http://www.twitter.com/NathanBLawrence/status/992529101918437382", "992529101918437382")</f>
        <v/>
      </c>
      <c r="B681" s="2" t="n">
        <v>43224.93</v>
      </c>
      <c r="C681" t="n">
        <v>0</v>
      </c>
      <c r="D681" t="n">
        <v>0</v>
      </c>
      <c r="E681" t="s">
        <v>689</v>
      </c>
      <c r="F681" t="s"/>
      <c r="G681" t="s"/>
      <c r="H681" t="s"/>
      <c r="I681" t="s"/>
      <c r="J681" t="n">
        <v>0.25</v>
      </c>
      <c r="K681" t="n">
        <v>0.045</v>
      </c>
      <c r="L681" t="n">
        <v>0.867</v>
      </c>
      <c r="M681" t="n">
        <v>0.08699999999999999</v>
      </c>
    </row>
    <row r="682" spans="1:13">
      <c r="A682" s="1">
        <f>HYPERLINK("http://www.twitter.com/NathanBLawrence/status/992517012072132610", "992517012072132610")</f>
        <v/>
      </c>
      <c r="B682" s="2" t="n">
        <v>43224.89664351852</v>
      </c>
      <c r="C682" t="n">
        <v>1</v>
      </c>
      <c r="D682" t="n">
        <v>0</v>
      </c>
      <c r="E682" t="s">
        <v>690</v>
      </c>
      <c r="F682" t="s"/>
      <c r="G682" t="s"/>
      <c r="H682" t="s"/>
      <c r="I682" t="s"/>
      <c r="J682" t="n">
        <v>0</v>
      </c>
      <c r="K682" t="n">
        <v>0</v>
      </c>
      <c r="L682" t="n">
        <v>1</v>
      </c>
      <c r="M682" t="n">
        <v>0</v>
      </c>
    </row>
    <row r="683" spans="1:13">
      <c r="A683" s="1">
        <f>HYPERLINK("http://www.twitter.com/NathanBLawrence/status/992516835735166976", "992516835735166976")</f>
        <v/>
      </c>
      <c r="B683" s="2" t="n">
        <v>43224.89615740741</v>
      </c>
      <c r="C683" t="n">
        <v>0</v>
      </c>
      <c r="D683" t="n">
        <v>2841</v>
      </c>
      <c r="E683" t="s">
        <v>691</v>
      </c>
      <c r="F683">
        <f>HYPERLINK("https://video.twimg.com/amplify_video/992475754951790594/vid/1280x720/1vAdrHI17x9yQg1D.mp4?tag=2", "https://video.twimg.com/amplify_video/992475754951790594/vid/1280x720/1vAdrHI17x9yQg1D.mp4?tag=2")</f>
        <v/>
      </c>
      <c r="G683" t="s"/>
      <c r="H683" t="s"/>
      <c r="I683" t="s"/>
      <c r="J683" t="n">
        <v>0.3802</v>
      </c>
      <c r="K683" t="n">
        <v>0</v>
      </c>
      <c r="L683" t="n">
        <v>0.853</v>
      </c>
      <c r="M683" t="n">
        <v>0.147</v>
      </c>
    </row>
    <row r="684" spans="1:13">
      <c r="A684" s="1">
        <f>HYPERLINK("http://www.twitter.com/NathanBLawrence/status/992516679874895873", "992516679874895873")</f>
        <v/>
      </c>
      <c r="B684" s="2" t="n">
        <v>43224.89572916667</v>
      </c>
      <c r="C684" t="n">
        <v>0</v>
      </c>
      <c r="D684" t="n">
        <v>6167</v>
      </c>
      <c r="E684" t="s">
        <v>692</v>
      </c>
      <c r="F684" t="s"/>
      <c r="G684" t="s"/>
      <c r="H684" t="s"/>
      <c r="I684" t="s"/>
      <c r="J684" t="n">
        <v>0.3818</v>
      </c>
      <c r="K684" t="n">
        <v>0</v>
      </c>
      <c r="L684" t="n">
        <v>0.894</v>
      </c>
      <c r="M684" t="n">
        <v>0.106</v>
      </c>
    </row>
    <row r="685" spans="1:13">
      <c r="A685" s="1">
        <f>HYPERLINK("http://www.twitter.com/NathanBLawrence/status/992516649998868480", "992516649998868480")</f>
        <v/>
      </c>
      <c r="B685" s="2" t="n">
        <v>43224.89564814815</v>
      </c>
      <c r="C685" t="n">
        <v>0</v>
      </c>
      <c r="D685" t="n">
        <v>3681</v>
      </c>
      <c r="E685" t="s">
        <v>693</v>
      </c>
      <c r="F685" t="s"/>
      <c r="G685" t="s"/>
      <c r="H685" t="s"/>
      <c r="I685" t="s"/>
      <c r="J685" t="n">
        <v>0</v>
      </c>
      <c r="K685" t="n">
        <v>0</v>
      </c>
      <c r="L685" t="n">
        <v>1</v>
      </c>
      <c r="M685" t="n">
        <v>0</v>
      </c>
    </row>
    <row r="686" spans="1:13">
      <c r="A686" s="1">
        <f>HYPERLINK("http://www.twitter.com/NathanBLawrence/status/992516627894808578", "992516627894808578")</f>
        <v/>
      </c>
      <c r="B686" s="2" t="n">
        <v>43224.8955787037</v>
      </c>
      <c r="C686" t="n">
        <v>0</v>
      </c>
      <c r="D686" t="n">
        <v>5</v>
      </c>
      <c r="E686" t="s">
        <v>694</v>
      </c>
      <c r="F686" t="s"/>
      <c r="G686" t="s"/>
      <c r="H686" t="s"/>
      <c r="I686" t="s"/>
      <c r="J686" t="n">
        <v>-0.2023</v>
      </c>
      <c r="K686" t="n">
        <v>0.073</v>
      </c>
      <c r="L686" t="n">
        <v>0.927</v>
      </c>
      <c r="M686" t="n">
        <v>0</v>
      </c>
    </row>
    <row r="687" spans="1:13">
      <c r="A687" s="1">
        <f>HYPERLINK("http://www.twitter.com/NathanBLawrence/status/992516478724460545", "992516478724460545")</f>
        <v/>
      </c>
      <c r="B687" s="2" t="n">
        <v>43224.89517361111</v>
      </c>
      <c r="C687" t="n">
        <v>0</v>
      </c>
      <c r="D687" t="n">
        <v>9</v>
      </c>
      <c r="E687" t="s">
        <v>695</v>
      </c>
      <c r="F687">
        <f>HYPERLINK("http://pbs.twimg.com/media/DcR5-ruW4AAKv--.jpg", "http://pbs.twimg.com/media/DcR5-ruW4AAKv--.jpg")</f>
        <v/>
      </c>
      <c r="G687" t="s"/>
      <c r="H687" t="s"/>
      <c r="I687" t="s"/>
      <c r="J687" t="n">
        <v>-0.5106000000000001</v>
      </c>
      <c r="K687" t="n">
        <v>0.217</v>
      </c>
      <c r="L687" t="n">
        <v>0.6860000000000001</v>
      </c>
      <c r="M687" t="n">
        <v>0.097</v>
      </c>
    </row>
    <row r="688" spans="1:13">
      <c r="A688" s="1">
        <f>HYPERLINK("http://www.twitter.com/NathanBLawrence/status/992516421539295234", "992516421539295234")</f>
        <v/>
      </c>
      <c r="B688" s="2" t="n">
        <v>43224.89501157407</v>
      </c>
      <c r="C688" t="n">
        <v>0</v>
      </c>
      <c r="D688" t="n">
        <v>5</v>
      </c>
      <c r="E688" t="s">
        <v>696</v>
      </c>
      <c r="F688" t="s"/>
      <c r="G688" t="s"/>
      <c r="H688" t="s"/>
      <c r="I688" t="s"/>
      <c r="J688" t="n">
        <v>-0.1531</v>
      </c>
      <c r="K688" t="n">
        <v>0.125</v>
      </c>
      <c r="L688" t="n">
        <v>0.735</v>
      </c>
      <c r="M688" t="n">
        <v>0.14</v>
      </c>
    </row>
    <row r="689" spans="1:13">
      <c r="A689" s="1">
        <f>HYPERLINK("http://www.twitter.com/NathanBLawrence/status/992516362949005312", "992516362949005312")</f>
        <v/>
      </c>
      <c r="B689" s="2" t="n">
        <v>43224.89484953704</v>
      </c>
      <c r="C689" t="n">
        <v>0</v>
      </c>
      <c r="D689" t="n">
        <v>5</v>
      </c>
      <c r="E689" t="s">
        <v>697</v>
      </c>
      <c r="F689" t="s"/>
      <c r="G689" t="s"/>
      <c r="H689" t="s"/>
      <c r="I689" t="s"/>
      <c r="J689" t="n">
        <v>0</v>
      </c>
      <c r="K689" t="n">
        <v>0</v>
      </c>
      <c r="L689" t="n">
        <v>1</v>
      </c>
      <c r="M689" t="n">
        <v>0</v>
      </c>
    </row>
    <row r="690" spans="1:13">
      <c r="A690" s="1">
        <f>HYPERLINK("http://www.twitter.com/NathanBLawrence/status/992516277615947776", "992516277615947776")</f>
        <v/>
      </c>
      <c r="B690" s="2" t="n">
        <v>43224.89461805556</v>
      </c>
      <c r="C690" t="n">
        <v>0</v>
      </c>
      <c r="D690" t="n">
        <v>8</v>
      </c>
      <c r="E690" t="s">
        <v>698</v>
      </c>
      <c r="F690" t="s"/>
      <c r="G690" t="s"/>
      <c r="H690" t="s"/>
      <c r="I690" t="s"/>
      <c r="J690" t="n">
        <v>0.9199000000000001</v>
      </c>
      <c r="K690" t="n">
        <v>0.081</v>
      </c>
      <c r="L690" t="n">
        <v>0.448</v>
      </c>
      <c r="M690" t="n">
        <v>0.471</v>
      </c>
    </row>
    <row r="691" spans="1:13">
      <c r="A691" s="1">
        <f>HYPERLINK("http://www.twitter.com/NathanBLawrence/status/992516253066645505", "992516253066645505")</f>
        <v/>
      </c>
      <c r="B691" s="2" t="n">
        <v>43224.89454861111</v>
      </c>
      <c r="C691" t="n">
        <v>0</v>
      </c>
      <c r="D691" t="n">
        <v>11</v>
      </c>
      <c r="E691" t="s">
        <v>699</v>
      </c>
      <c r="F691">
        <f>HYPERLINK("http://pbs.twimg.com/media/DcTIzzNW0AAlw3z.jpg", "http://pbs.twimg.com/media/DcTIzzNW0AAlw3z.jpg")</f>
        <v/>
      </c>
      <c r="G691" t="s"/>
      <c r="H691" t="s"/>
      <c r="I691" t="s"/>
      <c r="J691" t="n">
        <v>-0.3034</v>
      </c>
      <c r="K691" t="n">
        <v>0.238</v>
      </c>
      <c r="L691" t="n">
        <v>0.5580000000000001</v>
      </c>
      <c r="M691" t="n">
        <v>0.204</v>
      </c>
    </row>
    <row r="692" spans="1:13">
      <c r="A692" s="1">
        <f>HYPERLINK("http://www.twitter.com/NathanBLawrence/status/992516169335746560", "992516169335746560")</f>
        <v/>
      </c>
      <c r="B692" s="2" t="n">
        <v>43224.89431712963</v>
      </c>
      <c r="C692" t="n">
        <v>0</v>
      </c>
      <c r="D692" t="n">
        <v>18</v>
      </c>
      <c r="E692" t="s">
        <v>700</v>
      </c>
      <c r="F692">
        <f>HYPERLINK("http://pbs.twimg.com/media/DcPevNVUwAIDIyV.jpg", "http://pbs.twimg.com/media/DcPevNVUwAIDIyV.jpg")</f>
        <v/>
      </c>
      <c r="G692" t="s"/>
      <c r="H692" t="s"/>
      <c r="I692" t="s"/>
      <c r="J692" t="n">
        <v>0</v>
      </c>
      <c r="K692" t="n">
        <v>0</v>
      </c>
      <c r="L692" t="n">
        <v>1</v>
      </c>
      <c r="M692" t="n">
        <v>0</v>
      </c>
    </row>
    <row r="693" spans="1:13">
      <c r="A693" s="1">
        <f>HYPERLINK("http://www.twitter.com/NathanBLawrence/status/992516078155829248", "992516078155829248")</f>
        <v/>
      </c>
      <c r="B693" s="2" t="n">
        <v>43224.8940625</v>
      </c>
      <c r="C693" t="n">
        <v>0</v>
      </c>
      <c r="D693" t="n">
        <v>6</v>
      </c>
      <c r="E693" t="s">
        <v>701</v>
      </c>
      <c r="F693" t="s"/>
      <c r="G693" t="s"/>
      <c r="H693" t="s"/>
      <c r="I693" t="s"/>
      <c r="J693" t="n">
        <v>0.4019</v>
      </c>
      <c r="K693" t="n">
        <v>0</v>
      </c>
      <c r="L693" t="n">
        <v>0.886</v>
      </c>
      <c r="M693" t="n">
        <v>0.114</v>
      </c>
    </row>
    <row r="694" spans="1:13">
      <c r="A694" s="1">
        <f>HYPERLINK("http://www.twitter.com/NathanBLawrence/status/992516055837937664", "992516055837937664")</f>
        <v/>
      </c>
      <c r="B694" s="2" t="n">
        <v>43224.89400462963</v>
      </c>
      <c r="C694" t="n">
        <v>0</v>
      </c>
      <c r="D694" t="n">
        <v>5</v>
      </c>
      <c r="E694" t="s">
        <v>702</v>
      </c>
      <c r="F694">
        <f>HYPERLINK("http://pbs.twimg.com/media/DcUQcr4WsAYWJau.jpg", "http://pbs.twimg.com/media/DcUQcr4WsAYWJau.jpg")</f>
        <v/>
      </c>
      <c r="G694" t="s"/>
      <c r="H694" t="s"/>
      <c r="I694" t="s"/>
      <c r="J694" t="n">
        <v>0</v>
      </c>
      <c r="K694" t="n">
        <v>0</v>
      </c>
      <c r="L694" t="n">
        <v>1</v>
      </c>
      <c r="M694" t="n">
        <v>0</v>
      </c>
    </row>
    <row r="695" spans="1:13">
      <c r="A695" s="1">
        <f>HYPERLINK("http://www.twitter.com/NathanBLawrence/status/992515929274712065", "992515929274712065")</f>
        <v/>
      </c>
      <c r="B695" s="2" t="n">
        <v>43224.89365740741</v>
      </c>
      <c r="C695" t="n">
        <v>0</v>
      </c>
      <c r="D695" t="n">
        <v>31</v>
      </c>
      <c r="E695" t="s">
        <v>703</v>
      </c>
      <c r="F695" t="s"/>
      <c r="G695" t="s"/>
      <c r="H695" t="s"/>
      <c r="I695" t="s"/>
      <c r="J695" t="n">
        <v>-0.4927</v>
      </c>
      <c r="K695" t="n">
        <v>0.144</v>
      </c>
      <c r="L695" t="n">
        <v>0.856</v>
      </c>
      <c r="M695" t="n">
        <v>0</v>
      </c>
    </row>
    <row r="696" spans="1:13">
      <c r="A696" s="1">
        <f>HYPERLINK("http://www.twitter.com/NathanBLawrence/status/992515905132351491", "992515905132351491")</f>
        <v/>
      </c>
      <c r="B696" s="2" t="n">
        <v>43224.89358796296</v>
      </c>
      <c r="C696" t="n">
        <v>0</v>
      </c>
      <c r="D696" t="n">
        <v>13</v>
      </c>
      <c r="E696" t="s">
        <v>704</v>
      </c>
      <c r="F696">
        <f>HYPERLINK("http://pbs.twimg.com/media/DcGp-MGWAAAhVJz.jpg", "http://pbs.twimg.com/media/DcGp-MGWAAAhVJz.jpg")</f>
        <v/>
      </c>
      <c r="G696" t="s"/>
      <c r="H696" t="s"/>
      <c r="I696" t="s"/>
      <c r="J696" t="n">
        <v>0</v>
      </c>
      <c r="K696" t="n">
        <v>0</v>
      </c>
      <c r="L696" t="n">
        <v>1</v>
      </c>
      <c r="M696" t="n">
        <v>0</v>
      </c>
    </row>
    <row r="697" spans="1:13">
      <c r="A697" s="1">
        <f>HYPERLINK("http://www.twitter.com/NathanBLawrence/status/992515864502128642", "992515864502128642")</f>
        <v/>
      </c>
      <c r="B697" s="2" t="n">
        <v>43224.89347222223</v>
      </c>
      <c r="C697" t="n">
        <v>0</v>
      </c>
      <c r="D697" t="n">
        <v>10</v>
      </c>
      <c r="E697" t="s">
        <v>705</v>
      </c>
      <c r="F697">
        <f>HYPERLINK("http://pbs.twimg.com/media/DcYdFVDU0AEokT8.jpg", "http://pbs.twimg.com/media/DcYdFVDU0AEokT8.jpg")</f>
        <v/>
      </c>
      <c r="G697" t="s"/>
      <c r="H697" t="s"/>
      <c r="I697" t="s"/>
      <c r="J697" t="n">
        <v>0.8109</v>
      </c>
      <c r="K697" t="n">
        <v>0</v>
      </c>
      <c r="L697" t="n">
        <v>0.721</v>
      </c>
      <c r="M697" t="n">
        <v>0.279</v>
      </c>
    </row>
    <row r="698" spans="1:13">
      <c r="A698" s="1">
        <f>HYPERLINK("http://www.twitter.com/NathanBLawrence/status/992515575724331008", "992515575724331008")</f>
        <v/>
      </c>
      <c r="B698" s="2" t="n">
        <v>43224.89267361111</v>
      </c>
      <c r="C698" t="n">
        <v>0</v>
      </c>
      <c r="D698" t="n">
        <v>6</v>
      </c>
      <c r="E698" t="s">
        <v>706</v>
      </c>
      <c r="F698" t="s"/>
      <c r="G698" t="s"/>
      <c r="H698" t="s"/>
      <c r="I698" t="s"/>
      <c r="J698" t="n">
        <v>-0.8256</v>
      </c>
      <c r="K698" t="n">
        <v>0.354</v>
      </c>
      <c r="L698" t="n">
        <v>0.646</v>
      </c>
      <c r="M698" t="n">
        <v>0</v>
      </c>
    </row>
    <row r="699" spans="1:13">
      <c r="A699" s="1">
        <f>HYPERLINK("http://www.twitter.com/NathanBLawrence/status/992515546850709504", "992515546850709504")</f>
        <v/>
      </c>
      <c r="B699" s="2" t="n">
        <v>43224.89260416666</v>
      </c>
      <c r="C699" t="n">
        <v>0</v>
      </c>
      <c r="D699" t="n">
        <v>25</v>
      </c>
      <c r="E699" t="s">
        <v>707</v>
      </c>
      <c r="F699" t="s"/>
      <c r="G699" t="s"/>
      <c r="H699" t="s"/>
      <c r="I699" t="s"/>
      <c r="J699" t="n">
        <v>0</v>
      </c>
      <c r="K699" t="n">
        <v>0</v>
      </c>
      <c r="L699" t="n">
        <v>1</v>
      </c>
      <c r="M699" t="n">
        <v>0</v>
      </c>
    </row>
    <row r="700" spans="1:13">
      <c r="A700" s="1">
        <f>HYPERLINK("http://www.twitter.com/NathanBLawrence/status/992515466815070209", "992515466815070209")</f>
        <v/>
      </c>
      <c r="B700" s="2" t="n">
        <v>43224.89237268519</v>
      </c>
      <c r="C700" t="n">
        <v>0</v>
      </c>
      <c r="D700" t="n">
        <v>33</v>
      </c>
      <c r="E700" t="s">
        <v>708</v>
      </c>
      <c r="F700" t="s"/>
      <c r="G700" t="s"/>
      <c r="H700" t="s"/>
      <c r="I700" t="s"/>
      <c r="J700" t="n">
        <v>-0.5266999999999999</v>
      </c>
      <c r="K700" t="n">
        <v>0.145</v>
      </c>
      <c r="L700" t="n">
        <v>0.855</v>
      </c>
      <c r="M700" t="n">
        <v>0</v>
      </c>
    </row>
    <row r="701" spans="1:13">
      <c r="A701" s="1">
        <f>HYPERLINK("http://www.twitter.com/NathanBLawrence/status/992515452936097792", "992515452936097792")</f>
        <v/>
      </c>
      <c r="B701" s="2" t="n">
        <v>43224.89233796296</v>
      </c>
      <c r="C701" t="n">
        <v>0</v>
      </c>
      <c r="D701" t="n">
        <v>44</v>
      </c>
      <c r="E701" t="s">
        <v>709</v>
      </c>
      <c r="F701" t="s"/>
      <c r="G701" t="s"/>
      <c r="H701" t="s"/>
      <c r="I701" t="s"/>
      <c r="J701" t="n">
        <v>-0.5719</v>
      </c>
      <c r="K701" t="n">
        <v>0.19</v>
      </c>
      <c r="L701" t="n">
        <v>0.8100000000000001</v>
      </c>
      <c r="M701" t="n">
        <v>0</v>
      </c>
    </row>
    <row r="702" spans="1:13">
      <c r="A702" s="1">
        <f>HYPERLINK("http://www.twitter.com/NathanBLawrence/status/992515427812216832", "992515427812216832")</f>
        <v/>
      </c>
      <c r="B702" s="2" t="n">
        <v>43224.89226851852</v>
      </c>
      <c r="C702" t="n">
        <v>5</v>
      </c>
      <c r="D702" t="n">
        <v>4</v>
      </c>
      <c r="E702" t="s">
        <v>710</v>
      </c>
      <c r="F702" t="s"/>
      <c r="G702" t="s"/>
      <c r="H702" t="s"/>
      <c r="I702" t="s"/>
      <c r="J702" t="n">
        <v>0</v>
      </c>
      <c r="K702" t="n">
        <v>0</v>
      </c>
      <c r="L702" t="n">
        <v>1</v>
      </c>
      <c r="M702" t="n">
        <v>0</v>
      </c>
    </row>
    <row r="703" spans="1:13">
      <c r="A703" s="1">
        <f>HYPERLINK("http://www.twitter.com/NathanBLawrence/status/992515263047389184", "992515263047389184")</f>
        <v/>
      </c>
      <c r="B703" s="2" t="n">
        <v>43224.89181712963</v>
      </c>
      <c r="C703" t="n">
        <v>0</v>
      </c>
      <c r="D703" t="n">
        <v>42</v>
      </c>
      <c r="E703" t="s">
        <v>711</v>
      </c>
      <c r="F703" t="s"/>
      <c r="G703" t="s"/>
      <c r="H703" t="s"/>
      <c r="I703" t="s"/>
      <c r="J703" t="n">
        <v>0.3182</v>
      </c>
      <c r="K703" t="n">
        <v>0.089</v>
      </c>
      <c r="L703" t="n">
        <v>0.766</v>
      </c>
      <c r="M703" t="n">
        <v>0.145</v>
      </c>
    </row>
    <row r="704" spans="1:13">
      <c r="A704" s="1">
        <f>HYPERLINK("http://www.twitter.com/NathanBLawrence/status/992515246295306241", "992515246295306241")</f>
        <v/>
      </c>
      <c r="B704" s="2" t="n">
        <v>43224.89177083333</v>
      </c>
      <c r="C704" t="n">
        <v>0</v>
      </c>
      <c r="D704" t="n">
        <v>39</v>
      </c>
      <c r="E704" t="s">
        <v>712</v>
      </c>
      <c r="F704" t="s"/>
      <c r="G704" t="s"/>
      <c r="H704" t="s"/>
      <c r="I704" t="s"/>
      <c r="J704" t="n">
        <v>0</v>
      </c>
      <c r="K704" t="n">
        <v>0</v>
      </c>
      <c r="L704" t="n">
        <v>1</v>
      </c>
      <c r="M704" t="n">
        <v>0</v>
      </c>
    </row>
    <row r="705" spans="1:13">
      <c r="A705" s="1">
        <f>HYPERLINK("http://www.twitter.com/NathanBLawrence/status/992515227991363584", "992515227991363584")</f>
        <v/>
      </c>
      <c r="B705" s="2" t="n">
        <v>43224.89172453704</v>
      </c>
      <c r="C705" t="n">
        <v>0</v>
      </c>
      <c r="D705" t="n">
        <v>32</v>
      </c>
      <c r="E705" t="s">
        <v>713</v>
      </c>
      <c r="F705" t="s"/>
      <c r="G705" t="s"/>
      <c r="H705" t="s"/>
      <c r="I705" t="s"/>
      <c r="J705" t="n">
        <v>0</v>
      </c>
      <c r="K705" t="n">
        <v>0</v>
      </c>
      <c r="L705" t="n">
        <v>1</v>
      </c>
      <c r="M705" t="n">
        <v>0</v>
      </c>
    </row>
    <row r="706" spans="1:13">
      <c r="A706" s="1">
        <f>HYPERLINK("http://www.twitter.com/NathanBLawrence/status/992515209951670272", "992515209951670272")</f>
        <v/>
      </c>
      <c r="B706" s="2" t="n">
        <v>43224.89166666667</v>
      </c>
      <c r="C706" t="n">
        <v>0</v>
      </c>
      <c r="D706" t="n">
        <v>205</v>
      </c>
      <c r="E706" t="s">
        <v>714</v>
      </c>
      <c r="F706" t="s"/>
      <c r="G706" t="s"/>
      <c r="H706" t="s"/>
      <c r="I706" t="s"/>
      <c r="J706" t="n">
        <v>-0.4357</v>
      </c>
      <c r="K706" t="n">
        <v>0.131</v>
      </c>
      <c r="L706" t="n">
        <v>0.869</v>
      </c>
      <c r="M706" t="n">
        <v>0</v>
      </c>
    </row>
    <row r="707" spans="1:13">
      <c r="A707" s="1">
        <f>HYPERLINK("http://www.twitter.com/NathanBLawrence/status/992512406218735616", "992512406218735616")</f>
        <v/>
      </c>
      <c r="B707" s="2" t="n">
        <v>43224.88393518519</v>
      </c>
      <c r="C707" t="n">
        <v>0</v>
      </c>
      <c r="D707" t="n">
        <v>16578</v>
      </c>
      <c r="E707" t="s">
        <v>715</v>
      </c>
      <c r="F707" t="s"/>
      <c r="G707" t="s"/>
      <c r="H707" t="s"/>
      <c r="I707" t="s"/>
      <c r="J707" t="n">
        <v>0.3565</v>
      </c>
      <c r="K707" t="n">
        <v>0.051</v>
      </c>
      <c r="L707" t="n">
        <v>0.836</v>
      </c>
      <c r="M707" t="n">
        <v>0.113</v>
      </c>
    </row>
    <row r="708" spans="1:13">
      <c r="A708" s="1">
        <f>HYPERLINK("http://www.twitter.com/NathanBLawrence/status/992512355845144577", "992512355845144577")</f>
        <v/>
      </c>
      <c r="B708" s="2" t="n">
        <v>43224.88379629629</v>
      </c>
      <c r="C708" t="n">
        <v>0</v>
      </c>
      <c r="D708" t="n">
        <v>12475</v>
      </c>
      <c r="E708" t="s">
        <v>716</v>
      </c>
      <c r="F708" t="s"/>
      <c r="G708" t="s"/>
      <c r="H708" t="s"/>
      <c r="I708" t="s"/>
      <c r="J708" t="n">
        <v>0.729</v>
      </c>
      <c r="K708" t="n">
        <v>0</v>
      </c>
      <c r="L708" t="n">
        <v>0.701</v>
      </c>
      <c r="M708" t="n">
        <v>0.299</v>
      </c>
    </row>
    <row r="709" spans="1:13">
      <c r="A709" s="1">
        <f>HYPERLINK("http://www.twitter.com/NathanBLawrence/status/992512327097430016", "992512327097430016")</f>
        <v/>
      </c>
      <c r="B709" s="2" t="n">
        <v>43224.88371527778</v>
      </c>
      <c r="C709" t="n">
        <v>0</v>
      </c>
      <c r="D709" t="n">
        <v>30933</v>
      </c>
      <c r="E709" t="s">
        <v>717</v>
      </c>
      <c r="F709" t="s"/>
      <c r="G709" t="s"/>
      <c r="H709" t="s"/>
      <c r="I709" t="s"/>
      <c r="J709" t="n">
        <v>-0.8695000000000001</v>
      </c>
      <c r="K709" t="n">
        <v>0.472</v>
      </c>
      <c r="L709" t="n">
        <v>0.528</v>
      </c>
      <c r="M709" t="n">
        <v>0</v>
      </c>
    </row>
    <row r="710" spans="1:13">
      <c r="A710" s="1">
        <f>HYPERLINK("http://www.twitter.com/NathanBLawrence/status/992512310055985155", "992512310055985155")</f>
        <v/>
      </c>
      <c r="B710" s="2" t="n">
        <v>43224.88366898148</v>
      </c>
      <c r="C710" t="n">
        <v>0</v>
      </c>
      <c r="D710" t="n">
        <v>18404</v>
      </c>
      <c r="E710" t="s">
        <v>718</v>
      </c>
      <c r="F710">
        <f>HYPERLINK("https://video.twimg.com/ext_tw_video/992501842553663488/pu/vid/1280x720/5Z79u27HVGQFUonV.mp4?tag=3", "https://video.twimg.com/ext_tw_video/992501842553663488/pu/vid/1280x720/5Z79u27HVGQFUonV.mp4?tag=3")</f>
        <v/>
      </c>
      <c r="G710" t="s"/>
      <c r="H710" t="s"/>
      <c r="I710" t="s"/>
      <c r="J710" t="n">
        <v>0.8957000000000001</v>
      </c>
      <c r="K710" t="n">
        <v>0</v>
      </c>
      <c r="L710" t="n">
        <v>0.64</v>
      </c>
      <c r="M710" t="n">
        <v>0.36</v>
      </c>
    </row>
    <row r="711" spans="1:13">
      <c r="A711" s="1">
        <f>HYPERLINK("http://www.twitter.com/NathanBLawrence/status/992512266644967426", "992512266644967426")</f>
        <v/>
      </c>
      <c r="B711" s="2" t="n">
        <v>43224.88355324074</v>
      </c>
      <c r="C711" t="n">
        <v>0</v>
      </c>
      <c r="D711" t="n">
        <v>60</v>
      </c>
      <c r="E711" t="s">
        <v>719</v>
      </c>
      <c r="F711" t="s"/>
      <c r="G711" t="s"/>
      <c r="H711" t="s"/>
      <c r="I711" t="s"/>
      <c r="J711" t="n">
        <v>0</v>
      </c>
      <c r="K711" t="n">
        <v>0</v>
      </c>
      <c r="L711" t="n">
        <v>1</v>
      </c>
      <c r="M711" t="n">
        <v>0</v>
      </c>
    </row>
    <row r="712" spans="1:13">
      <c r="A712" s="1">
        <f>HYPERLINK("http://www.twitter.com/NathanBLawrence/status/992512247162339330", "992512247162339330")</f>
        <v/>
      </c>
      <c r="B712" s="2" t="n">
        <v>43224.88349537037</v>
      </c>
      <c r="C712" t="n">
        <v>0</v>
      </c>
      <c r="D712" t="n">
        <v>9692</v>
      </c>
      <c r="E712" t="s">
        <v>720</v>
      </c>
      <c r="F712" t="s"/>
      <c r="G712" t="s"/>
      <c r="H712" t="s"/>
      <c r="I712" t="s"/>
      <c r="J712" t="n">
        <v>-0.4215</v>
      </c>
      <c r="K712" t="n">
        <v>0.135</v>
      </c>
      <c r="L712" t="n">
        <v>0.865</v>
      </c>
      <c r="M712" t="n">
        <v>0</v>
      </c>
    </row>
    <row r="713" spans="1:13">
      <c r="A713" s="1">
        <f>HYPERLINK("http://www.twitter.com/NathanBLawrence/status/992512222910976001", "992512222910976001")</f>
        <v/>
      </c>
      <c r="B713" s="2" t="n">
        <v>43224.88342592592</v>
      </c>
      <c r="C713" t="n">
        <v>0</v>
      </c>
      <c r="D713" t="n">
        <v>801</v>
      </c>
      <c r="E713" t="s">
        <v>721</v>
      </c>
      <c r="F713">
        <f>HYPERLINK("http://pbs.twimg.com/media/DcYLvGPWAAEeKqn.jpg", "http://pbs.twimg.com/media/DcYLvGPWAAEeKqn.jpg")</f>
        <v/>
      </c>
      <c r="G713" t="s"/>
      <c r="H713" t="s"/>
      <c r="I713" t="s"/>
      <c r="J713" t="n">
        <v>0.6289</v>
      </c>
      <c r="K713" t="n">
        <v>0</v>
      </c>
      <c r="L713" t="n">
        <v>0.772</v>
      </c>
      <c r="M713" t="n">
        <v>0.228</v>
      </c>
    </row>
    <row r="714" spans="1:13">
      <c r="A714" s="1">
        <f>HYPERLINK("http://www.twitter.com/NathanBLawrence/status/992512204229500928", "992512204229500928")</f>
        <v/>
      </c>
      <c r="B714" s="2" t="n">
        <v>43224.88337962963</v>
      </c>
      <c r="C714" t="n">
        <v>0</v>
      </c>
      <c r="D714" t="n">
        <v>179</v>
      </c>
      <c r="E714" t="s">
        <v>722</v>
      </c>
      <c r="F714" t="s"/>
      <c r="G714" t="s"/>
      <c r="H714" t="s"/>
      <c r="I714" t="s"/>
      <c r="J714" t="n">
        <v>-0.34</v>
      </c>
      <c r="K714" t="n">
        <v>0.103</v>
      </c>
      <c r="L714" t="n">
        <v>0.897</v>
      </c>
      <c r="M714" t="n">
        <v>0</v>
      </c>
    </row>
    <row r="715" spans="1:13">
      <c r="A715" s="1">
        <f>HYPERLINK("http://www.twitter.com/NathanBLawrence/status/992512179244011520", "992512179244011520")</f>
        <v/>
      </c>
      <c r="B715" s="2" t="n">
        <v>43224.88331018519</v>
      </c>
      <c r="C715" t="n">
        <v>0</v>
      </c>
      <c r="D715" t="n">
        <v>29</v>
      </c>
      <c r="E715" t="s">
        <v>723</v>
      </c>
      <c r="F715">
        <f>HYPERLINK("http://pbs.twimg.com/media/DcWoQ_3VwAELccz.jpg", "http://pbs.twimg.com/media/DcWoQ_3VwAELccz.jpg")</f>
        <v/>
      </c>
      <c r="G715">
        <f>HYPERLINK("http://pbs.twimg.com/media/DcWoQ_3U8AADiJg.jpg", "http://pbs.twimg.com/media/DcWoQ_3U8AADiJg.jpg")</f>
        <v/>
      </c>
      <c r="H715" t="s"/>
      <c r="I715" t="s"/>
      <c r="J715" t="n">
        <v>-0.4404</v>
      </c>
      <c r="K715" t="n">
        <v>0.121</v>
      </c>
      <c r="L715" t="n">
        <v>0.83</v>
      </c>
      <c r="M715" t="n">
        <v>0.049</v>
      </c>
    </row>
    <row r="716" spans="1:13">
      <c r="A716" s="1">
        <f>HYPERLINK("http://www.twitter.com/NathanBLawrence/status/992507477945212928", "992507477945212928")</f>
        <v/>
      </c>
      <c r="B716" s="2" t="n">
        <v>43224.87033564815</v>
      </c>
      <c r="C716" t="n">
        <v>0</v>
      </c>
      <c r="D716" t="n">
        <v>263</v>
      </c>
      <c r="E716" t="s">
        <v>724</v>
      </c>
      <c r="F716" t="s"/>
      <c r="G716" t="s"/>
      <c r="H716" t="s"/>
      <c r="I716" t="s"/>
      <c r="J716" t="n">
        <v>0.7003</v>
      </c>
      <c r="K716" t="n">
        <v>0</v>
      </c>
      <c r="L716" t="n">
        <v>0.791</v>
      </c>
      <c r="M716" t="n">
        <v>0.209</v>
      </c>
    </row>
    <row r="717" spans="1:13">
      <c r="A717" s="1">
        <f>HYPERLINK("http://www.twitter.com/NathanBLawrence/status/992501747145957376", "992501747145957376")</f>
        <v/>
      </c>
      <c r="B717" s="2" t="n">
        <v>43224.85451388889</v>
      </c>
      <c r="C717" t="n">
        <v>0</v>
      </c>
      <c r="D717" t="n">
        <v>0</v>
      </c>
      <c r="E717" t="s">
        <v>725</v>
      </c>
      <c r="F717" t="s"/>
      <c r="G717" t="s"/>
      <c r="H717" t="s"/>
      <c r="I717" t="s"/>
      <c r="J717" t="n">
        <v>-0.516</v>
      </c>
      <c r="K717" t="n">
        <v>0.233</v>
      </c>
      <c r="L717" t="n">
        <v>0.767</v>
      </c>
      <c r="M717" t="n">
        <v>0</v>
      </c>
    </row>
    <row r="718" spans="1:13">
      <c r="A718" s="1">
        <f>HYPERLINK("http://www.twitter.com/NathanBLawrence/status/992496261872996352", "992496261872996352")</f>
        <v/>
      </c>
      <c r="B718" s="2" t="n">
        <v>43224.83938657407</v>
      </c>
      <c r="C718" t="n">
        <v>0</v>
      </c>
      <c r="D718" t="n">
        <v>1370</v>
      </c>
      <c r="E718" t="s">
        <v>726</v>
      </c>
      <c r="F718" t="s"/>
      <c r="G718" t="s"/>
      <c r="H718" t="s"/>
      <c r="I718" t="s"/>
      <c r="J718" t="n">
        <v>0.8225</v>
      </c>
      <c r="K718" t="n">
        <v>0.079</v>
      </c>
      <c r="L718" t="n">
        <v>0.536</v>
      </c>
      <c r="M718" t="n">
        <v>0.386</v>
      </c>
    </row>
    <row r="719" spans="1:13">
      <c r="A719" s="1">
        <f>HYPERLINK("http://www.twitter.com/NathanBLawrence/status/992496234173779969", "992496234173779969")</f>
        <v/>
      </c>
      <c r="B719" s="2" t="n">
        <v>43224.83930555556</v>
      </c>
      <c r="C719" t="n">
        <v>0</v>
      </c>
      <c r="D719" t="n">
        <v>271</v>
      </c>
      <c r="E719" t="s">
        <v>727</v>
      </c>
      <c r="F719" t="s"/>
      <c r="G719" t="s"/>
      <c r="H719" t="s"/>
      <c r="I719" t="s"/>
      <c r="J719" t="n">
        <v>0.6597</v>
      </c>
      <c r="K719" t="n">
        <v>0</v>
      </c>
      <c r="L719" t="n">
        <v>0.748</v>
      </c>
      <c r="M719" t="n">
        <v>0.252</v>
      </c>
    </row>
    <row r="720" spans="1:13">
      <c r="A720" s="1">
        <f>HYPERLINK("http://www.twitter.com/NathanBLawrence/status/992496213030326276", "992496213030326276")</f>
        <v/>
      </c>
      <c r="B720" s="2" t="n">
        <v>43224.83924768519</v>
      </c>
      <c r="C720" t="n">
        <v>0</v>
      </c>
      <c r="D720" t="n">
        <v>200</v>
      </c>
      <c r="E720" t="s">
        <v>728</v>
      </c>
      <c r="F720" t="s"/>
      <c r="G720" t="s"/>
      <c r="H720" t="s"/>
      <c r="I720" t="s"/>
      <c r="J720" t="n">
        <v>0.5994</v>
      </c>
      <c r="K720" t="n">
        <v>0</v>
      </c>
      <c r="L720" t="n">
        <v>0.795</v>
      </c>
      <c r="M720" t="n">
        <v>0.205</v>
      </c>
    </row>
    <row r="721" spans="1:13">
      <c r="A721" s="1">
        <f>HYPERLINK("http://www.twitter.com/NathanBLawrence/status/992496188959133698", "992496188959133698")</f>
        <v/>
      </c>
      <c r="B721" s="2" t="n">
        <v>43224.83917824074</v>
      </c>
      <c r="C721" t="n">
        <v>0</v>
      </c>
      <c r="D721" t="n">
        <v>44</v>
      </c>
      <c r="E721" t="s">
        <v>729</v>
      </c>
      <c r="F721">
        <f>HYPERLINK("http://pbs.twimg.com/media/DcXMw68WkAEJanS.jpg", "http://pbs.twimg.com/media/DcXMw68WkAEJanS.jpg")</f>
        <v/>
      </c>
      <c r="G721" t="s"/>
      <c r="H721" t="s"/>
      <c r="I721" t="s"/>
      <c r="J721" t="n">
        <v>-0.5574</v>
      </c>
      <c r="K721" t="n">
        <v>0.205</v>
      </c>
      <c r="L721" t="n">
        <v>0.795</v>
      </c>
      <c r="M721" t="n">
        <v>0</v>
      </c>
    </row>
    <row r="722" spans="1:13">
      <c r="A722" s="1">
        <f>HYPERLINK("http://www.twitter.com/NathanBLawrence/status/992496140422668290", "992496140422668290")</f>
        <v/>
      </c>
      <c r="B722" s="2" t="n">
        <v>43224.83905092593</v>
      </c>
      <c r="C722" t="n">
        <v>0</v>
      </c>
      <c r="D722" t="n">
        <v>1819</v>
      </c>
      <c r="E722" t="s">
        <v>730</v>
      </c>
      <c r="F722" t="s"/>
      <c r="G722" t="s"/>
      <c r="H722" t="s"/>
      <c r="I722" t="s"/>
      <c r="J722" t="n">
        <v>0</v>
      </c>
      <c r="K722" t="n">
        <v>0</v>
      </c>
      <c r="L722" t="n">
        <v>1</v>
      </c>
      <c r="M722" t="n">
        <v>0</v>
      </c>
    </row>
    <row r="723" spans="1:13">
      <c r="A723" s="1">
        <f>HYPERLINK("http://www.twitter.com/NathanBLawrence/status/992496113038118914", "992496113038118914")</f>
        <v/>
      </c>
      <c r="B723" s="2" t="n">
        <v>43224.83896990741</v>
      </c>
      <c r="C723" t="n">
        <v>0</v>
      </c>
      <c r="D723" t="n">
        <v>9177</v>
      </c>
      <c r="E723" t="s">
        <v>731</v>
      </c>
      <c r="F723">
        <f>HYPERLINK("http://pbs.twimg.com/media/DcUorFKU0AAbm-w.jpg", "http://pbs.twimg.com/media/DcUorFKU0AAbm-w.jpg")</f>
        <v/>
      </c>
      <c r="G723" t="s"/>
      <c r="H723" t="s"/>
      <c r="I723" t="s"/>
      <c r="J723" t="n">
        <v>0.5106000000000001</v>
      </c>
      <c r="K723" t="n">
        <v>0</v>
      </c>
      <c r="L723" t="n">
        <v>0.852</v>
      </c>
      <c r="M723" t="n">
        <v>0.148</v>
      </c>
    </row>
    <row r="724" spans="1:13">
      <c r="A724" s="1">
        <f>HYPERLINK("http://www.twitter.com/NathanBLawrence/status/992496092582481920", "992496092582481920")</f>
        <v/>
      </c>
      <c r="B724" s="2" t="n">
        <v>43224.83891203703</v>
      </c>
      <c r="C724" t="n">
        <v>0</v>
      </c>
      <c r="D724" t="n">
        <v>1234</v>
      </c>
      <c r="E724" t="s">
        <v>732</v>
      </c>
      <c r="F724">
        <f>HYPERLINK("http://pbs.twimg.com/media/DcW4XxRVAAARdKt.jpg", "http://pbs.twimg.com/media/DcW4XxRVAAARdKt.jpg")</f>
        <v/>
      </c>
      <c r="G724" t="s"/>
      <c r="H724" t="s"/>
      <c r="I724" t="s"/>
      <c r="J724" t="n">
        <v>0.5292</v>
      </c>
      <c r="K724" t="n">
        <v>0</v>
      </c>
      <c r="L724" t="n">
        <v>0.854</v>
      </c>
      <c r="M724" t="n">
        <v>0.146</v>
      </c>
    </row>
    <row r="725" spans="1:13">
      <c r="A725" s="1">
        <f>HYPERLINK("http://www.twitter.com/NathanBLawrence/status/992495912554565637", "992495912554565637")</f>
        <v/>
      </c>
      <c r="B725" s="2" t="n">
        <v>43224.83841435185</v>
      </c>
      <c r="C725" t="n">
        <v>1</v>
      </c>
      <c r="D725" t="n">
        <v>1</v>
      </c>
      <c r="E725" t="s">
        <v>733</v>
      </c>
      <c r="F725" t="s"/>
      <c r="G725" t="s"/>
      <c r="H725" t="s"/>
      <c r="I725" t="s"/>
      <c r="J725" t="n">
        <v>0</v>
      </c>
      <c r="K725" t="n">
        <v>0</v>
      </c>
      <c r="L725" t="n">
        <v>1</v>
      </c>
      <c r="M725" t="n">
        <v>0</v>
      </c>
    </row>
    <row r="726" spans="1:13">
      <c r="A726" s="1">
        <f>HYPERLINK("http://www.twitter.com/NathanBLawrence/status/992495273044824065", "992495273044824065")</f>
        <v/>
      </c>
      <c r="B726" s="2" t="n">
        <v>43224.83665509259</v>
      </c>
      <c r="C726" t="n">
        <v>0</v>
      </c>
      <c r="D726" t="n">
        <v>4574</v>
      </c>
      <c r="E726" t="s">
        <v>734</v>
      </c>
      <c r="F726" t="s"/>
      <c r="G726" t="s"/>
      <c r="H726" t="s"/>
      <c r="I726" t="s"/>
      <c r="J726" t="n">
        <v>0.296</v>
      </c>
      <c r="K726" t="n">
        <v>0</v>
      </c>
      <c r="L726" t="n">
        <v>0.872</v>
      </c>
      <c r="M726" t="n">
        <v>0.128</v>
      </c>
    </row>
    <row r="727" spans="1:13">
      <c r="A727" s="1">
        <f>HYPERLINK("http://www.twitter.com/NathanBLawrence/status/992495246641594374", "992495246641594374")</f>
        <v/>
      </c>
      <c r="B727" s="2" t="n">
        <v>43224.83658564815</v>
      </c>
      <c r="C727" t="n">
        <v>0</v>
      </c>
      <c r="D727" t="n">
        <v>1</v>
      </c>
      <c r="E727" t="s">
        <v>735</v>
      </c>
      <c r="F727" t="s"/>
      <c r="G727" t="s"/>
      <c r="H727" t="s"/>
      <c r="I727" t="s"/>
      <c r="J727" t="n">
        <v>0</v>
      </c>
      <c r="K727" t="n">
        <v>0</v>
      </c>
      <c r="L727" t="n">
        <v>1</v>
      </c>
      <c r="M727" t="n">
        <v>0</v>
      </c>
    </row>
    <row r="728" spans="1:13">
      <c r="A728" s="1">
        <f>HYPERLINK("http://www.twitter.com/NathanBLawrence/status/992495182229753856", "992495182229753856")</f>
        <v/>
      </c>
      <c r="B728" s="2" t="n">
        <v>43224.83640046296</v>
      </c>
      <c r="C728" t="n">
        <v>0</v>
      </c>
      <c r="D728" t="n">
        <v>274</v>
      </c>
      <c r="E728" t="s">
        <v>736</v>
      </c>
      <c r="F728" t="s"/>
      <c r="G728" t="s"/>
      <c r="H728" t="s"/>
      <c r="I728" t="s"/>
      <c r="J728" t="n">
        <v>-0.296</v>
      </c>
      <c r="K728" t="n">
        <v>0.08400000000000001</v>
      </c>
      <c r="L728" t="n">
        <v>0.916</v>
      </c>
      <c r="M728" t="n">
        <v>0</v>
      </c>
    </row>
    <row r="729" spans="1:13">
      <c r="A729" s="1">
        <f>HYPERLINK("http://www.twitter.com/NathanBLawrence/status/992493497239425024", "992493497239425024")</f>
        <v/>
      </c>
      <c r="B729" s="2" t="n">
        <v>43224.83175925926</v>
      </c>
      <c r="C729" t="n">
        <v>0</v>
      </c>
      <c r="D729" t="n">
        <v>5</v>
      </c>
      <c r="E729" t="s">
        <v>737</v>
      </c>
      <c r="F729" t="s"/>
      <c r="G729" t="s"/>
      <c r="H729" t="s"/>
      <c r="I729" t="s"/>
      <c r="J729" t="n">
        <v>0.2263</v>
      </c>
      <c r="K729" t="n">
        <v>0.11</v>
      </c>
      <c r="L729" t="n">
        <v>0.709</v>
      </c>
      <c r="M729" t="n">
        <v>0.181</v>
      </c>
    </row>
    <row r="730" spans="1:13">
      <c r="A730" s="1">
        <f>HYPERLINK("http://www.twitter.com/NathanBLawrence/status/992493480781012996", "992493480781012996")</f>
        <v/>
      </c>
      <c r="B730" s="2" t="n">
        <v>43224.83171296296</v>
      </c>
      <c r="C730" t="n">
        <v>0</v>
      </c>
      <c r="D730" t="n">
        <v>6</v>
      </c>
      <c r="E730" t="s">
        <v>738</v>
      </c>
      <c r="F730" t="s"/>
      <c r="G730" t="s"/>
      <c r="H730" t="s"/>
      <c r="I730" t="s"/>
      <c r="J730" t="n">
        <v>-0.25</v>
      </c>
      <c r="K730" t="n">
        <v>0.105</v>
      </c>
      <c r="L730" t="n">
        <v>0.895</v>
      </c>
      <c r="M730" t="n">
        <v>0</v>
      </c>
    </row>
    <row r="731" spans="1:13">
      <c r="A731" s="1">
        <f>HYPERLINK("http://www.twitter.com/NathanBLawrence/status/992493462632181760", "992493462632181760")</f>
        <v/>
      </c>
      <c r="B731" s="2" t="n">
        <v>43224.8316550926</v>
      </c>
      <c r="C731" t="n">
        <v>3</v>
      </c>
      <c r="D731" t="n">
        <v>0</v>
      </c>
      <c r="E731" t="s">
        <v>739</v>
      </c>
      <c r="F731" t="s"/>
      <c r="G731" t="s"/>
      <c r="H731" t="s"/>
      <c r="I731" t="s"/>
      <c r="J731" t="n">
        <v>-0.3612</v>
      </c>
      <c r="K731" t="n">
        <v>0.333</v>
      </c>
      <c r="L731" t="n">
        <v>0.667</v>
      </c>
      <c r="M731" t="n">
        <v>0</v>
      </c>
    </row>
    <row r="732" spans="1:13">
      <c r="A732" s="1">
        <f>HYPERLINK("http://www.twitter.com/NathanBLawrence/status/992493384471318529", "992493384471318529")</f>
        <v/>
      </c>
      <c r="B732" s="2" t="n">
        <v>43224.83144675926</v>
      </c>
      <c r="C732" t="n">
        <v>0</v>
      </c>
      <c r="D732" t="n">
        <v>3</v>
      </c>
      <c r="E732" t="s">
        <v>740</v>
      </c>
      <c r="F732" t="s"/>
      <c r="G732" t="s"/>
      <c r="H732" t="s"/>
      <c r="I732" t="s"/>
      <c r="J732" t="n">
        <v>-0.5574</v>
      </c>
      <c r="K732" t="n">
        <v>0.195</v>
      </c>
      <c r="L732" t="n">
        <v>0.805</v>
      </c>
      <c r="M732" t="n">
        <v>0</v>
      </c>
    </row>
    <row r="733" spans="1:13">
      <c r="A733" s="1">
        <f>HYPERLINK("http://www.twitter.com/NathanBLawrence/status/992493375764008962", "992493375764008962")</f>
        <v/>
      </c>
      <c r="B733" s="2" t="n">
        <v>43224.83142361111</v>
      </c>
      <c r="C733" t="n">
        <v>0</v>
      </c>
      <c r="D733" t="n">
        <v>2</v>
      </c>
      <c r="E733" t="s">
        <v>741</v>
      </c>
      <c r="F733" t="s"/>
      <c r="G733" t="s"/>
      <c r="H733" t="s"/>
      <c r="I733" t="s"/>
      <c r="J733" t="n">
        <v>0</v>
      </c>
      <c r="K733" t="n">
        <v>0</v>
      </c>
      <c r="L733" t="n">
        <v>1</v>
      </c>
      <c r="M733" t="n">
        <v>0</v>
      </c>
    </row>
    <row r="734" spans="1:13">
      <c r="A734" s="1">
        <f>HYPERLINK("http://www.twitter.com/NathanBLawrence/status/992493280511307777", "992493280511307777")</f>
        <v/>
      </c>
      <c r="B734" s="2" t="n">
        <v>43224.83115740741</v>
      </c>
      <c r="C734" t="n">
        <v>0</v>
      </c>
      <c r="D734" t="n">
        <v>3</v>
      </c>
      <c r="E734" t="s">
        <v>742</v>
      </c>
      <c r="F734" t="s"/>
      <c r="G734" t="s"/>
      <c r="H734" t="s"/>
      <c r="I734" t="s"/>
      <c r="J734" t="n">
        <v>0</v>
      </c>
      <c r="K734" t="n">
        <v>0</v>
      </c>
      <c r="L734" t="n">
        <v>1</v>
      </c>
      <c r="M734" t="n">
        <v>0</v>
      </c>
    </row>
    <row r="735" spans="1:13">
      <c r="A735" s="1">
        <f>HYPERLINK("http://www.twitter.com/NathanBLawrence/status/992493128123932672", "992493128123932672")</f>
        <v/>
      </c>
      <c r="B735" s="2" t="n">
        <v>43224.83074074074</v>
      </c>
      <c r="C735" t="n">
        <v>0</v>
      </c>
      <c r="D735" t="n">
        <v>1</v>
      </c>
      <c r="E735" t="s">
        <v>743</v>
      </c>
      <c r="F735" t="s"/>
      <c r="G735" t="s"/>
      <c r="H735" t="s"/>
      <c r="I735" t="s"/>
      <c r="J735" t="n">
        <v>0</v>
      </c>
      <c r="K735" t="n">
        <v>0</v>
      </c>
      <c r="L735" t="n">
        <v>1</v>
      </c>
      <c r="M735" t="n">
        <v>0</v>
      </c>
    </row>
    <row r="736" spans="1:13">
      <c r="A736" s="1">
        <f>HYPERLINK("http://www.twitter.com/NathanBLawrence/status/992492940718170112", "992492940718170112")</f>
        <v/>
      </c>
      <c r="B736" s="2" t="n">
        <v>43224.83021990741</v>
      </c>
      <c r="C736" t="n">
        <v>0</v>
      </c>
      <c r="D736" t="n">
        <v>6</v>
      </c>
      <c r="E736" t="s">
        <v>744</v>
      </c>
      <c r="F736" t="s"/>
      <c r="G736" t="s"/>
      <c r="H736" t="s"/>
      <c r="I736" t="s"/>
      <c r="J736" t="n">
        <v>0.5319</v>
      </c>
      <c r="K736" t="n">
        <v>0.058</v>
      </c>
      <c r="L736" t="n">
        <v>0.743</v>
      </c>
      <c r="M736" t="n">
        <v>0.199</v>
      </c>
    </row>
    <row r="737" spans="1:13">
      <c r="A737" s="1">
        <f>HYPERLINK("http://www.twitter.com/NathanBLawrence/status/992491258986811394", "992491258986811394")</f>
        <v/>
      </c>
      <c r="B737" s="2" t="n">
        <v>43224.82557870371</v>
      </c>
      <c r="C737" t="n">
        <v>1</v>
      </c>
      <c r="D737" t="n">
        <v>0</v>
      </c>
      <c r="E737" t="s">
        <v>745</v>
      </c>
      <c r="F737" t="s"/>
      <c r="G737" t="s"/>
      <c r="H737" t="s"/>
      <c r="I737" t="s"/>
      <c r="J737" t="n">
        <v>0.1926</v>
      </c>
      <c r="K737" t="n">
        <v>0.113</v>
      </c>
      <c r="L737" t="n">
        <v>0.748</v>
      </c>
      <c r="M737" t="n">
        <v>0.139</v>
      </c>
    </row>
    <row r="738" spans="1:13">
      <c r="A738" s="1">
        <f>HYPERLINK("http://www.twitter.com/NathanBLawrence/status/992491107547340804", "992491107547340804")</f>
        <v/>
      </c>
      <c r="B738" s="2" t="n">
        <v>43224.82516203704</v>
      </c>
      <c r="C738" t="n">
        <v>0</v>
      </c>
      <c r="D738" t="n">
        <v>3</v>
      </c>
      <c r="E738" t="s">
        <v>746</v>
      </c>
      <c r="F738" t="s"/>
      <c r="G738" t="s"/>
      <c r="H738" t="s"/>
      <c r="I738" t="s"/>
      <c r="J738" t="n">
        <v>0.25</v>
      </c>
      <c r="K738" t="n">
        <v>0.191</v>
      </c>
      <c r="L738" t="n">
        <v>0.515</v>
      </c>
      <c r="M738" t="n">
        <v>0.294</v>
      </c>
    </row>
    <row r="739" spans="1:13">
      <c r="A739" s="1">
        <f>HYPERLINK("http://www.twitter.com/NathanBLawrence/status/992491071530848259", "992491071530848259")</f>
        <v/>
      </c>
      <c r="B739" s="2" t="n">
        <v>43224.82505787037</v>
      </c>
      <c r="C739" t="n">
        <v>0</v>
      </c>
      <c r="D739" t="n">
        <v>3</v>
      </c>
      <c r="E739" t="s">
        <v>747</v>
      </c>
      <c r="F739" t="s"/>
      <c r="G739" t="s"/>
      <c r="H739" t="s"/>
      <c r="I739" t="s"/>
      <c r="J739" t="n">
        <v>0</v>
      </c>
      <c r="K739" t="n">
        <v>0</v>
      </c>
      <c r="L739" t="n">
        <v>1</v>
      </c>
      <c r="M739" t="n">
        <v>0</v>
      </c>
    </row>
    <row r="740" spans="1:13">
      <c r="A740" s="1">
        <f>HYPERLINK("http://www.twitter.com/NathanBLawrence/status/992491035120095233", "992491035120095233")</f>
        <v/>
      </c>
      <c r="B740" s="2" t="n">
        <v>43224.82496527778</v>
      </c>
      <c r="C740" t="n">
        <v>0</v>
      </c>
      <c r="D740" t="n">
        <v>3</v>
      </c>
      <c r="E740" t="s">
        <v>748</v>
      </c>
      <c r="F740" t="s"/>
      <c r="G740" t="s"/>
      <c r="H740" t="s"/>
      <c r="I740" t="s"/>
      <c r="J740" t="n">
        <v>0</v>
      </c>
      <c r="K740" t="n">
        <v>0</v>
      </c>
      <c r="L740" t="n">
        <v>1</v>
      </c>
      <c r="M740" t="n">
        <v>0</v>
      </c>
    </row>
    <row r="741" spans="1:13">
      <c r="A741" s="1">
        <f>HYPERLINK("http://www.twitter.com/NathanBLawrence/status/992490985300078592", "992490985300078592")</f>
        <v/>
      </c>
      <c r="B741" s="2" t="n">
        <v>43224.82482638889</v>
      </c>
      <c r="C741" t="n">
        <v>0</v>
      </c>
      <c r="D741" t="n">
        <v>7</v>
      </c>
      <c r="E741" t="s">
        <v>749</v>
      </c>
      <c r="F741" t="s"/>
      <c r="G741" t="s"/>
      <c r="H741" t="s"/>
      <c r="I741" t="s"/>
      <c r="J741" t="n">
        <v>-0.4003</v>
      </c>
      <c r="K741" t="n">
        <v>0.183</v>
      </c>
      <c r="L741" t="n">
        <v>0.8169999999999999</v>
      </c>
      <c r="M741" t="n">
        <v>0</v>
      </c>
    </row>
    <row r="742" spans="1:13">
      <c r="A742" s="1">
        <f>HYPERLINK("http://www.twitter.com/NathanBLawrence/status/992490960612413441", "992490960612413441")</f>
        <v/>
      </c>
      <c r="B742" s="2" t="n">
        <v>43224.82475694444</v>
      </c>
      <c r="C742" t="n">
        <v>0</v>
      </c>
      <c r="D742" t="n">
        <v>4</v>
      </c>
      <c r="E742" t="s">
        <v>750</v>
      </c>
      <c r="F742" t="s"/>
      <c r="G742" t="s"/>
      <c r="H742" t="s"/>
      <c r="I742" t="s"/>
      <c r="J742" t="n">
        <v>-0.7148</v>
      </c>
      <c r="K742" t="n">
        <v>0.166</v>
      </c>
      <c r="L742" t="n">
        <v>0.834</v>
      </c>
      <c r="M742" t="n">
        <v>0</v>
      </c>
    </row>
    <row r="743" spans="1:13">
      <c r="A743" s="1">
        <f>HYPERLINK("http://www.twitter.com/NathanBLawrence/status/992490816282267648", "992490816282267648")</f>
        <v/>
      </c>
      <c r="B743" s="2" t="n">
        <v>43224.82435185185</v>
      </c>
      <c r="C743" t="n">
        <v>0</v>
      </c>
      <c r="D743" t="n">
        <v>2</v>
      </c>
      <c r="E743" t="s">
        <v>751</v>
      </c>
      <c r="F743" t="s"/>
      <c r="G743" t="s"/>
      <c r="H743" t="s"/>
      <c r="I743" t="s"/>
      <c r="J743" t="n">
        <v>0.0772</v>
      </c>
      <c r="K743" t="n">
        <v>0.172</v>
      </c>
      <c r="L743" t="n">
        <v>0.681</v>
      </c>
      <c r="M743" t="n">
        <v>0.147</v>
      </c>
    </row>
    <row r="744" spans="1:13">
      <c r="A744" s="1">
        <f>HYPERLINK("http://www.twitter.com/NathanBLawrence/status/992490785466671104", "992490785466671104")</f>
        <v/>
      </c>
      <c r="B744" s="2" t="n">
        <v>43224.82427083333</v>
      </c>
      <c r="C744" t="n">
        <v>0</v>
      </c>
      <c r="D744" t="n">
        <v>5</v>
      </c>
      <c r="E744" t="s">
        <v>752</v>
      </c>
      <c r="F744" t="s"/>
      <c r="G744" t="s"/>
      <c r="H744" t="s"/>
      <c r="I744" t="s"/>
      <c r="J744" t="n">
        <v>0.4753</v>
      </c>
      <c r="K744" t="n">
        <v>0</v>
      </c>
      <c r="L744" t="n">
        <v>0.886</v>
      </c>
      <c r="M744" t="n">
        <v>0.114</v>
      </c>
    </row>
    <row r="745" spans="1:13">
      <c r="A745" s="1">
        <f>HYPERLINK("http://www.twitter.com/NathanBLawrence/status/992490738981187585", "992490738981187585")</f>
        <v/>
      </c>
      <c r="B745" s="2" t="n">
        <v>43224.82414351852</v>
      </c>
      <c r="C745" t="n">
        <v>0</v>
      </c>
      <c r="D745" t="n">
        <v>9</v>
      </c>
      <c r="E745" t="s">
        <v>753</v>
      </c>
      <c r="F745" t="s"/>
      <c r="G745" t="s"/>
      <c r="H745" t="s"/>
      <c r="I745" t="s"/>
      <c r="J745" t="n">
        <v>0</v>
      </c>
      <c r="K745" t="n">
        <v>0</v>
      </c>
      <c r="L745" t="n">
        <v>1</v>
      </c>
      <c r="M745" t="n">
        <v>0</v>
      </c>
    </row>
    <row r="746" spans="1:13">
      <c r="A746" s="1">
        <f>HYPERLINK("http://www.twitter.com/NathanBLawrence/status/992490721721700353", "992490721721700353")</f>
        <v/>
      </c>
      <c r="B746" s="2" t="n">
        <v>43224.82409722222</v>
      </c>
      <c r="C746" t="n">
        <v>5</v>
      </c>
      <c r="D746" t="n">
        <v>3</v>
      </c>
      <c r="E746" t="s">
        <v>754</v>
      </c>
      <c r="F746" t="s"/>
      <c r="G746" t="s"/>
      <c r="H746" t="s"/>
      <c r="I746" t="s"/>
      <c r="J746" t="n">
        <v>0.25</v>
      </c>
      <c r="K746" t="n">
        <v>0.213</v>
      </c>
      <c r="L746" t="n">
        <v>0.46</v>
      </c>
      <c r="M746" t="n">
        <v>0.328</v>
      </c>
    </row>
    <row r="747" spans="1:13">
      <c r="A747" s="1">
        <f>HYPERLINK("http://www.twitter.com/NathanBLawrence/status/992490653430009857", "992490653430009857")</f>
        <v/>
      </c>
      <c r="B747" s="2" t="n">
        <v>43224.82391203703</v>
      </c>
      <c r="C747" t="n">
        <v>0</v>
      </c>
      <c r="D747" t="n">
        <v>13</v>
      </c>
      <c r="E747" t="s">
        <v>755</v>
      </c>
      <c r="F747" t="s"/>
      <c r="G747" t="s"/>
      <c r="H747" t="s"/>
      <c r="I747" t="s"/>
      <c r="J747" t="n">
        <v>0.5266999999999999</v>
      </c>
      <c r="K747" t="n">
        <v>0</v>
      </c>
      <c r="L747" t="n">
        <v>0.855</v>
      </c>
      <c r="M747" t="n">
        <v>0.145</v>
      </c>
    </row>
    <row r="748" spans="1:13">
      <c r="A748" s="1">
        <f>HYPERLINK("http://www.twitter.com/NathanBLawrence/status/992490553186058242", "992490553186058242")</f>
        <v/>
      </c>
      <c r="B748" s="2" t="n">
        <v>43224.82363425926</v>
      </c>
      <c r="C748" t="n">
        <v>4</v>
      </c>
      <c r="D748" t="n">
        <v>3</v>
      </c>
      <c r="E748" t="s">
        <v>756</v>
      </c>
      <c r="F748" t="s"/>
      <c r="G748" t="s"/>
      <c r="H748" t="s"/>
      <c r="I748" t="s"/>
      <c r="J748" t="n">
        <v>-0.6031</v>
      </c>
      <c r="K748" t="n">
        <v>0.173</v>
      </c>
      <c r="L748" t="n">
        <v>0.762</v>
      </c>
      <c r="M748" t="n">
        <v>0.065</v>
      </c>
    </row>
    <row r="749" spans="1:13">
      <c r="A749" s="1">
        <f>HYPERLINK("http://www.twitter.com/NathanBLawrence/status/992490000678780928", "992490000678780928")</f>
        <v/>
      </c>
      <c r="B749" s="2" t="n">
        <v>43224.82210648148</v>
      </c>
      <c r="C749" t="n">
        <v>8</v>
      </c>
      <c r="D749" t="n">
        <v>9</v>
      </c>
      <c r="E749" t="s">
        <v>757</v>
      </c>
      <c r="F749" t="s"/>
      <c r="G749" t="s"/>
      <c r="H749" t="s"/>
      <c r="I749" t="s"/>
      <c r="J749" t="n">
        <v>0</v>
      </c>
      <c r="K749" t="n">
        <v>0</v>
      </c>
      <c r="L749" t="n">
        <v>1</v>
      </c>
      <c r="M749" t="n">
        <v>0</v>
      </c>
    </row>
    <row r="750" spans="1:13">
      <c r="A750" s="1">
        <f>HYPERLINK("http://www.twitter.com/NathanBLawrence/status/992489559836561414", "992489559836561414")</f>
        <v/>
      </c>
      <c r="B750" s="2" t="n">
        <v>43224.8208912037</v>
      </c>
      <c r="C750" t="n">
        <v>0</v>
      </c>
      <c r="D750" t="n">
        <v>4</v>
      </c>
      <c r="E750" t="s">
        <v>758</v>
      </c>
      <c r="F750" t="s"/>
      <c r="G750" t="s"/>
      <c r="H750" t="s"/>
      <c r="I750" t="s"/>
      <c r="J750" t="n">
        <v>-0.4201</v>
      </c>
      <c r="K750" t="n">
        <v>0.141</v>
      </c>
      <c r="L750" t="n">
        <v>0.859</v>
      </c>
      <c r="M750" t="n">
        <v>0</v>
      </c>
    </row>
    <row r="751" spans="1:13">
      <c r="A751" s="1">
        <f>HYPERLINK("http://www.twitter.com/NathanBLawrence/status/992489535039791106", "992489535039791106")</f>
        <v/>
      </c>
      <c r="B751" s="2" t="n">
        <v>43224.82082175926</v>
      </c>
      <c r="C751" t="n">
        <v>0</v>
      </c>
      <c r="D751" t="n">
        <v>0</v>
      </c>
      <c r="E751" t="s">
        <v>759</v>
      </c>
      <c r="F751" t="s"/>
      <c r="G751" t="s"/>
      <c r="H751" t="s"/>
      <c r="I751" t="s"/>
      <c r="J751" t="n">
        <v>0.4215</v>
      </c>
      <c r="K751" t="n">
        <v>0</v>
      </c>
      <c r="L751" t="n">
        <v>0.263</v>
      </c>
      <c r="M751" t="n">
        <v>0.737</v>
      </c>
    </row>
    <row r="752" spans="1:13">
      <c r="A752" s="1">
        <f>HYPERLINK("http://www.twitter.com/NathanBLawrence/status/992489489808453633", "992489489808453633")</f>
        <v/>
      </c>
      <c r="B752" s="2" t="n">
        <v>43224.82069444445</v>
      </c>
      <c r="C752" t="n">
        <v>0</v>
      </c>
      <c r="D752" t="n">
        <v>4</v>
      </c>
      <c r="E752" t="s">
        <v>760</v>
      </c>
      <c r="F752" t="s"/>
      <c r="G752" t="s"/>
      <c r="H752" t="s"/>
      <c r="I752" t="s"/>
      <c r="J752" t="n">
        <v>0</v>
      </c>
      <c r="K752" t="n">
        <v>0</v>
      </c>
      <c r="L752" t="n">
        <v>1</v>
      </c>
      <c r="M752" t="n">
        <v>0</v>
      </c>
    </row>
    <row r="753" spans="1:13">
      <c r="A753" s="1">
        <f>HYPERLINK("http://www.twitter.com/NathanBLawrence/status/992489431968952321", "992489431968952321")</f>
        <v/>
      </c>
      <c r="B753" s="2" t="n">
        <v>43224.82053240741</v>
      </c>
      <c r="C753" t="n">
        <v>6</v>
      </c>
      <c r="D753" t="n">
        <v>5</v>
      </c>
      <c r="E753" t="s">
        <v>761</v>
      </c>
      <c r="F753" t="s"/>
      <c r="G753" t="s"/>
      <c r="H753" t="s"/>
      <c r="I753" t="s"/>
      <c r="J753" t="n">
        <v>0</v>
      </c>
      <c r="K753" t="n">
        <v>0.059</v>
      </c>
      <c r="L753" t="n">
        <v>0.882</v>
      </c>
      <c r="M753" t="n">
        <v>0.059</v>
      </c>
    </row>
    <row r="754" spans="1:13">
      <c r="A754" s="1">
        <f>HYPERLINK("http://www.twitter.com/NathanBLawrence/status/992489089713823746", "992489089713823746")</f>
        <v/>
      </c>
      <c r="B754" s="2" t="n">
        <v>43224.81959490741</v>
      </c>
      <c r="C754" t="n">
        <v>0</v>
      </c>
      <c r="D754" t="n">
        <v>4</v>
      </c>
      <c r="E754" t="s">
        <v>762</v>
      </c>
      <c r="F754" t="s"/>
      <c r="G754" t="s"/>
      <c r="H754" t="s"/>
      <c r="I754" t="s"/>
      <c r="J754" t="n">
        <v>0.7027</v>
      </c>
      <c r="K754" t="n">
        <v>0</v>
      </c>
      <c r="L754" t="n">
        <v>0.797</v>
      </c>
      <c r="M754" t="n">
        <v>0.203</v>
      </c>
    </row>
    <row r="755" spans="1:13">
      <c r="A755" s="1">
        <f>HYPERLINK("http://www.twitter.com/NathanBLawrence/status/992488992556843008", "992488992556843008")</f>
        <v/>
      </c>
      <c r="B755" s="2" t="n">
        <v>43224.81932870371</v>
      </c>
      <c r="C755" t="n">
        <v>2</v>
      </c>
      <c r="D755" t="n">
        <v>2</v>
      </c>
      <c r="E755" t="s">
        <v>763</v>
      </c>
      <c r="F755" t="s"/>
      <c r="G755" t="s"/>
      <c r="H755" t="s"/>
      <c r="I755" t="s"/>
      <c r="J755" t="n">
        <v>0.1511</v>
      </c>
      <c r="K755" t="n">
        <v>0.145</v>
      </c>
      <c r="L755" t="n">
        <v>0.739</v>
      </c>
      <c r="M755" t="n">
        <v>0.117</v>
      </c>
    </row>
    <row r="756" spans="1:13">
      <c r="A756" s="1">
        <f>HYPERLINK("http://www.twitter.com/NathanBLawrence/status/992488762268667904", "992488762268667904")</f>
        <v/>
      </c>
      <c r="B756" s="2" t="n">
        <v>43224.81869212963</v>
      </c>
      <c r="C756" t="n">
        <v>0</v>
      </c>
      <c r="D756" t="n">
        <v>3</v>
      </c>
      <c r="E756" t="s">
        <v>764</v>
      </c>
      <c r="F756" t="s"/>
      <c r="G756" t="s"/>
      <c r="H756" t="s"/>
      <c r="I756" t="s"/>
      <c r="J756" t="n">
        <v>0.4199</v>
      </c>
      <c r="K756" t="n">
        <v>0</v>
      </c>
      <c r="L756" t="n">
        <v>0.887</v>
      </c>
      <c r="M756" t="n">
        <v>0.113</v>
      </c>
    </row>
    <row r="757" spans="1:13">
      <c r="A757" s="1">
        <f>HYPERLINK("http://www.twitter.com/NathanBLawrence/status/992488698674597894", "992488698674597894")</f>
        <v/>
      </c>
      <c r="B757" s="2" t="n">
        <v>43224.81850694444</v>
      </c>
      <c r="C757" t="n">
        <v>0</v>
      </c>
      <c r="D757" t="n">
        <v>1</v>
      </c>
      <c r="E757" t="s">
        <v>765</v>
      </c>
      <c r="F757" t="s"/>
      <c r="G757" t="s"/>
      <c r="H757" t="s"/>
      <c r="I757" t="s"/>
      <c r="J757" t="n">
        <v>0.4588</v>
      </c>
      <c r="K757" t="n">
        <v>0</v>
      </c>
      <c r="L757" t="n">
        <v>0.826</v>
      </c>
      <c r="M757" t="n">
        <v>0.174</v>
      </c>
    </row>
    <row r="758" spans="1:13">
      <c r="A758" s="1">
        <f>HYPERLINK("http://www.twitter.com/NathanBLawrence/status/992488687647813633", "992488687647813633")</f>
        <v/>
      </c>
      <c r="B758" s="2" t="n">
        <v>43224.8184837963</v>
      </c>
      <c r="C758" t="n">
        <v>1</v>
      </c>
      <c r="D758" t="n">
        <v>0</v>
      </c>
      <c r="E758" t="s">
        <v>766</v>
      </c>
      <c r="F758" t="s"/>
      <c r="G758" t="s"/>
      <c r="H758" t="s"/>
      <c r="I758" t="s"/>
      <c r="J758" t="n">
        <v>0.4574</v>
      </c>
      <c r="K758" t="n">
        <v>0</v>
      </c>
      <c r="L758" t="n">
        <v>0.701</v>
      </c>
      <c r="M758" t="n">
        <v>0.299</v>
      </c>
    </row>
    <row r="759" spans="1:13">
      <c r="A759" s="1">
        <f>HYPERLINK("http://www.twitter.com/NathanBLawrence/status/992488577912246272", "992488577912246272")</f>
        <v/>
      </c>
      <c r="B759" s="2" t="n">
        <v>43224.81818287037</v>
      </c>
      <c r="C759" t="n">
        <v>0</v>
      </c>
      <c r="D759" t="n">
        <v>3</v>
      </c>
      <c r="E759" t="s">
        <v>767</v>
      </c>
      <c r="F759" t="s"/>
      <c r="G759" t="s"/>
      <c r="H759" t="s"/>
      <c r="I759" t="s"/>
      <c r="J759" t="n">
        <v>0.2716</v>
      </c>
      <c r="K759" t="n">
        <v>0</v>
      </c>
      <c r="L759" t="n">
        <v>0.905</v>
      </c>
      <c r="M759" t="n">
        <v>0.095</v>
      </c>
    </row>
    <row r="760" spans="1:13">
      <c r="A760" s="1">
        <f>HYPERLINK("http://www.twitter.com/NathanBLawrence/status/992488536631922690", "992488536631922690")</f>
        <v/>
      </c>
      <c r="B760" s="2" t="n">
        <v>43224.81806712963</v>
      </c>
      <c r="C760" t="n">
        <v>0</v>
      </c>
      <c r="D760" t="n">
        <v>2</v>
      </c>
      <c r="E760" t="s">
        <v>768</v>
      </c>
      <c r="F760" t="s"/>
      <c r="G760" t="s"/>
      <c r="H760" t="s"/>
      <c r="I760" t="s"/>
      <c r="J760" t="n">
        <v>0.5484</v>
      </c>
      <c r="K760" t="n">
        <v>0.08500000000000001</v>
      </c>
      <c r="L760" t="n">
        <v>0.7</v>
      </c>
      <c r="M760" t="n">
        <v>0.215</v>
      </c>
    </row>
    <row r="761" spans="1:13">
      <c r="A761" s="1">
        <f>HYPERLINK("http://www.twitter.com/NathanBLawrence/status/992488439399501825", "992488439399501825")</f>
        <v/>
      </c>
      <c r="B761" s="2" t="n">
        <v>43224.81780092593</v>
      </c>
      <c r="C761" t="n">
        <v>6</v>
      </c>
      <c r="D761" t="n">
        <v>4</v>
      </c>
      <c r="E761" t="s">
        <v>769</v>
      </c>
      <c r="F761" t="s"/>
      <c r="G761" t="s"/>
      <c r="H761" t="s"/>
      <c r="I761" t="s"/>
      <c r="J761" t="n">
        <v>-0.3849</v>
      </c>
      <c r="K761" t="n">
        <v>0.093</v>
      </c>
      <c r="L761" t="n">
        <v>0.789</v>
      </c>
      <c r="M761" t="n">
        <v>0.118</v>
      </c>
    </row>
    <row r="762" spans="1:13">
      <c r="A762" s="1">
        <f>HYPERLINK("http://www.twitter.com/NathanBLawrence/status/992488096754208769", "992488096754208769")</f>
        <v/>
      </c>
      <c r="B762" s="2" t="n">
        <v>43224.81685185185</v>
      </c>
      <c r="C762" t="n">
        <v>0</v>
      </c>
      <c r="D762" t="n">
        <v>16</v>
      </c>
      <c r="E762" t="s">
        <v>770</v>
      </c>
      <c r="F762">
        <f>HYPERLINK("http://pbs.twimg.com/media/DcSNIx0WAAAVRHm.jpg", "http://pbs.twimg.com/media/DcSNIx0WAAAVRHm.jpg")</f>
        <v/>
      </c>
      <c r="G762" t="s"/>
      <c r="H762" t="s"/>
      <c r="I762" t="s"/>
      <c r="J762" t="n">
        <v>-0.631</v>
      </c>
      <c r="K762" t="n">
        <v>0.159</v>
      </c>
      <c r="L762" t="n">
        <v>0.841</v>
      </c>
      <c r="M762" t="n">
        <v>0</v>
      </c>
    </row>
    <row r="763" spans="1:13">
      <c r="A763" s="1">
        <f>HYPERLINK("http://www.twitter.com/NathanBLawrence/status/992488087254175744", "992488087254175744")</f>
        <v/>
      </c>
      <c r="B763" s="2" t="n">
        <v>43224.8168287037</v>
      </c>
      <c r="C763" t="n">
        <v>0</v>
      </c>
      <c r="D763" t="n">
        <v>13</v>
      </c>
      <c r="E763" t="s">
        <v>771</v>
      </c>
      <c r="F763" t="s"/>
      <c r="G763" t="s"/>
      <c r="H763" t="s"/>
      <c r="I763" t="s"/>
      <c r="J763" t="n">
        <v>0.7579</v>
      </c>
      <c r="K763" t="n">
        <v>0.055</v>
      </c>
      <c r="L763" t="n">
        <v>0.6909999999999999</v>
      </c>
      <c r="M763" t="n">
        <v>0.255</v>
      </c>
    </row>
    <row r="764" spans="1:13">
      <c r="A764" s="1">
        <f>HYPERLINK("http://www.twitter.com/NathanBLawrence/status/992488055541035010", "992488055541035010")</f>
        <v/>
      </c>
      <c r="B764" s="2" t="n">
        <v>43224.81673611111</v>
      </c>
      <c r="C764" t="n">
        <v>0</v>
      </c>
      <c r="D764" t="n">
        <v>46</v>
      </c>
      <c r="E764" t="s">
        <v>772</v>
      </c>
      <c r="F764">
        <f>HYPERLINK("http://pbs.twimg.com/media/DcT1233XUAEvbnQ.jpg", "http://pbs.twimg.com/media/DcT1233XUAEvbnQ.jpg")</f>
        <v/>
      </c>
      <c r="G764" t="s"/>
      <c r="H764" t="s"/>
      <c r="I764" t="s"/>
      <c r="J764" t="n">
        <v>0.7783</v>
      </c>
      <c r="K764" t="n">
        <v>0</v>
      </c>
      <c r="L764" t="n">
        <v>0.673</v>
      </c>
      <c r="M764" t="n">
        <v>0.327</v>
      </c>
    </row>
    <row r="765" spans="1:13">
      <c r="A765" s="1">
        <f>HYPERLINK("http://www.twitter.com/NathanBLawrence/status/992488035160911874", "992488035160911874")</f>
        <v/>
      </c>
      <c r="B765" s="2" t="n">
        <v>43224.81667824074</v>
      </c>
      <c r="C765" t="n">
        <v>0</v>
      </c>
      <c r="D765" t="n">
        <v>11</v>
      </c>
      <c r="E765" t="s">
        <v>773</v>
      </c>
      <c r="F765" t="s"/>
      <c r="G765" t="s"/>
      <c r="H765" t="s"/>
      <c r="I765" t="s"/>
      <c r="J765" t="n">
        <v>0</v>
      </c>
      <c r="K765" t="n">
        <v>0</v>
      </c>
      <c r="L765" t="n">
        <v>1</v>
      </c>
      <c r="M765" t="n">
        <v>0</v>
      </c>
    </row>
    <row r="766" spans="1:13">
      <c r="A766" s="1">
        <f>HYPERLINK("http://www.twitter.com/NathanBLawrence/status/992488025300111360", "992488025300111360")</f>
        <v/>
      </c>
      <c r="B766" s="2" t="n">
        <v>43224.8166550926</v>
      </c>
      <c r="C766" t="n">
        <v>0</v>
      </c>
      <c r="D766" t="n">
        <v>10</v>
      </c>
      <c r="E766" t="s">
        <v>774</v>
      </c>
      <c r="F766" t="s"/>
      <c r="G766" t="s"/>
      <c r="H766" t="s"/>
      <c r="I766" t="s"/>
      <c r="J766" t="n">
        <v>0</v>
      </c>
      <c r="K766" t="n">
        <v>0</v>
      </c>
      <c r="L766" t="n">
        <v>1</v>
      </c>
      <c r="M766" t="n">
        <v>0</v>
      </c>
    </row>
    <row r="767" spans="1:13">
      <c r="A767" s="1">
        <f>HYPERLINK("http://www.twitter.com/NathanBLawrence/status/992488011890819072", "992488011890819072")</f>
        <v/>
      </c>
      <c r="B767" s="2" t="n">
        <v>43224.81662037037</v>
      </c>
      <c r="C767" t="n">
        <v>0</v>
      </c>
      <c r="D767" t="n">
        <v>9</v>
      </c>
      <c r="E767" t="s">
        <v>775</v>
      </c>
      <c r="F767" t="s"/>
      <c r="G767" t="s"/>
      <c r="H767" t="s"/>
      <c r="I767" t="s"/>
      <c r="J767" t="n">
        <v>-0.3182</v>
      </c>
      <c r="K767" t="n">
        <v>0.358</v>
      </c>
      <c r="L767" t="n">
        <v>0.423</v>
      </c>
      <c r="M767" t="n">
        <v>0.218</v>
      </c>
    </row>
    <row r="768" spans="1:13">
      <c r="A768" s="1">
        <f>HYPERLINK("http://www.twitter.com/NathanBLawrence/status/992487995390484480", "992487995390484480")</f>
        <v/>
      </c>
      <c r="B768" s="2" t="n">
        <v>43224.81657407407</v>
      </c>
      <c r="C768" t="n">
        <v>0</v>
      </c>
      <c r="D768" t="n">
        <v>11</v>
      </c>
      <c r="E768" t="s">
        <v>776</v>
      </c>
      <c r="F768" t="s"/>
      <c r="G768" t="s"/>
      <c r="H768" t="s"/>
      <c r="I768" t="s"/>
      <c r="J768" t="n">
        <v>0</v>
      </c>
      <c r="K768" t="n">
        <v>0</v>
      </c>
      <c r="L768" t="n">
        <v>1</v>
      </c>
      <c r="M768" t="n">
        <v>0</v>
      </c>
    </row>
    <row r="769" spans="1:13">
      <c r="A769" s="1">
        <f>HYPERLINK("http://www.twitter.com/NathanBLawrence/status/992487981717041152", "992487981717041152")</f>
        <v/>
      </c>
      <c r="B769" s="2" t="n">
        <v>43224.81653935185</v>
      </c>
      <c r="C769" t="n">
        <v>2</v>
      </c>
      <c r="D769" t="n">
        <v>0</v>
      </c>
      <c r="E769" t="s">
        <v>777</v>
      </c>
      <c r="F769" t="s"/>
      <c r="G769" t="s"/>
      <c r="H769" t="s"/>
      <c r="I769" t="s"/>
      <c r="J769" t="n">
        <v>-0.25</v>
      </c>
      <c r="K769" t="n">
        <v>0.298</v>
      </c>
      <c r="L769" t="n">
        <v>0.484</v>
      </c>
      <c r="M769" t="n">
        <v>0.218</v>
      </c>
    </row>
    <row r="770" spans="1:13">
      <c r="A770" s="1">
        <f>HYPERLINK("http://www.twitter.com/NathanBLawrence/status/992487876217720837", "992487876217720837")</f>
        <v/>
      </c>
      <c r="B770" s="2" t="n">
        <v>43224.81623842593</v>
      </c>
      <c r="C770" t="n">
        <v>0</v>
      </c>
      <c r="D770" t="n">
        <v>3</v>
      </c>
      <c r="E770" t="s">
        <v>778</v>
      </c>
      <c r="F770" t="s"/>
      <c r="G770" t="s"/>
      <c r="H770" t="s"/>
      <c r="I770" t="s"/>
      <c r="J770" t="n">
        <v>0</v>
      </c>
      <c r="K770" t="n">
        <v>0</v>
      </c>
      <c r="L770" t="n">
        <v>1</v>
      </c>
      <c r="M770" t="n">
        <v>0</v>
      </c>
    </row>
    <row r="771" spans="1:13">
      <c r="A771" s="1">
        <f>HYPERLINK("http://www.twitter.com/NathanBLawrence/status/992487863219576833", "992487863219576833")</f>
        <v/>
      </c>
      <c r="B771" s="2" t="n">
        <v>43224.8162037037</v>
      </c>
      <c r="C771" t="n">
        <v>0</v>
      </c>
      <c r="D771" t="n">
        <v>5</v>
      </c>
      <c r="E771" t="s">
        <v>779</v>
      </c>
      <c r="F771" t="s"/>
      <c r="G771" t="s"/>
      <c r="H771" t="s"/>
      <c r="I771" t="s"/>
      <c r="J771" t="n">
        <v>0</v>
      </c>
      <c r="K771" t="n">
        <v>0</v>
      </c>
      <c r="L771" t="n">
        <v>1</v>
      </c>
      <c r="M771" t="n">
        <v>0</v>
      </c>
    </row>
    <row r="772" spans="1:13">
      <c r="A772" s="1">
        <f>HYPERLINK("http://www.twitter.com/NathanBLawrence/status/992487849399324672", "992487849399324672")</f>
        <v/>
      </c>
      <c r="B772" s="2" t="n">
        <v>43224.81616898148</v>
      </c>
      <c r="C772" t="n">
        <v>0</v>
      </c>
      <c r="D772" t="n">
        <v>3</v>
      </c>
      <c r="E772" t="s">
        <v>780</v>
      </c>
      <c r="F772" t="s"/>
      <c r="G772" t="s"/>
      <c r="H772" t="s"/>
      <c r="I772" t="s"/>
      <c r="J772" t="n">
        <v>0</v>
      </c>
      <c r="K772" t="n">
        <v>0</v>
      </c>
      <c r="L772" t="n">
        <v>1</v>
      </c>
      <c r="M772" t="n">
        <v>0</v>
      </c>
    </row>
    <row r="773" spans="1:13">
      <c r="A773" s="1">
        <f>HYPERLINK("http://www.twitter.com/NathanBLawrence/status/992487806860709888", "992487806860709888")</f>
        <v/>
      </c>
      <c r="B773" s="2" t="n">
        <v>43224.81605324074</v>
      </c>
      <c r="C773" t="n">
        <v>0</v>
      </c>
      <c r="D773" t="n">
        <v>12</v>
      </c>
      <c r="E773" t="s">
        <v>781</v>
      </c>
      <c r="F773" t="s"/>
      <c r="G773" t="s"/>
      <c r="H773" t="s"/>
      <c r="I773" t="s"/>
      <c r="J773" t="n">
        <v>-0.4404</v>
      </c>
      <c r="K773" t="n">
        <v>0.168</v>
      </c>
      <c r="L773" t="n">
        <v>0.733</v>
      </c>
      <c r="M773" t="n">
        <v>0.099</v>
      </c>
    </row>
    <row r="774" spans="1:13">
      <c r="A774" s="1">
        <f>HYPERLINK("http://www.twitter.com/NathanBLawrence/status/992487749751099393", "992487749751099393")</f>
        <v/>
      </c>
      <c r="B774" s="2" t="n">
        <v>43224.8158912037</v>
      </c>
      <c r="C774" t="n">
        <v>6</v>
      </c>
      <c r="D774" t="n">
        <v>3</v>
      </c>
      <c r="E774" t="s">
        <v>782</v>
      </c>
      <c r="F774" t="s"/>
      <c r="G774" t="s"/>
      <c r="H774" t="s"/>
      <c r="I774" t="s"/>
      <c r="J774" t="n">
        <v>-0.4767</v>
      </c>
      <c r="K774" t="n">
        <v>0.07199999999999999</v>
      </c>
      <c r="L774" t="n">
        <v>0.928</v>
      </c>
      <c r="M774" t="n">
        <v>0</v>
      </c>
    </row>
    <row r="775" spans="1:13">
      <c r="A775" s="1">
        <f>HYPERLINK("http://www.twitter.com/NathanBLawrence/status/992487125781184513", "992487125781184513")</f>
        <v/>
      </c>
      <c r="B775" s="2" t="n">
        <v>43224.81416666666</v>
      </c>
      <c r="C775" t="n">
        <v>0</v>
      </c>
      <c r="D775" t="n">
        <v>9</v>
      </c>
      <c r="E775" t="s">
        <v>783</v>
      </c>
      <c r="F775" t="s"/>
      <c r="G775" t="s"/>
      <c r="H775" t="s"/>
      <c r="I775" t="s"/>
      <c r="J775" t="n">
        <v>0</v>
      </c>
      <c r="K775" t="n">
        <v>0</v>
      </c>
      <c r="L775" t="n">
        <v>1</v>
      </c>
      <c r="M775" t="n">
        <v>0</v>
      </c>
    </row>
    <row r="776" spans="1:13">
      <c r="A776" s="1">
        <f>HYPERLINK("http://www.twitter.com/NathanBLawrence/status/992487109318635523", "992487109318635523")</f>
        <v/>
      </c>
      <c r="B776" s="2" t="n">
        <v>43224.81413194445</v>
      </c>
      <c r="C776" t="n">
        <v>0</v>
      </c>
      <c r="D776" t="n">
        <v>9</v>
      </c>
      <c r="E776" t="s">
        <v>784</v>
      </c>
      <c r="F776" t="s"/>
      <c r="G776" t="s"/>
      <c r="H776" t="s"/>
      <c r="I776" t="s"/>
      <c r="J776" t="n">
        <v>0.1027</v>
      </c>
      <c r="K776" t="n">
        <v>0.079</v>
      </c>
      <c r="L776" t="n">
        <v>0.828</v>
      </c>
      <c r="M776" t="n">
        <v>0.093</v>
      </c>
    </row>
    <row r="777" spans="1:13">
      <c r="A777" s="1">
        <f>HYPERLINK("http://www.twitter.com/NathanBLawrence/status/992486961595211776", "992486961595211776")</f>
        <v/>
      </c>
      <c r="B777" s="2" t="n">
        <v>43224.81371527778</v>
      </c>
      <c r="C777" t="n">
        <v>0</v>
      </c>
      <c r="D777" t="n">
        <v>13</v>
      </c>
      <c r="E777" t="s">
        <v>785</v>
      </c>
      <c r="F777" t="s"/>
      <c r="G777" t="s"/>
      <c r="H777" t="s"/>
      <c r="I777" t="s"/>
      <c r="J777" t="n">
        <v>0</v>
      </c>
      <c r="K777" t="n">
        <v>0</v>
      </c>
      <c r="L777" t="n">
        <v>1</v>
      </c>
      <c r="M777" t="n">
        <v>0</v>
      </c>
    </row>
    <row r="778" spans="1:13">
      <c r="A778" s="1">
        <f>HYPERLINK("http://www.twitter.com/NathanBLawrence/status/992486923670343681", "992486923670343681")</f>
        <v/>
      </c>
      <c r="B778" s="2" t="n">
        <v>43224.81361111111</v>
      </c>
      <c r="C778" t="n">
        <v>0</v>
      </c>
      <c r="D778" t="n">
        <v>7</v>
      </c>
      <c r="E778" t="s">
        <v>786</v>
      </c>
      <c r="F778" t="s"/>
      <c r="G778" t="s"/>
      <c r="H778" t="s"/>
      <c r="I778" t="s"/>
      <c r="J778" t="n">
        <v>-0.2755</v>
      </c>
      <c r="K778" t="n">
        <v>0.123</v>
      </c>
      <c r="L778" t="n">
        <v>0.877</v>
      </c>
      <c r="M778" t="n">
        <v>0</v>
      </c>
    </row>
    <row r="779" spans="1:13">
      <c r="A779" s="1">
        <f>HYPERLINK("http://www.twitter.com/NathanBLawrence/status/992486907589419008", "992486907589419008")</f>
        <v/>
      </c>
      <c r="B779" s="2" t="n">
        <v>43224.81356481482</v>
      </c>
      <c r="C779" t="n">
        <v>0</v>
      </c>
      <c r="D779" t="n">
        <v>8</v>
      </c>
      <c r="E779" t="s">
        <v>787</v>
      </c>
      <c r="F779" t="s"/>
      <c r="G779" t="s"/>
      <c r="H779" t="s"/>
      <c r="I779" t="s"/>
      <c r="J779" t="n">
        <v>0.6124000000000001</v>
      </c>
      <c r="K779" t="n">
        <v>0.09</v>
      </c>
      <c r="L779" t="n">
        <v>0.664</v>
      </c>
      <c r="M779" t="n">
        <v>0.246</v>
      </c>
    </row>
    <row r="780" spans="1:13">
      <c r="A780" s="1">
        <f>HYPERLINK("http://www.twitter.com/NathanBLawrence/status/992486863280705537", "992486863280705537")</f>
        <v/>
      </c>
      <c r="B780" s="2" t="n">
        <v>43224.81344907408</v>
      </c>
      <c r="C780" t="n">
        <v>4</v>
      </c>
      <c r="D780" t="n">
        <v>1</v>
      </c>
      <c r="E780" t="s">
        <v>788</v>
      </c>
      <c r="F780" t="s"/>
      <c r="G780" t="s"/>
      <c r="H780" t="s"/>
      <c r="I780" t="s"/>
      <c r="J780" t="n">
        <v>-0.4738</v>
      </c>
      <c r="K780" t="n">
        <v>0.134</v>
      </c>
      <c r="L780" t="n">
        <v>0.866</v>
      </c>
      <c r="M780" t="n">
        <v>0</v>
      </c>
    </row>
    <row r="781" spans="1:13">
      <c r="A781" s="1">
        <f>HYPERLINK("http://www.twitter.com/NathanBLawrence/status/992486797581127680", "992486797581127680")</f>
        <v/>
      </c>
      <c r="B781" s="2" t="n">
        <v>43224.81326388889</v>
      </c>
      <c r="C781" t="n">
        <v>0</v>
      </c>
      <c r="D781" t="n">
        <v>16</v>
      </c>
      <c r="E781" t="s">
        <v>789</v>
      </c>
      <c r="F781">
        <f>HYPERLINK("http://pbs.twimg.com/media/DcX9yYnW4AAM1p7.jpg", "http://pbs.twimg.com/media/DcX9yYnW4AAM1p7.jpg")</f>
        <v/>
      </c>
      <c r="G781" t="s"/>
      <c r="H781" t="s"/>
      <c r="I781" t="s"/>
      <c r="J781" t="n">
        <v>0.2023</v>
      </c>
      <c r="K781" t="n">
        <v>0</v>
      </c>
      <c r="L781" t="n">
        <v>0.917</v>
      </c>
      <c r="M781" t="n">
        <v>0.083</v>
      </c>
    </row>
    <row r="782" spans="1:13">
      <c r="A782" s="1">
        <f>HYPERLINK("http://www.twitter.com/NathanBLawrence/status/992486720913444867", "992486720913444867")</f>
        <v/>
      </c>
      <c r="B782" s="2" t="n">
        <v>43224.81305555555</v>
      </c>
      <c r="C782" t="n">
        <v>0</v>
      </c>
      <c r="D782" t="n">
        <v>26</v>
      </c>
      <c r="E782" t="s">
        <v>789</v>
      </c>
      <c r="F782">
        <f>HYPERLINK("http://pbs.twimg.com/media/DcT7gLkW0AAKtQB.jpg", "http://pbs.twimg.com/media/DcT7gLkW0AAKtQB.jpg")</f>
        <v/>
      </c>
      <c r="G782" t="s"/>
      <c r="H782" t="s"/>
      <c r="I782" t="s"/>
      <c r="J782" t="n">
        <v>0.2023</v>
      </c>
      <c r="K782" t="n">
        <v>0</v>
      </c>
      <c r="L782" t="n">
        <v>0.917</v>
      </c>
      <c r="M782" t="n">
        <v>0.083</v>
      </c>
    </row>
    <row r="783" spans="1:13">
      <c r="A783" s="1">
        <f>HYPERLINK("http://www.twitter.com/NathanBLawrence/status/992486681860243456", "992486681860243456")</f>
        <v/>
      </c>
      <c r="B783" s="2" t="n">
        <v>43224.81295138889</v>
      </c>
      <c r="C783" t="n">
        <v>0</v>
      </c>
      <c r="D783" t="n">
        <v>9</v>
      </c>
      <c r="E783" t="s">
        <v>790</v>
      </c>
      <c r="F783" t="s"/>
      <c r="G783" t="s"/>
      <c r="H783" t="s"/>
      <c r="I783" t="s"/>
      <c r="J783" t="n">
        <v>0</v>
      </c>
      <c r="K783" t="n">
        <v>0</v>
      </c>
      <c r="L783" t="n">
        <v>1</v>
      </c>
      <c r="M783" t="n">
        <v>0</v>
      </c>
    </row>
    <row r="784" spans="1:13">
      <c r="A784" s="1">
        <f>HYPERLINK("http://www.twitter.com/NathanBLawrence/status/992486651623542790", "992486651623542790")</f>
        <v/>
      </c>
      <c r="B784" s="2" t="n">
        <v>43224.81285879629</v>
      </c>
      <c r="C784" t="n">
        <v>0</v>
      </c>
      <c r="D784" t="n">
        <v>10</v>
      </c>
      <c r="E784" t="s">
        <v>791</v>
      </c>
      <c r="F784">
        <f>HYPERLINK("http://pbs.twimg.com/media/DcX67cVW0AEW3Iy.jpg", "http://pbs.twimg.com/media/DcX67cVW0AEW3Iy.jpg")</f>
        <v/>
      </c>
      <c r="G784" t="s"/>
      <c r="H784" t="s"/>
      <c r="I784" t="s"/>
      <c r="J784" t="n">
        <v>-0.3664</v>
      </c>
      <c r="K784" t="n">
        <v>0.251</v>
      </c>
      <c r="L784" t="n">
        <v>0.541</v>
      </c>
      <c r="M784" t="n">
        <v>0.208</v>
      </c>
    </row>
    <row r="785" spans="1:13">
      <c r="A785" s="1">
        <f>HYPERLINK("http://www.twitter.com/NathanBLawrence/status/992486635651596290", "992486635651596290")</f>
        <v/>
      </c>
      <c r="B785" s="2" t="n">
        <v>43224.81282407408</v>
      </c>
      <c r="C785" t="n">
        <v>0</v>
      </c>
      <c r="D785" t="n">
        <v>4</v>
      </c>
      <c r="E785" t="s">
        <v>792</v>
      </c>
      <c r="F785" t="s"/>
      <c r="G785" t="s"/>
      <c r="H785" t="s"/>
      <c r="I785" t="s"/>
      <c r="J785" t="n">
        <v>-0.2755</v>
      </c>
      <c r="K785" t="n">
        <v>0.08400000000000001</v>
      </c>
      <c r="L785" t="n">
        <v>0.916</v>
      </c>
      <c r="M785" t="n">
        <v>0</v>
      </c>
    </row>
    <row r="786" spans="1:13">
      <c r="A786" s="1">
        <f>HYPERLINK("http://www.twitter.com/NathanBLawrence/status/992486621223284738", "992486621223284738")</f>
        <v/>
      </c>
      <c r="B786" s="2" t="n">
        <v>43224.81277777778</v>
      </c>
      <c r="C786" t="n">
        <v>0</v>
      </c>
      <c r="D786" t="n">
        <v>20</v>
      </c>
      <c r="E786" t="s">
        <v>793</v>
      </c>
      <c r="F786">
        <f>HYPERLINK("http://pbs.twimg.com/media/DcXE80FVwAASMmt.jpg", "http://pbs.twimg.com/media/DcXE80FVwAASMmt.jpg")</f>
        <v/>
      </c>
      <c r="G786">
        <f>HYPERLINK("http://pbs.twimg.com/media/DcXE80FVAAA63iU.jpg", "http://pbs.twimg.com/media/DcXE80FVAAA63iU.jpg")</f>
        <v/>
      </c>
      <c r="H786">
        <f>HYPERLINK("http://pbs.twimg.com/media/DcXE80MVAAI3pxA.jpg", "http://pbs.twimg.com/media/DcXE80MVAAI3pxA.jpg")</f>
        <v/>
      </c>
      <c r="I786" t="s"/>
      <c r="J786" t="n">
        <v>0</v>
      </c>
      <c r="K786" t="n">
        <v>0</v>
      </c>
      <c r="L786" t="n">
        <v>1</v>
      </c>
      <c r="M786" t="n">
        <v>0</v>
      </c>
    </row>
    <row r="787" spans="1:13">
      <c r="A787" s="1">
        <f>HYPERLINK("http://www.twitter.com/NathanBLawrence/status/992486438347427840", "992486438347427840")</f>
        <v/>
      </c>
      <c r="B787" s="2" t="n">
        <v>43224.81228009259</v>
      </c>
      <c r="C787" t="n">
        <v>0</v>
      </c>
      <c r="D787" t="n">
        <v>5</v>
      </c>
      <c r="E787" t="s">
        <v>794</v>
      </c>
      <c r="F787" t="s"/>
      <c r="G787" t="s"/>
      <c r="H787" t="s"/>
      <c r="I787" t="s"/>
      <c r="J787" t="n">
        <v>0.4382</v>
      </c>
      <c r="K787" t="n">
        <v>0.128</v>
      </c>
      <c r="L787" t="n">
        <v>0.605</v>
      </c>
      <c r="M787" t="n">
        <v>0.267</v>
      </c>
    </row>
    <row r="788" spans="1:13">
      <c r="A788" s="1">
        <f>HYPERLINK("http://www.twitter.com/NathanBLawrence/status/992249937193676800", "992249937193676800")</f>
        <v/>
      </c>
      <c r="B788" s="2" t="n">
        <v>43224.15965277778</v>
      </c>
      <c r="C788" t="n">
        <v>0</v>
      </c>
      <c r="D788" t="n">
        <v>3</v>
      </c>
      <c r="E788" t="s">
        <v>795</v>
      </c>
      <c r="F788" t="s"/>
      <c r="G788" t="s"/>
      <c r="H788" t="s"/>
      <c r="I788" t="s"/>
      <c r="J788" t="n">
        <v>0</v>
      </c>
      <c r="K788" t="n">
        <v>0</v>
      </c>
      <c r="L788" t="n">
        <v>1</v>
      </c>
      <c r="M788" t="n">
        <v>0</v>
      </c>
    </row>
    <row r="789" spans="1:13">
      <c r="A789" s="1">
        <f>HYPERLINK("http://www.twitter.com/NathanBLawrence/status/992249741642686464", "992249741642686464")</f>
        <v/>
      </c>
      <c r="B789" s="2" t="n">
        <v>43224.15912037037</v>
      </c>
      <c r="C789" t="n">
        <v>0</v>
      </c>
      <c r="D789" t="n">
        <v>30</v>
      </c>
      <c r="E789" t="s">
        <v>796</v>
      </c>
      <c r="F789" t="s"/>
      <c r="G789" t="s"/>
      <c r="H789" t="s"/>
      <c r="I789" t="s"/>
      <c r="J789" t="n">
        <v>-0.6115</v>
      </c>
      <c r="K789" t="n">
        <v>0.16</v>
      </c>
      <c r="L789" t="n">
        <v>0.84</v>
      </c>
      <c r="M789" t="n">
        <v>0</v>
      </c>
    </row>
    <row r="790" spans="1:13">
      <c r="A790" s="1">
        <f>HYPERLINK("http://www.twitter.com/NathanBLawrence/status/992230659736457216", "992230659736457216")</f>
        <v/>
      </c>
      <c r="B790" s="2" t="n">
        <v>43224.10645833334</v>
      </c>
      <c r="C790" t="n">
        <v>0</v>
      </c>
      <c r="D790" t="n">
        <v>9</v>
      </c>
      <c r="E790" t="s">
        <v>797</v>
      </c>
      <c r="F790" t="s"/>
      <c r="G790" t="s"/>
      <c r="H790" t="s"/>
      <c r="I790" t="s"/>
      <c r="J790" t="n">
        <v>0.0772</v>
      </c>
      <c r="K790" t="n">
        <v>0.082</v>
      </c>
      <c r="L790" t="n">
        <v>0.824</v>
      </c>
      <c r="M790" t="n">
        <v>0.094</v>
      </c>
    </row>
    <row r="791" spans="1:13">
      <c r="A791" s="1">
        <f>HYPERLINK("http://www.twitter.com/NathanBLawrence/status/992230619156500480", "992230619156500480")</f>
        <v/>
      </c>
      <c r="B791" s="2" t="n">
        <v>43224.10635416667</v>
      </c>
      <c r="C791" t="n">
        <v>0</v>
      </c>
      <c r="D791" t="n">
        <v>4</v>
      </c>
      <c r="E791" t="s">
        <v>798</v>
      </c>
      <c r="F791" t="s"/>
      <c r="G791" t="s"/>
      <c r="H791" t="s"/>
      <c r="I791" t="s"/>
      <c r="J791" t="n">
        <v>-0.6114000000000001</v>
      </c>
      <c r="K791" t="n">
        <v>0.285</v>
      </c>
      <c r="L791" t="n">
        <v>0.715</v>
      </c>
      <c r="M791" t="n">
        <v>0</v>
      </c>
    </row>
    <row r="792" spans="1:13">
      <c r="A792" s="1">
        <f>HYPERLINK("http://www.twitter.com/NathanBLawrence/status/992230566782230529", "992230566782230529")</f>
        <v/>
      </c>
      <c r="B792" s="2" t="n">
        <v>43224.1062037037</v>
      </c>
      <c r="C792" t="n">
        <v>0</v>
      </c>
      <c r="D792" t="n">
        <v>1</v>
      </c>
      <c r="E792" t="s">
        <v>799</v>
      </c>
      <c r="F792" t="s"/>
      <c r="G792" t="s"/>
      <c r="H792" t="s"/>
      <c r="I792" t="s"/>
      <c r="J792" t="n">
        <v>0</v>
      </c>
      <c r="K792" t="n">
        <v>0</v>
      </c>
      <c r="L792" t="n">
        <v>1</v>
      </c>
      <c r="M792" t="n">
        <v>0</v>
      </c>
    </row>
    <row r="793" spans="1:13">
      <c r="A793" s="1">
        <f>HYPERLINK("http://www.twitter.com/NathanBLawrence/status/992230477749739520", "992230477749739520")</f>
        <v/>
      </c>
      <c r="B793" s="2" t="n">
        <v>43224.10596064815</v>
      </c>
      <c r="C793" t="n">
        <v>1</v>
      </c>
      <c r="D793" t="n">
        <v>0</v>
      </c>
      <c r="E793" t="s">
        <v>800</v>
      </c>
      <c r="F793" t="s"/>
      <c r="G793" t="s"/>
      <c r="H793" t="s"/>
      <c r="I793" t="s"/>
      <c r="J793" t="n">
        <v>0.836</v>
      </c>
      <c r="K793" t="n">
        <v>0.093</v>
      </c>
      <c r="L793" t="n">
        <v>0.498</v>
      </c>
      <c r="M793" t="n">
        <v>0.409</v>
      </c>
    </row>
    <row r="794" spans="1:13">
      <c r="A794" s="1">
        <f>HYPERLINK("http://www.twitter.com/NathanBLawrence/status/992117711596609536", "992117711596609536")</f>
        <v/>
      </c>
      <c r="B794" s="2" t="n">
        <v>43223.79478009259</v>
      </c>
      <c r="C794" t="n">
        <v>0</v>
      </c>
      <c r="D794" t="n">
        <v>10</v>
      </c>
      <c r="E794" t="s">
        <v>801</v>
      </c>
      <c r="F794">
        <f>HYPERLINK("http://pbs.twimg.com/media/DcS1hh5VQAAPLoc.jpg", "http://pbs.twimg.com/media/DcS1hh5VQAAPLoc.jpg")</f>
        <v/>
      </c>
      <c r="G794" t="s"/>
      <c r="H794" t="s"/>
      <c r="I794" t="s"/>
      <c r="J794" t="n">
        <v>0</v>
      </c>
      <c r="K794" t="n">
        <v>0</v>
      </c>
      <c r="L794" t="n">
        <v>1</v>
      </c>
      <c r="M794" t="n">
        <v>0</v>
      </c>
    </row>
    <row r="795" spans="1:13">
      <c r="A795" s="1">
        <f>HYPERLINK("http://www.twitter.com/NathanBLawrence/status/992100818680799232", "992100818680799232")</f>
        <v/>
      </c>
      <c r="B795" s="2" t="n">
        <v>43223.7481712963</v>
      </c>
      <c r="C795" t="n">
        <v>0</v>
      </c>
      <c r="D795" t="n">
        <v>4</v>
      </c>
      <c r="E795" t="s">
        <v>802</v>
      </c>
      <c r="F795" t="s"/>
      <c r="G795" t="s"/>
      <c r="H795" t="s"/>
      <c r="I795" t="s"/>
      <c r="J795" t="n">
        <v>0</v>
      </c>
      <c r="K795" t="n">
        <v>0</v>
      </c>
      <c r="L795" t="n">
        <v>1</v>
      </c>
      <c r="M795" t="n">
        <v>0</v>
      </c>
    </row>
    <row r="796" spans="1:13">
      <c r="A796" s="1">
        <f>HYPERLINK("http://www.twitter.com/NathanBLawrence/status/992100784782397440", "992100784782397440")</f>
        <v/>
      </c>
      <c r="B796" s="2" t="n">
        <v>43223.74807870371</v>
      </c>
      <c r="C796" t="n">
        <v>0</v>
      </c>
      <c r="D796" t="n">
        <v>4</v>
      </c>
      <c r="E796" t="s">
        <v>803</v>
      </c>
      <c r="F796" t="s"/>
      <c r="G796" t="s"/>
      <c r="H796" t="s"/>
      <c r="I796" t="s"/>
      <c r="J796" t="n">
        <v>-0.6705</v>
      </c>
      <c r="K796" t="n">
        <v>0.273</v>
      </c>
      <c r="L796" t="n">
        <v>0.64</v>
      </c>
      <c r="M796" t="n">
        <v>0.08799999999999999</v>
      </c>
    </row>
    <row r="797" spans="1:13">
      <c r="A797" s="1">
        <f>HYPERLINK("http://www.twitter.com/NathanBLawrence/status/992092211629060096", "992092211629060096")</f>
        <v/>
      </c>
      <c r="B797" s="2" t="n">
        <v>43223.7244212963</v>
      </c>
      <c r="C797" t="n">
        <v>15</v>
      </c>
      <c r="D797" t="n">
        <v>9</v>
      </c>
      <c r="E797" t="s">
        <v>804</v>
      </c>
      <c r="F797" t="s"/>
      <c r="G797" t="s"/>
      <c r="H797" t="s"/>
      <c r="I797" t="s"/>
      <c r="J797" t="n">
        <v>0.5656</v>
      </c>
      <c r="K797" t="n">
        <v>0.114</v>
      </c>
      <c r="L797" t="n">
        <v>0.705</v>
      </c>
      <c r="M797" t="n">
        <v>0.181</v>
      </c>
    </row>
    <row r="798" spans="1:13">
      <c r="A798" s="1">
        <f>HYPERLINK("http://www.twitter.com/NathanBLawrence/status/992071478702235650", "992071478702235650")</f>
        <v/>
      </c>
      <c r="B798" s="2" t="n">
        <v>43223.66719907407</v>
      </c>
      <c r="C798" t="n">
        <v>0</v>
      </c>
      <c r="D798" t="n">
        <v>6127</v>
      </c>
      <c r="E798" t="s">
        <v>805</v>
      </c>
      <c r="F798" t="s"/>
      <c r="G798" t="s"/>
      <c r="H798" t="s"/>
      <c r="I798" t="s"/>
      <c r="J798" t="n">
        <v>0.6369</v>
      </c>
      <c r="K798" t="n">
        <v>0</v>
      </c>
      <c r="L798" t="n">
        <v>0.741</v>
      </c>
      <c r="M798" t="n">
        <v>0.259</v>
      </c>
    </row>
    <row r="799" spans="1:13">
      <c r="A799" s="1">
        <f>HYPERLINK("http://www.twitter.com/NathanBLawrence/status/992071464139546624", "992071464139546624")</f>
        <v/>
      </c>
      <c r="B799" s="2" t="n">
        <v>43223.66716435185</v>
      </c>
      <c r="C799" t="n">
        <v>0</v>
      </c>
      <c r="D799" t="n">
        <v>377</v>
      </c>
      <c r="E799" t="s">
        <v>806</v>
      </c>
      <c r="F799" t="s"/>
      <c r="G799" t="s"/>
      <c r="H799" t="s"/>
      <c r="I799" t="s"/>
      <c r="J799" t="n">
        <v>-0.7603</v>
      </c>
      <c r="K799" t="n">
        <v>0.386</v>
      </c>
      <c r="L799" t="n">
        <v>0.614</v>
      </c>
      <c r="M799" t="n">
        <v>0</v>
      </c>
    </row>
    <row r="800" spans="1:13">
      <c r="A800" s="1">
        <f>HYPERLINK("http://www.twitter.com/NathanBLawrence/status/992071435723165697", "992071435723165697")</f>
        <v/>
      </c>
      <c r="B800" s="2" t="n">
        <v>43223.66708333333</v>
      </c>
      <c r="C800" t="n">
        <v>0</v>
      </c>
      <c r="D800" t="n">
        <v>936</v>
      </c>
      <c r="E800" t="s">
        <v>807</v>
      </c>
      <c r="F800" t="s"/>
      <c r="G800" t="s"/>
      <c r="H800" t="s"/>
      <c r="I800" t="s"/>
      <c r="J800" t="n">
        <v>0.4767</v>
      </c>
      <c r="K800" t="n">
        <v>0</v>
      </c>
      <c r="L800" t="n">
        <v>0.829</v>
      </c>
      <c r="M800" t="n">
        <v>0.171</v>
      </c>
    </row>
    <row r="801" spans="1:13">
      <c r="A801" s="1">
        <f>HYPERLINK("http://www.twitter.com/NathanBLawrence/status/992071327161966600", "992071327161966600")</f>
        <v/>
      </c>
      <c r="B801" s="2" t="n">
        <v>43223.66678240741</v>
      </c>
      <c r="C801" t="n">
        <v>0</v>
      </c>
      <c r="D801" t="n">
        <v>1</v>
      </c>
      <c r="E801" t="s">
        <v>808</v>
      </c>
      <c r="F801" t="s"/>
      <c r="G801" t="s"/>
      <c r="H801" t="s"/>
      <c r="I801" t="s"/>
      <c r="J801" t="n">
        <v>0</v>
      </c>
      <c r="K801" t="n">
        <v>0</v>
      </c>
      <c r="L801" t="n">
        <v>1</v>
      </c>
      <c r="M801" t="n">
        <v>0</v>
      </c>
    </row>
    <row r="802" spans="1:13">
      <c r="A802" s="1">
        <f>HYPERLINK("http://www.twitter.com/NathanBLawrence/status/992071255942746112", "992071255942746112")</f>
        <v/>
      </c>
      <c r="B802" s="2" t="n">
        <v>43223.66658564815</v>
      </c>
      <c r="C802" t="n">
        <v>0</v>
      </c>
      <c r="D802" t="n">
        <v>10</v>
      </c>
      <c r="E802" t="s">
        <v>809</v>
      </c>
      <c r="F802" t="s"/>
      <c r="G802" t="s"/>
      <c r="H802" t="s"/>
      <c r="I802" t="s"/>
      <c r="J802" t="n">
        <v>0.8074</v>
      </c>
      <c r="K802" t="n">
        <v>0</v>
      </c>
      <c r="L802" t="n">
        <v>0.742</v>
      </c>
      <c r="M802" t="n">
        <v>0.258</v>
      </c>
    </row>
    <row r="803" spans="1:13">
      <c r="A803" s="1">
        <f>HYPERLINK("http://www.twitter.com/NathanBLawrence/status/992070828962480128", "992070828962480128")</f>
        <v/>
      </c>
      <c r="B803" s="2" t="n">
        <v>43223.66541666666</v>
      </c>
      <c r="C803" t="n">
        <v>11</v>
      </c>
      <c r="D803" t="n">
        <v>10</v>
      </c>
      <c r="E803" t="s">
        <v>810</v>
      </c>
      <c r="F803" t="s"/>
      <c r="G803" t="s"/>
      <c r="H803" t="s"/>
      <c r="I803" t="s"/>
      <c r="J803" t="n">
        <v>0.8074</v>
      </c>
      <c r="K803" t="n">
        <v>0</v>
      </c>
      <c r="L803" t="n">
        <v>0.835</v>
      </c>
      <c r="M803" t="n">
        <v>0.165</v>
      </c>
    </row>
    <row r="804" spans="1:13">
      <c r="A804" s="1">
        <f>HYPERLINK("http://www.twitter.com/NathanBLawrence/status/992070163129339904", "992070163129339904")</f>
        <v/>
      </c>
      <c r="B804" s="2" t="n">
        <v>43223.66357638889</v>
      </c>
      <c r="C804" t="n">
        <v>0</v>
      </c>
      <c r="D804" t="n">
        <v>8</v>
      </c>
      <c r="E804" t="s">
        <v>811</v>
      </c>
      <c r="F804">
        <f>HYPERLINK("http://pbs.twimg.com/media/DcSBzJBUwAANLwC.jpg", "http://pbs.twimg.com/media/DcSBzJBUwAANLwC.jpg")</f>
        <v/>
      </c>
      <c r="G804" t="s"/>
      <c r="H804" t="s"/>
      <c r="I804" t="s"/>
      <c r="J804" t="n">
        <v>-0.7783</v>
      </c>
      <c r="K804" t="n">
        <v>0.254</v>
      </c>
      <c r="L804" t="n">
        <v>0.746</v>
      </c>
      <c r="M804" t="n">
        <v>0</v>
      </c>
    </row>
    <row r="805" spans="1:13">
      <c r="A805" s="1">
        <f>HYPERLINK("http://www.twitter.com/NathanBLawrence/status/992070146129825793", "992070146129825793")</f>
        <v/>
      </c>
      <c r="B805" s="2" t="n">
        <v>43223.66353009259</v>
      </c>
      <c r="C805" t="n">
        <v>0</v>
      </c>
      <c r="D805" t="n">
        <v>15</v>
      </c>
      <c r="E805" t="s">
        <v>812</v>
      </c>
      <c r="F805" t="s"/>
      <c r="G805" t="s"/>
      <c r="H805" t="s"/>
      <c r="I805" t="s"/>
      <c r="J805" t="n">
        <v>0</v>
      </c>
      <c r="K805" t="n">
        <v>0</v>
      </c>
      <c r="L805" t="n">
        <v>1</v>
      </c>
      <c r="M805" t="n">
        <v>0</v>
      </c>
    </row>
    <row r="806" spans="1:13">
      <c r="A806" s="1">
        <f>HYPERLINK("http://www.twitter.com/NathanBLawrence/status/992070135337947136", "992070135337947136")</f>
        <v/>
      </c>
      <c r="B806" s="2" t="n">
        <v>43223.66349537037</v>
      </c>
      <c r="C806" t="n">
        <v>7</v>
      </c>
      <c r="D806" t="n">
        <v>4</v>
      </c>
      <c r="E806" t="s">
        <v>813</v>
      </c>
      <c r="F806" t="s"/>
      <c r="G806" t="s"/>
      <c r="H806" t="s"/>
      <c r="I806" t="s"/>
      <c r="J806" t="n">
        <v>-0.6114000000000001</v>
      </c>
      <c r="K806" t="n">
        <v>0.333</v>
      </c>
      <c r="L806" t="n">
        <v>0.667</v>
      </c>
      <c r="M806" t="n">
        <v>0</v>
      </c>
    </row>
    <row r="807" spans="1:13">
      <c r="A807" s="1">
        <f>HYPERLINK("http://www.twitter.com/NathanBLawrence/status/992065395539488769", "992065395539488769")</f>
        <v/>
      </c>
      <c r="B807" s="2" t="n">
        <v>43223.65041666666</v>
      </c>
      <c r="C807" t="n">
        <v>0</v>
      </c>
      <c r="D807" t="n">
        <v>134</v>
      </c>
      <c r="E807" t="s">
        <v>814</v>
      </c>
      <c r="F807" t="s"/>
      <c r="G807" t="s"/>
      <c r="H807" t="s"/>
      <c r="I807" t="s"/>
      <c r="J807" t="n">
        <v>0.4404</v>
      </c>
      <c r="K807" t="n">
        <v>0</v>
      </c>
      <c r="L807" t="n">
        <v>0.873</v>
      </c>
      <c r="M807" t="n">
        <v>0.127</v>
      </c>
    </row>
    <row r="808" spans="1:13">
      <c r="A808" s="1">
        <f>HYPERLINK("http://www.twitter.com/NathanBLawrence/status/992065346369662977", "992065346369662977")</f>
        <v/>
      </c>
      <c r="B808" s="2" t="n">
        <v>43223.65027777778</v>
      </c>
      <c r="C808" t="n">
        <v>0</v>
      </c>
      <c r="D808" t="n">
        <v>3</v>
      </c>
      <c r="E808" t="s">
        <v>815</v>
      </c>
      <c r="F808" t="s"/>
      <c r="G808" t="s"/>
      <c r="H808" t="s"/>
      <c r="I808" t="s"/>
      <c r="J808" t="n">
        <v>0</v>
      </c>
      <c r="K808" t="n">
        <v>0</v>
      </c>
      <c r="L808" t="n">
        <v>1</v>
      </c>
      <c r="M808" t="n">
        <v>0</v>
      </c>
    </row>
    <row r="809" spans="1:13">
      <c r="A809" s="1">
        <f>HYPERLINK("http://www.twitter.com/NathanBLawrence/status/992065303772368902", "992065303772368902")</f>
        <v/>
      </c>
      <c r="B809" s="2" t="n">
        <v>43223.65016203704</v>
      </c>
      <c r="C809" t="n">
        <v>0</v>
      </c>
      <c r="D809" t="n">
        <v>2007</v>
      </c>
      <c r="E809" t="s">
        <v>816</v>
      </c>
      <c r="F809" t="s"/>
      <c r="G809" t="s"/>
      <c r="H809" t="s"/>
      <c r="I809" t="s"/>
      <c r="J809" t="n">
        <v>-0.5859</v>
      </c>
      <c r="K809" t="n">
        <v>0.242</v>
      </c>
      <c r="L809" t="n">
        <v>0.758</v>
      </c>
      <c r="M809" t="n">
        <v>0</v>
      </c>
    </row>
    <row r="810" spans="1:13">
      <c r="A810" s="1">
        <f>HYPERLINK("http://www.twitter.com/NathanBLawrence/status/992065266841419776", "992065266841419776")</f>
        <v/>
      </c>
      <c r="B810" s="2" t="n">
        <v>43223.65005787037</v>
      </c>
      <c r="C810" t="n">
        <v>0</v>
      </c>
      <c r="D810" t="n">
        <v>46090</v>
      </c>
      <c r="E810" t="s">
        <v>817</v>
      </c>
      <c r="F810" t="s"/>
      <c r="G810" t="s"/>
      <c r="H810" t="s"/>
      <c r="I810" t="s"/>
      <c r="J810" t="n">
        <v>0.1779</v>
      </c>
      <c r="K810" t="n">
        <v>0.223</v>
      </c>
      <c r="L810" t="n">
        <v>0.534</v>
      </c>
      <c r="M810" t="n">
        <v>0.243</v>
      </c>
    </row>
    <row r="811" spans="1:13">
      <c r="A811" s="1">
        <f>HYPERLINK("http://www.twitter.com/NathanBLawrence/status/992064836698824704", "992064836698824704")</f>
        <v/>
      </c>
      <c r="B811" s="2" t="n">
        <v>43223.64887731482</v>
      </c>
      <c r="C811" t="n">
        <v>0</v>
      </c>
      <c r="D811" t="n">
        <v>6046</v>
      </c>
      <c r="E811" t="s">
        <v>818</v>
      </c>
      <c r="F811">
        <f>HYPERLINK("https://video.twimg.com/ext_tw_video/938406757499572225/pu/vid/1280x720/5rkIMkef2vbL327l.mp4", "https://video.twimg.com/ext_tw_video/938406757499572225/pu/vid/1280x720/5rkIMkef2vbL327l.mp4")</f>
        <v/>
      </c>
      <c r="G811" t="s"/>
      <c r="H811" t="s"/>
      <c r="I811" t="s"/>
      <c r="J811" t="n">
        <v>0.6597</v>
      </c>
      <c r="K811" t="n">
        <v>0.054</v>
      </c>
      <c r="L811" t="n">
        <v>0.708</v>
      </c>
      <c r="M811" t="n">
        <v>0.237</v>
      </c>
    </row>
    <row r="812" spans="1:13">
      <c r="A812" s="1">
        <f>HYPERLINK("http://www.twitter.com/NathanBLawrence/status/992064696923631618", "992064696923631618")</f>
        <v/>
      </c>
      <c r="B812" s="2" t="n">
        <v>43223.64849537037</v>
      </c>
      <c r="C812" t="n">
        <v>0</v>
      </c>
      <c r="D812" t="n">
        <v>2</v>
      </c>
      <c r="E812" t="s">
        <v>819</v>
      </c>
      <c r="F812" t="s"/>
      <c r="G812" t="s"/>
      <c r="H812" t="s"/>
      <c r="I812" t="s"/>
      <c r="J812" t="n">
        <v>0</v>
      </c>
      <c r="K812" t="n">
        <v>0</v>
      </c>
      <c r="L812" t="n">
        <v>1</v>
      </c>
      <c r="M812" t="n">
        <v>0</v>
      </c>
    </row>
    <row r="813" spans="1:13">
      <c r="A813" s="1">
        <f>HYPERLINK("http://www.twitter.com/NathanBLawrence/status/992064423241150469", "992064423241150469")</f>
        <v/>
      </c>
      <c r="B813" s="2" t="n">
        <v>43223.64773148148</v>
      </c>
      <c r="C813" t="n">
        <v>0</v>
      </c>
      <c r="D813" t="n">
        <v>72</v>
      </c>
      <c r="E813" t="s">
        <v>820</v>
      </c>
      <c r="F813" t="s"/>
      <c r="G813" t="s"/>
      <c r="H813" t="s"/>
      <c r="I813" t="s"/>
      <c r="J813" t="n">
        <v>-0.6124000000000001</v>
      </c>
      <c r="K813" t="n">
        <v>0.179</v>
      </c>
      <c r="L813" t="n">
        <v>0.821</v>
      </c>
      <c r="M813" t="n">
        <v>0</v>
      </c>
    </row>
    <row r="814" spans="1:13">
      <c r="A814" s="1">
        <f>HYPERLINK("http://www.twitter.com/NathanBLawrence/status/992064400306724866", "992064400306724866")</f>
        <v/>
      </c>
      <c r="B814" s="2" t="n">
        <v>43223.64767361111</v>
      </c>
      <c r="C814" t="n">
        <v>0</v>
      </c>
      <c r="D814" t="n">
        <v>72</v>
      </c>
      <c r="E814" t="s">
        <v>821</v>
      </c>
      <c r="F814" t="s"/>
      <c r="G814" t="s"/>
      <c r="H814" t="s"/>
      <c r="I814" t="s"/>
      <c r="J814" t="n">
        <v>-0.6142</v>
      </c>
      <c r="K814" t="n">
        <v>0.193</v>
      </c>
      <c r="L814" t="n">
        <v>0.8070000000000001</v>
      </c>
      <c r="M814" t="n">
        <v>0</v>
      </c>
    </row>
    <row r="815" spans="1:13">
      <c r="A815" s="1">
        <f>HYPERLINK("http://www.twitter.com/NathanBLawrence/status/992064287794483201", "992064287794483201")</f>
        <v/>
      </c>
      <c r="B815" s="2" t="n">
        <v>43223.64736111111</v>
      </c>
      <c r="C815" t="n">
        <v>2</v>
      </c>
      <c r="D815" t="n">
        <v>0</v>
      </c>
      <c r="E815" t="s">
        <v>822</v>
      </c>
      <c r="F815" t="s"/>
      <c r="G815" t="s"/>
      <c r="H815" t="s"/>
      <c r="I815" t="s"/>
      <c r="J815" t="n">
        <v>-0.0503</v>
      </c>
      <c r="K815" t="n">
        <v>0.141</v>
      </c>
      <c r="L815" t="n">
        <v>0.747</v>
      </c>
      <c r="M815" t="n">
        <v>0.113</v>
      </c>
    </row>
    <row r="816" spans="1:13">
      <c r="A816" s="1">
        <f>HYPERLINK("http://www.twitter.com/NathanBLawrence/status/992063980171661313", "992063980171661313")</f>
        <v/>
      </c>
      <c r="B816" s="2" t="n">
        <v>43223.64651620371</v>
      </c>
      <c r="C816" t="n">
        <v>0</v>
      </c>
      <c r="D816" t="n">
        <v>6</v>
      </c>
      <c r="E816" t="s">
        <v>823</v>
      </c>
      <c r="F816" t="s"/>
      <c r="G816" t="s"/>
      <c r="H816" t="s"/>
      <c r="I816" t="s"/>
      <c r="J816" t="n">
        <v>0.3612</v>
      </c>
      <c r="K816" t="n">
        <v>0</v>
      </c>
      <c r="L816" t="n">
        <v>0.894</v>
      </c>
      <c r="M816" t="n">
        <v>0.106</v>
      </c>
    </row>
    <row r="817" spans="1:13">
      <c r="A817" s="1">
        <f>HYPERLINK("http://www.twitter.com/NathanBLawrence/status/992063946222956544", "992063946222956544")</f>
        <v/>
      </c>
      <c r="B817" s="2" t="n">
        <v>43223.64642361111</v>
      </c>
      <c r="C817" t="n">
        <v>0</v>
      </c>
      <c r="D817" t="n">
        <v>1</v>
      </c>
      <c r="E817" t="s">
        <v>824</v>
      </c>
      <c r="F817" t="s"/>
      <c r="G817" t="s"/>
      <c r="H817" t="s"/>
      <c r="I817" t="s"/>
      <c r="J817" t="n">
        <v>0.5106000000000001</v>
      </c>
      <c r="K817" t="n">
        <v>0</v>
      </c>
      <c r="L817" t="n">
        <v>0.879</v>
      </c>
      <c r="M817" t="n">
        <v>0.121</v>
      </c>
    </row>
    <row r="818" spans="1:13">
      <c r="A818" s="1">
        <f>HYPERLINK("http://www.twitter.com/NathanBLawrence/status/992063934139109376", "992063934139109376")</f>
        <v/>
      </c>
      <c r="B818" s="2" t="n">
        <v>43223.64638888889</v>
      </c>
      <c r="C818" t="n">
        <v>0</v>
      </c>
      <c r="D818" t="n">
        <v>4</v>
      </c>
      <c r="E818" t="s">
        <v>825</v>
      </c>
      <c r="F818" t="s"/>
      <c r="G818" t="s"/>
      <c r="H818" t="s"/>
      <c r="I818" t="s"/>
      <c r="J818" t="n">
        <v>0.6696</v>
      </c>
      <c r="K818" t="n">
        <v>0</v>
      </c>
      <c r="L818" t="n">
        <v>0.824</v>
      </c>
      <c r="M818" t="n">
        <v>0.176</v>
      </c>
    </row>
    <row r="819" spans="1:13">
      <c r="A819" s="1">
        <f>HYPERLINK("http://www.twitter.com/NathanBLawrence/status/992063901574541312", "992063901574541312")</f>
        <v/>
      </c>
      <c r="B819" s="2" t="n">
        <v>43223.6462962963</v>
      </c>
      <c r="C819" t="n">
        <v>0</v>
      </c>
      <c r="D819" t="n">
        <v>28</v>
      </c>
      <c r="E819" t="s">
        <v>826</v>
      </c>
      <c r="F819" t="s"/>
      <c r="G819" t="s"/>
      <c r="H819" t="s"/>
      <c r="I819" t="s"/>
      <c r="J819" t="n">
        <v>0</v>
      </c>
      <c r="K819" t="n">
        <v>0</v>
      </c>
      <c r="L819" t="n">
        <v>1</v>
      </c>
      <c r="M819" t="n">
        <v>0</v>
      </c>
    </row>
    <row r="820" spans="1:13">
      <c r="A820" s="1">
        <f>HYPERLINK("http://www.twitter.com/NathanBLawrence/status/992063883987832833", "992063883987832833")</f>
        <v/>
      </c>
      <c r="B820" s="2" t="n">
        <v>43223.64625</v>
      </c>
      <c r="C820" t="n">
        <v>0</v>
      </c>
      <c r="D820" t="n">
        <v>4</v>
      </c>
      <c r="E820" t="s">
        <v>827</v>
      </c>
      <c r="F820" t="s"/>
      <c r="G820" t="s"/>
      <c r="H820" t="s"/>
      <c r="I820" t="s"/>
      <c r="J820" t="n">
        <v>0.743</v>
      </c>
      <c r="K820" t="n">
        <v>0.094</v>
      </c>
      <c r="L820" t="n">
        <v>0.592</v>
      </c>
      <c r="M820" t="n">
        <v>0.314</v>
      </c>
    </row>
    <row r="821" spans="1:13">
      <c r="A821" s="1">
        <f>HYPERLINK("http://www.twitter.com/NathanBLawrence/status/992063863171506176", "992063863171506176")</f>
        <v/>
      </c>
      <c r="B821" s="2" t="n">
        <v>43223.64619212963</v>
      </c>
      <c r="C821" t="n">
        <v>0</v>
      </c>
      <c r="D821" t="n">
        <v>101</v>
      </c>
      <c r="E821" t="s">
        <v>828</v>
      </c>
      <c r="F821" t="s"/>
      <c r="G821" t="s"/>
      <c r="H821" t="s"/>
      <c r="I821" t="s"/>
      <c r="J821" t="n">
        <v>0.7003</v>
      </c>
      <c r="K821" t="n">
        <v>0</v>
      </c>
      <c r="L821" t="n">
        <v>0.734</v>
      </c>
      <c r="M821" t="n">
        <v>0.266</v>
      </c>
    </row>
    <row r="822" spans="1:13">
      <c r="A822" s="1">
        <f>HYPERLINK("http://www.twitter.com/NathanBLawrence/status/992063844091617281", "992063844091617281")</f>
        <v/>
      </c>
      <c r="B822" s="2" t="n">
        <v>43223.64613425926</v>
      </c>
      <c r="C822" t="n">
        <v>0</v>
      </c>
      <c r="D822" t="n">
        <v>11</v>
      </c>
      <c r="E822" t="s">
        <v>829</v>
      </c>
      <c r="F822" t="s"/>
      <c r="G822" t="s"/>
      <c r="H822" t="s"/>
      <c r="I822" t="s"/>
      <c r="J822" t="n">
        <v>-0.4767</v>
      </c>
      <c r="K822" t="n">
        <v>0.181</v>
      </c>
      <c r="L822" t="n">
        <v>0.819</v>
      </c>
      <c r="M822" t="n">
        <v>0</v>
      </c>
    </row>
    <row r="823" spans="1:13">
      <c r="A823" s="1">
        <f>HYPERLINK("http://www.twitter.com/NathanBLawrence/status/992063820381196288", "992063820381196288")</f>
        <v/>
      </c>
      <c r="B823" s="2" t="n">
        <v>43223.64607638889</v>
      </c>
      <c r="C823" t="n">
        <v>1</v>
      </c>
      <c r="D823" t="n">
        <v>1</v>
      </c>
      <c r="E823" t="s">
        <v>830</v>
      </c>
      <c r="F823" t="s"/>
      <c r="G823" t="s"/>
      <c r="H823" t="s"/>
      <c r="I823" t="s"/>
      <c r="J823" t="n">
        <v>-0.3875</v>
      </c>
      <c r="K823" t="n">
        <v>0.396</v>
      </c>
      <c r="L823" t="n">
        <v>0.604</v>
      </c>
      <c r="M823" t="n">
        <v>0</v>
      </c>
    </row>
    <row r="824" spans="1:13">
      <c r="A824" s="1">
        <f>HYPERLINK("http://www.twitter.com/NathanBLawrence/status/992063714084966402", "992063714084966402")</f>
        <v/>
      </c>
      <c r="B824" s="2" t="n">
        <v>43223.64577546297</v>
      </c>
      <c r="C824" t="n">
        <v>0</v>
      </c>
      <c r="D824" t="n">
        <v>110</v>
      </c>
      <c r="E824" t="s">
        <v>831</v>
      </c>
      <c r="F824" t="s"/>
      <c r="G824" t="s"/>
      <c r="H824" t="s"/>
      <c r="I824" t="s"/>
      <c r="J824" t="n">
        <v>0</v>
      </c>
      <c r="K824" t="n">
        <v>0</v>
      </c>
      <c r="L824" t="n">
        <v>1</v>
      </c>
      <c r="M824" t="n">
        <v>0</v>
      </c>
    </row>
    <row r="825" spans="1:13">
      <c r="A825" s="1">
        <f>HYPERLINK("http://www.twitter.com/NathanBLawrence/status/991912132592709632", "991912132592709632")</f>
        <v/>
      </c>
      <c r="B825" s="2" t="n">
        <v>43223.22748842592</v>
      </c>
      <c r="C825" t="n">
        <v>0</v>
      </c>
      <c r="D825" t="n">
        <v>162</v>
      </c>
      <c r="E825" t="s">
        <v>832</v>
      </c>
      <c r="F825" t="s"/>
      <c r="G825" t="s"/>
      <c r="H825" t="s"/>
      <c r="I825" t="s"/>
      <c r="J825" t="n">
        <v>-0.6956</v>
      </c>
      <c r="K825" t="n">
        <v>0.365</v>
      </c>
      <c r="L825" t="n">
        <v>0.635</v>
      </c>
      <c r="M825" t="n">
        <v>0</v>
      </c>
    </row>
    <row r="826" spans="1:13">
      <c r="A826" s="1">
        <f>HYPERLINK("http://www.twitter.com/NathanBLawrence/status/991911857517678593", "991911857517678593")</f>
        <v/>
      </c>
      <c r="B826" s="2" t="n">
        <v>43223.22673611111</v>
      </c>
      <c r="C826" t="n">
        <v>0</v>
      </c>
      <c r="D826" t="n">
        <v>23266</v>
      </c>
      <c r="E826" t="s">
        <v>833</v>
      </c>
      <c r="F826" t="s"/>
      <c r="G826" t="s"/>
      <c r="H826" t="s"/>
      <c r="I826" t="s"/>
      <c r="J826" t="n">
        <v>0.2263</v>
      </c>
      <c r="K826" t="n">
        <v>0.074</v>
      </c>
      <c r="L826" t="n">
        <v>0.8169999999999999</v>
      </c>
      <c r="M826" t="n">
        <v>0.109</v>
      </c>
    </row>
    <row r="827" spans="1:13">
      <c r="A827" s="1">
        <f>HYPERLINK("http://www.twitter.com/NathanBLawrence/status/991905146790526976", "991905146790526976")</f>
        <v/>
      </c>
      <c r="B827" s="2" t="n">
        <v>43223.20821759259</v>
      </c>
      <c r="C827" t="n">
        <v>0</v>
      </c>
      <c r="D827" t="n">
        <v>5</v>
      </c>
      <c r="E827" t="s">
        <v>834</v>
      </c>
      <c r="F827" t="s"/>
      <c r="G827" t="s"/>
      <c r="H827" t="s"/>
      <c r="I827" t="s"/>
      <c r="J827" t="n">
        <v>-0.4482</v>
      </c>
      <c r="K827" t="n">
        <v>0.128</v>
      </c>
      <c r="L827" t="n">
        <v>0.872</v>
      </c>
      <c r="M827" t="n">
        <v>0</v>
      </c>
    </row>
    <row r="828" spans="1:13">
      <c r="A828" s="1">
        <f>HYPERLINK("http://www.twitter.com/NathanBLawrence/status/991904047442444288", "991904047442444288")</f>
        <v/>
      </c>
      <c r="B828" s="2" t="n">
        <v>43223.20518518519</v>
      </c>
      <c r="C828" t="n">
        <v>0</v>
      </c>
      <c r="D828" t="n">
        <v>9</v>
      </c>
      <c r="E828" t="s">
        <v>835</v>
      </c>
      <c r="F828" t="s"/>
      <c r="G828" t="s"/>
      <c r="H828" t="s"/>
      <c r="I828" t="s"/>
      <c r="J828" t="n">
        <v>0.3612</v>
      </c>
      <c r="K828" t="n">
        <v>0</v>
      </c>
      <c r="L828" t="n">
        <v>0.889</v>
      </c>
      <c r="M828" t="n">
        <v>0.111</v>
      </c>
    </row>
    <row r="829" spans="1:13">
      <c r="A829" s="1">
        <f>HYPERLINK("http://www.twitter.com/NathanBLawrence/status/991879270367510528", "991879270367510528")</f>
        <v/>
      </c>
      <c r="B829" s="2" t="n">
        <v>43223.13680555556</v>
      </c>
      <c r="C829" t="n">
        <v>0</v>
      </c>
      <c r="D829" t="n">
        <v>7959</v>
      </c>
      <c r="E829" t="s">
        <v>836</v>
      </c>
      <c r="F829" t="s"/>
      <c r="G829" t="s"/>
      <c r="H829" t="s"/>
      <c r="I829" t="s"/>
      <c r="J829" t="n">
        <v>0.2263</v>
      </c>
      <c r="K829" t="n">
        <v>0.1</v>
      </c>
      <c r="L829" t="n">
        <v>0.763</v>
      </c>
      <c r="M829" t="n">
        <v>0.137</v>
      </c>
    </row>
    <row r="830" spans="1:13">
      <c r="A830" s="1">
        <f>HYPERLINK("http://www.twitter.com/NathanBLawrence/status/991879206228312064", "991879206228312064")</f>
        <v/>
      </c>
      <c r="B830" s="2" t="n">
        <v>43223.13663194444</v>
      </c>
      <c r="C830" t="n">
        <v>0</v>
      </c>
      <c r="D830" t="n">
        <v>246</v>
      </c>
      <c r="E830" t="s">
        <v>837</v>
      </c>
      <c r="F830">
        <f>HYPERLINK("http://pbs.twimg.com/media/DcPbmKGVQAAlv25.jpg", "http://pbs.twimg.com/media/DcPbmKGVQAAlv25.jpg")</f>
        <v/>
      </c>
      <c r="G830" t="s"/>
      <c r="H830" t="s"/>
      <c r="I830" t="s"/>
      <c r="J830" t="n">
        <v>0</v>
      </c>
      <c r="K830" t="n">
        <v>0</v>
      </c>
      <c r="L830" t="n">
        <v>1</v>
      </c>
      <c r="M830" t="n">
        <v>0</v>
      </c>
    </row>
    <row r="831" spans="1:13">
      <c r="A831" s="1">
        <f>HYPERLINK("http://www.twitter.com/NathanBLawrence/status/991879140809805824", "991879140809805824")</f>
        <v/>
      </c>
      <c r="B831" s="2" t="n">
        <v>43223.13645833333</v>
      </c>
      <c r="C831" t="n">
        <v>0</v>
      </c>
      <c r="D831" t="n">
        <v>377</v>
      </c>
      <c r="E831" t="s">
        <v>838</v>
      </c>
      <c r="F831" t="s"/>
      <c r="G831" t="s"/>
      <c r="H831" t="s"/>
      <c r="I831" t="s"/>
      <c r="J831" t="n">
        <v>0.4926</v>
      </c>
      <c r="K831" t="n">
        <v>0.045</v>
      </c>
      <c r="L831" t="n">
        <v>0.827</v>
      </c>
      <c r="M831" t="n">
        <v>0.128</v>
      </c>
    </row>
    <row r="832" spans="1:13">
      <c r="A832" s="1">
        <f>HYPERLINK("http://www.twitter.com/NathanBLawrence/status/991879121083887616", "991879121083887616")</f>
        <v/>
      </c>
      <c r="B832" s="2" t="n">
        <v>43223.13640046296</v>
      </c>
      <c r="C832" t="n">
        <v>0</v>
      </c>
      <c r="D832" t="n">
        <v>764</v>
      </c>
      <c r="E832" t="s">
        <v>839</v>
      </c>
      <c r="F832" t="s"/>
      <c r="G832" t="s"/>
      <c r="H832" t="s"/>
      <c r="I832" t="s"/>
      <c r="J832" t="n">
        <v>0.4767</v>
      </c>
      <c r="K832" t="n">
        <v>0</v>
      </c>
      <c r="L832" t="n">
        <v>0.819</v>
      </c>
      <c r="M832" t="n">
        <v>0.181</v>
      </c>
    </row>
    <row r="833" spans="1:13">
      <c r="A833" s="1">
        <f>HYPERLINK("http://www.twitter.com/NathanBLawrence/status/991879062464352258", "991879062464352258")</f>
        <v/>
      </c>
      <c r="B833" s="2" t="n">
        <v>43223.13623842593</v>
      </c>
      <c r="C833" t="n">
        <v>0</v>
      </c>
      <c r="D833" t="n">
        <v>10</v>
      </c>
      <c r="E833" t="s">
        <v>840</v>
      </c>
      <c r="F833" t="s"/>
      <c r="G833" t="s"/>
      <c r="H833" t="s"/>
      <c r="I833" t="s"/>
      <c r="J833" t="n">
        <v>0.4019</v>
      </c>
      <c r="K833" t="n">
        <v>0</v>
      </c>
      <c r="L833" t="n">
        <v>0.863</v>
      </c>
      <c r="M833" t="n">
        <v>0.137</v>
      </c>
    </row>
    <row r="834" spans="1:13">
      <c r="A834" s="1">
        <f>HYPERLINK("http://www.twitter.com/NathanBLawrence/status/991879047972974592", "991879047972974592")</f>
        <v/>
      </c>
      <c r="B834" s="2" t="n">
        <v>43223.13619212963</v>
      </c>
      <c r="C834" t="n">
        <v>0</v>
      </c>
      <c r="D834" t="n">
        <v>394</v>
      </c>
      <c r="E834" t="s">
        <v>841</v>
      </c>
      <c r="F834" t="s"/>
      <c r="G834" t="s"/>
      <c r="H834" t="s"/>
      <c r="I834" t="s"/>
      <c r="J834" t="n">
        <v>0.1513</v>
      </c>
      <c r="K834" t="n">
        <v>0</v>
      </c>
      <c r="L834" t="n">
        <v>0.9379999999999999</v>
      </c>
      <c r="M834" t="n">
        <v>0.062</v>
      </c>
    </row>
    <row r="835" spans="1:13">
      <c r="A835" s="1">
        <f>HYPERLINK("http://www.twitter.com/NathanBLawrence/status/991879009603604480", "991879009603604480")</f>
        <v/>
      </c>
      <c r="B835" s="2" t="n">
        <v>43223.13608796296</v>
      </c>
      <c r="C835" t="n">
        <v>0</v>
      </c>
      <c r="D835" t="n">
        <v>302</v>
      </c>
      <c r="E835" t="s">
        <v>842</v>
      </c>
      <c r="F835" t="s"/>
      <c r="G835" t="s"/>
      <c r="H835" t="s"/>
      <c r="I835" t="s"/>
      <c r="J835" t="n">
        <v>-0.7639</v>
      </c>
      <c r="K835" t="n">
        <v>0.275</v>
      </c>
      <c r="L835" t="n">
        <v>0.725</v>
      </c>
      <c r="M835" t="n">
        <v>0</v>
      </c>
    </row>
    <row r="836" spans="1:13">
      <c r="A836" s="1">
        <f>HYPERLINK("http://www.twitter.com/NathanBLawrence/status/991878970965614593", "991878970965614593")</f>
        <v/>
      </c>
      <c r="B836" s="2" t="n">
        <v>43223.1359837963</v>
      </c>
      <c r="C836" t="n">
        <v>0</v>
      </c>
      <c r="D836" t="n">
        <v>19</v>
      </c>
      <c r="E836" t="s">
        <v>843</v>
      </c>
      <c r="F836" t="s"/>
      <c r="G836" t="s"/>
      <c r="H836" t="s"/>
      <c r="I836" t="s"/>
      <c r="J836" t="n">
        <v>-0.4389</v>
      </c>
      <c r="K836" t="n">
        <v>0.145</v>
      </c>
      <c r="L836" t="n">
        <v>0.855</v>
      </c>
      <c r="M836" t="n">
        <v>0</v>
      </c>
    </row>
    <row r="837" spans="1:13">
      <c r="A837" s="1">
        <f>HYPERLINK("http://www.twitter.com/NathanBLawrence/status/991878861062328321", "991878861062328321")</f>
        <v/>
      </c>
      <c r="B837" s="2" t="n">
        <v>43223.13568287037</v>
      </c>
      <c r="C837" t="n">
        <v>0</v>
      </c>
      <c r="D837" t="n">
        <v>12</v>
      </c>
      <c r="E837" t="s">
        <v>844</v>
      </c>
      <c r="F837">
        <f>HYPERLINK("http://pbs.twimg.com/media/DcJHSf2UwAALy5c.jpg", "http://pbs.twimg.com/media/DcJHSf2UwAALy5c.jpg")</f>
        <v/>
      </c>
      <c r="G837" t="s"/>
      <c r="H837" t="s"/>
      <c r="I837" t="s"/>
      <c r="J837" t="n">
        <v>-0.2103</v>
      </c>
      <c r="K837" t="n">
        <v>0.233</v>
      </c>
      <c r="L837" t="n">
        <v>0.5629999999999999</v>
      </c>
      <c r="M837" t="n">
        <v>0.204</v>
      </c>
    </row>
    <row r="838" spans="1:13">
      <c r="A838" s="1">
        <f>HYPERLINK("http://www.twitter.com/NathanBLawrence/status/991878813171662848", "991878813171662848")</f>
        <v/>
      </c>
      <c r="B838" s="2" t="n">
        <v>43223.13554398148</v>
      </c>
      <c r="C838" t="n">
        <v>0</v>
      </c>
      <c r="D838" t="n">
        <v>8</v>
      </c>
      <c r="E838" t="s">
        <v>845</v>
      </c>
      <c r="F838" t="s"/>
      <c r="G838" t="s"/>
      <c r="H838" t="s"/>
      <c r="I838" t="s"/>
      <c r="J838" t="n">
        <v>-0.8892</v>
      </c>
      <c r="K838" t="n">
        <v>0.429</v>
      </c>
      <c r="L838" t="n">
        <v>0.571</v>
      </c>
      <c r="M838" t="n">
        <v>0</v>
      </c>
    </row>
    <row r="839" spans="1:13">
      <c r="A839" s="1">
        <f>HYPERLINK("http://www.twitter.com/NathanBLawrence/status/991878755781144577", "991878755781144577")</f>
        <v/>
      </c>
      <c r="B839" s="2" t="n">
        <v>43223.13539351852</v>
      </c>
      <c r="C839" t="n">
        <v>0</v>
      </c>
      <c r="D839" t="n">
        <v>8</v>
      </c>
      <c r="E839" t="s">
        <v>846</v>
      </c>
      <c r="F839" t="s"/>
      <c r="G839" t="s"/>
      <c r="H839" t="s"/>
      <c r="I839" t="s"/>
      <c r="J839" t="n">
        <v>0.3612</v>
      </c>
      <c r="K839" t="n">
        <v>0</v>
      </c>
      <c r="L839" t="n">
        <v>0.894</v>
      </c>
      <c r="M839" t="n">
        <v>0.106</v>
      </c>
    </row>
    <row r="840" spans="1:13">
      <c r="A840" s="1">
        <f>HYPERLINK("http://www.twitter.com/NathanBLawrence/status/991878629465444352", "991878629465444352")</f>
        <v/>
      </c>
      <c r="B840" s="2" t="n">
        <v>43223.13504629629</v>
      </c>
      <c r="C840" t="n">
        <v>0</v>
      </c>
      <c r="D840" t="n">
        <v>5</v>
      </c>
      <c r="E840" t="s">
        <v>847</v>
      </c>
      <c r="F840" t="s"/>
      <c r="G840" t="s"/>
      <c r="H840" t="s"/>
      <c r="I840" t="s"/>
      <c r="J840" t="n">
        <v>0</v>
      </c>
      <c r="K840" t="n">
        <v>0</v>
      </c>
      <c r="L840" t="n">
        <v>1</v>
      </c>
      <c r="M840" t="n">
        <v>0</v>
      </c>
    </row>
    <row r="841" spans="1:13">
      <c r="A841" s="1">
        <f>HYPERLINK("http://www.twitter.com/NathanBLawrence/status/991878610100211712", "991878610100211712")</f>
        <v/>
      </c>
      <c r="B841" s="2" t="n">
        <v>43223.13498842593</v>
      </c>
      <c r="C841" t="n">
        <v>0</v>
      </c>
      <c r="D841" t="n">
        <v>6</v>
      </c>
      <c r="E841" t="s">
        <v>848</v>
      </c>
      <c r="F841">
        <f>HYPERLINK("http://pbs.twimg.com/media/DcOPOAJX4AY_duj.jpg", "http://pbs.twimg.com/media/DcOPOAJX4AY_duj.jpg")</f>
        <v/>
      </c>
      <c r="G841" t="s"/>
      <c r="H841" t="s"/>
      <c r="I841" t="s"/>
      <c r="J841" t="n">
        <v>0.128</v>
      </c>
      <c r="K841" t="n">
        <v>0</v>
      </c>
      <c r="L841" t="n">
        <v>0.919</v>
      </c>
      <c r="M841" t="n">
        <v>0.081</v>
      </c>
    </row>
    <row r="842" spans="1:13">
      <c r="A842" s="1">
        <f>HYPERLINK("http://www.twitter.com/NathanBLawrence/status/991878580849250304", "991878580849250304")</f>
        <v/>
      </c>
      <c r="B842" s="2" t="n">
        <v>43223.13490740741</v>
      </c>
      <c r="C842" t="n">
        <v>0</v>
      </c>
      <c r="D842" t="n">
        <v>9</v>
      </c>
      <c r="E842" t="s">
        <v>849</v>
      </c>
      <c r="F842" t="s"/>
      <c r="G842" t="s"/>
      <c r="H842" t="s"/>
      <c r="I842" t="s"/>
      <c r="J842" t="n">
        <v>0.4019</v>
      </c>
      <c r="K842" t="n">
        <v>0.056</v>
      </c>
      <c r="L842" t="n">
        <v>0.8149999999999999</v>
      </c>
      <c r="M842" t="n">
        <v>0.129</v>
      </c>
    </row>
    <row r="843" spans="1:13">
      <c r="A843" s="1">
        <f>HYPERLINK("http://www.twitter.com/NathanBLawrence/status/991878565170892801", "991878565170892801")</f>
        <v/>
      </c>
      <c r="B843" s="2" t="n">
        <v>43223.13486111111</v>
      </c>
      <c r="C843" t="n">
        <v>0</v>
      </c>
      <c r="D843" t="n">
        <v>5</v>
      </c>
      <c r="E843" t="s">
        <v>850</v>
      </c>
      <c r="F843" t="s"/>
      <c r="G843" t="s"/>
      <c r="H843" t="s"/>
      <c r="I843" t="s"/>
      <c r="J843" t="n">
        <v>-0.5733</v>
      </c>
      <c r="K843" t="n">
        <v>0.174</v>
      </c>
      <c r="L843" t="n">
        <v>0.754</v>
      </c>
      <c r="M843" t="n">
        <v>0.07199999999999999</v>
      </c>
    </row>
    <row r="844" spans="1:13">
      <c r="A844" s="1">
        <f>HYPERLINK("http://www.twitter.com/NathanBLawrence/status/991878538730115073", "991878538730115073")</f>
        <v/>
      </c>
      <c r="B844" s="2" t="n">
        <v>43223.13479166666</v>
      </c>
      <c r="C844" t="n">
        <v>0</v>
      </c>
      <c r="D844" t="n">
        <v>14</v>
      </c>
      <c r="E844" t="s">
        <v>844</v>
      </c>
      <c r="F844">
        <f>HYPERLINK("http://pbs.twimg.com/media/DcOiO2AX4AIf9uB.jpg", "http://pbs.twimg.com/media/DcOiO2AX4AIf9uB.jpg")</f>
        <v/>
      </c>
      <c r="G844" t="s"/>
      <c r="H844" t="s"/>
      <c r="I844" t="s"/>
      <c r="J844" t="n">
        <v>-0.2103</v>
      </c>
      <c r="K844" t="n">
        <v>0.233</v>
      </c>
      <c r="L844" t="n">
        <v>0.5629999999999999</v>
      </c>
      <c r="M844" t="n">
        <v>0.204</v>
      </c>
    </row>
    <row r="845" spans="1:13">
      <c r="A845" s="1">
        <f>HYPERLINK("http://www.twitter.com/NathanBLawrence/status/991878504638803968", "991878504638803968")</f>
        <v/>
      </c>
      <c r="B845" s="2" t="n">
        <v>43223.13469907407</v>
      </c>
      <c r="C845" t="n">
        <v>0</v>
      </c>
      <c r="D845" t="n">
        <v>10</v>
      </c>
      <c r="E845" t="s">
        <v>851</v>
      </c>
      <c r="F845">
        <f>HYPERLINK("http://pbs.twimg.com/media/DcMAnIGU0AAGaLM.jpg", "http://pbs.twimg.com/media/DcMAnIGU0AAGaLM.jpg")</f>
        <v/>
      </c>
      <c r="G845" t="s"/>
      <c r="H845" t="s"/>
      <c r="I845" t="s"/>
      <c r="J845" t="n">
        <v>0.5106000000000001</v>
      </c>
      <c r="K845" t="n">
        <v>0</v>
      </c>
      <c r="L845" t="n">
        <v>0.845</v>
      </c>
      <c r="M845" t="n">
        <v>0.155</v>
      </c>
    </row>
    <row r="846" spans="1:13">
      <c r="A846" s="1">
        <f>HYPERLINK("http://www.twitter.com/NathanBLawrence/status/991878496694689798", "991878496694689798")</f>
        <v/>
      </c>
      <c r="B846" s="2" t="n">
        <v>43223.13467592592</v>
      </c>
      <c r="C846" t="n">
        <v>0</v>
      </c>
      <c r="D846" t="n">
        <v>11</v>
      </c>
      <c r="E846" t="s">
        <v>852</v>
      </c>
      <c r="F846" t="s"/>
      <c r="G846" t="s"/>
      <c r="H846" t="s"/>
      <c r="I846" t="s"/>
      <c r="J846" t="n">
        <v>-0.0772</v>
      </c>
      <c r="K846" t="n">
        <v>0.139</v>
      </c>
      <c r="L846" t="n">
        <v>0.735</v>
      </c>
      <c r="M846" t="n">
        <v>0.127</v>
      </c>
    </row>
    <row r="847" spans="1:13">
      <c r="A847" s="1">
        <f>HYPERLINK("http://www.twitter.com/NathanBLawrence/status/991878434300215296", "991878434300215296")</f>
        <v/>
      </c>
      <c r="B847" s="2" t="n">
        <v>43223.13450231482</v>
      </c>
      <c r="C847" t="n">
        <v>0</v>
      </c>
      <c r="D847" t="n">
        <v>9</v>
      </c>
      <c r="E847" t="s">
        <v>853</v>
      </c>
      <c r="F847" t="s"/>
      <c r="G847" t="s"/>
      <c r="H847" t="s"/>
      <c r="I847" t="s"/>
      <c r="J847" t="n">
        <v>-0.8415</v>
      </c>
      <c r="K847" t="n">
        <v>0.277</v>
      </c>
      <c r="L847" t="n">
        <v>0.723</v>
      </c>
      <c r="M847" t="n">
        <v>0</v>
      </c>
    </row>
    <row r="848" spans="1:13">
      <c r="A848" s="1">
        <f>HYPERLINK("http://www.twitter.com/NathanBLawrence/status/991878398027878400", "991878398027878400")</f>
        <v/>
      </c>
      <c r="B848" s="2" t="n">
        <v>43223.13439814815</v>
      </c>
      <c r="C848" t="n">
        <v>0</v>
      </c>
      <c r="D848" t="n">
        <v>9</v>
      </c>
      <c r="E848" t="s">
        <v>854</v>
      </c>
      <c r="F848" t="s"/>
      <c r="G848" t="s"/>
      <c r="H848" t="s"/>
      <c r="I848" t="s"/>
      <c r="J848" t="n">
        <v>0</v>
      </c>
      <c r="K848" t="n">
        <v>0</v>
      </c>
      <c r="L848" t="n">
        <v>1</v>
      </c>
      <c r="M848" t="n">
        <v>0</v>
      </c>
    </row>
    <row r="849" spans="1:13">
      <c r="A849" s="1">
        <f>HYPERLINK("http://www.twitter.com/NathanBLawrence/status/991878384983605248", "991878384983605248")</f>
        <v/>
      </c>
      <c r="B849" s="2" t="n">
        <v>43223.13436342592</v>
      </c>
      <c r="C849" t="n">
        <v>0</v>
      </c>
      <c r="D849" t="n">
        <v>7</v>
      </c>
      <c r="E849" t="s">
        <v>855</v>
      </c>
      <c r="F849" t="s"/>
      <c r="G849" t="s"/>
      <c r="H849" t="s"/>
      <c r="I849" t="s"/>
      <c r="J849" t="n">
        <v>0.3164</v>
      </c>
      <c r="K849" t="n">
        <v>0</v>
      </c>
      <c r="L849" t="n">
        <v>0.906</v>
      </c>
      <c r="M849" t="n">
        <v>0.094</v>
      </c>
    </row>
    <row r="850" spans="1:13">
      <c r="A850" s="1">
        <f>HYPERLINK("http://www.twitter.com/NathanBLawrence/status/991878340469374976", "991878340469374976")</f>
        <v/>
      </c>
      <c r="B850" s="2" t="n">
        <v>43223.13424768519</v>
      </c>
      <c r="C850" t="n">
        <v>0</v>
      </c>
      <c r="D850" t="n">
        <v>7</v>
      </c>
      <c r="E850" t="s">
        <v>856</v>
      </c>
      <c r="F850" t="s"/>
      <c r="G850" t="s"/>
      <c r="H850" t="s"/>
      <c r="I850" t="s"/>
      <c r="J850" t="n">
        <v>-0.5266999999999999</v>
      </c>
      <c r="K850" t="n">
        <v>0.25</v>
      </c>
      <c r="L850" t="n">
        <v>0.577</v>
      </c>
      <c r="M850" t="n">
        <v>0.173</v>
      </c>
    </row>
    <row r="851" spans="1:13">
      <c r="A851" s="1">
        <f>HYPERLINK("http://www.twitter.com/NathanBLawrence/status/991878191789719553", "991878191789719553")</f>
        <v/>
      </c>
      <c r="B851" s="2" t="n">
        <v>43223.13383101852</v>
      </c>
      <c r="C851" t="n">
        <v>0</v>
      </c>
      <c r="D851" t="n">
        <v>13</v>
      </c>
      <c r="E851" t="s">
        <v>857</v>
      </c>
      <c r="F851" t="s"/>
      <c r="G851" t="s"/>
      <c r="H851" t="s"/>
      <c r="I851" t="s"/>
      <c r="J851" t="n">
        <v>-0.3182</v>
      </c>
      <c r="K851" t="n">
        <v>0.272</v>
      </c>
      <c r="L851" t="n">
        <v>0.553</v>
      </c>
      <c r="M851" t="n">
        <v>0.174</v>
      </c>
    </row>
    <row r="852" spans="1:13">
      <c r="A852" s="1">
        <f>HYPERLINK("http://www.twitter.com/NathanBLawrence/status/991878176610676738", "991878176610676738")</f>
        <v/>
      </c>
      <c r="B852" s="2" t="n">
        <v>43223.13379629629</v>
      </c>
      <c r="C852" t="n">
        <v>0</v>
      </c>
      <c r="D852" t="n">
        <v>11</v>
      </c>
      <c r="E852" t="s">
        <v>858</v>
      </c>
      <c r="F852" t="s"/>
      <c r="G852" t="s"/>
      <c r="H852" t="s"/>
      <c r="I852" t="s"/>
      <c r="J852" t="n">
        <v>0</v>
      </c>
      <c r="K852" t="n">
        <v>0</v>
      </c>
      <c r="L852" t="n">
        <v>1</v>
      </c>
      <c r="M852" t="n">
        <v>0</v>
      </c>
    </row>
    <row r="853" spans="1:13">
      <c r="A853" s="1">
        <f>HYPERLINK("http://www.twitter.com/NathanBLawrence/status/991878151750926338", "991878151750926338")</f>
        <v/>
      </c>
      <c r="B853" s="2" t="n">
        <v>43223.13372685185</v>
      </c>
      <c r="C853" t="n">
        <v>0</v>
      </c>
      <c r="D853" t="n">
        <v>10</v>
      </c>
      <c r="E853" t="s">
        <v>859</v>
      </c>
      <c r="F853" t="s"/>
      <c r="G853" t="s"/>
      <c r="H853" t="s"/>
      <c r="I853" t="s"/>
      <c r="J853" t="n">
        <v>0</v>
      </c>
      <c r="K853" t="n">
        <v>0</v>
      </c>
      <c r="L853" t="n">
        <v>1</v>
      </c>
      <c r="M853" t="n">
        <v>0</v>
      </c>
    </row>
    <row r="854" spans="1:13">
      <c r="A854" s="1">
        <f>HYPERLINK("http://www.twitter.com/NathanBLawrence/status/991878140380241920", "991878140380241920")</f>
        <v/>
      </c>
      <c r="B854" s="2" t="n">
        <v>43223.13369212963</v>
      </c>
      <c r="C854" t="n">
        <v>0</v>
      </c>
      <c r="D854" t="n">
        <v>77</v>
      </c>
      <c r="E854" t="s">
        <v>860</v>
      </c>
      <c r="F854" t="s"/>
      <c r="G854" t="s"/>
      <c r="H854" t="s"/>
      <c r="I854" t="s"/>
      <c r="J854" t="n">
        <v>-0.34</v>
      </c>
      <c r="K854" t="n">
        <v>0.08799999999999999</v>
      </c>
      <c r="L854" t="n">
        <v>0.912</v>
      </c>
      <c r="M854" t="n">
        <v>0</v>
      </c>
    </row>
    <row r="855" spans="1:13">
      <c r="A855" s="1">
        <f>HYPERLINK("http://www.twitter.com/NathanBLawrence/status/991878092216922114", "991878092216922114")</f>
        <v/>
      </c>
      <c r="B855" s="2" t="n">
        <v>43223.13356481482</v>
      </c>
      <c r="C855" t="n">
        <v>0</v>
      </c>
      <c r="D855" t="n">
        <v>5</v>
      </c>
      <c r="E855" t="s">
        <v>861</v>
      </c>
      <c r="F855" t="s"/>
      <c r="G855" t="s"/>
      <c r="H855" t="s"/>
      <c r="I855" t="s"/>
      <c r="J855" t="n">
        <v>-0.4215</v>
      </c>
      <c r="K855" t="n">
        <v>0.186</v>
      </c>
      <c r="L855" t="n">
        <v>0.73</v>
      </c>
      <c r="M855" t="n">
        <v>0.08400000000000001</v>
      </c>
    </row>
    <row r="856" spans="1:13">
      <c r="A856" s="1">
        <f>HYPERLINK("http://www.twitter.com/NathanBLawrence/status/991878056494149632", "991878056494149632")</f>
        <v/>
      </c>
      <c r="B856" s="2" t="n">
        <v>43223.13346064815</v>
      </c>
      <c r="C856" t="n">
        <v>0</v>
      </c>
      <c r="D856" t="n">
        <v>41</v>
      </c>
      <c r="E856" t="s">
        <v>862</v>
      </c>
      <c r="F856" t="s"/>
      <c r="G856" t="s"/>
      <c r="H856" t="s"/>
      <c r="I856" t="s"/>
      <c r="J856" t="n">
        <v>-0.3612</v>
      </c>
      <c r="K856" t="n">
        <v>0.135</v>
      </c>
      <c r="L856" t="n">
        <v>0.865</v>
      </c>
      <c r="M856" t="n">
        <v>0</v>
      </c>
    </row>
    <row r="857" spans="1:13">
      <c r="A857" s="1">
        <f>HYPERLINK("http://www.twitter.com/NathanBLawrence/status/991878046045978624", "991878046045978624")</f>
        <v/>
      </c>
      <c r="B857" s="2" t="n">
        <v>43223.1334375</v>
      </c>
      <c r="C857" t="n">
        <v>0</v>
      </c>
      <c r="D857" t="n">
        <v>14</v>
      </c>
      <c r="E857" t="s">
        <v>863</v>
      </c>
      <c r="F857" t="s"/>
      <c r="G857" t="s"/>
      <c r="H857" t="s"/>
      <c r="I857" t="s"/>
      <c r="J857" t="n">
        <v>0</v>
      </c>
      <c r="K857" t="n">
        <v>0</v>
      </c>
      <c r="L857" t="n">
        <v>1</v>
      </c>
      <c r="M857" t="n">
        <v>0</v>
      </c>
    </row>
    <row r="858" spans="1:13">
      <c r="A858" s="1">
        <f>HYPERLINK("http://www.twitter.com/NathanBLawrence/status/991878012193800192", "991878012193800192")</f>
        <v/>
      </c>
      <c r="B858" s="2" t="n">
        <v>43223.13333333333</v>
      </c>
      <c r="C858" t="n">
        <v>0</v>
      </c>
      <c r="D858" t="n">
        <v>14</v>
      </c>
      <c r="E858" t="s">
        <v>864</v>
      </c>
      <c r="F858">
        <f>HYPERLINK("http://pbs.twimg.com/media/DcPQIXRXcAAZS5-.jpg", "http://pbs.twimg.com/media/DcPQIXRXcAAZS5-.jpg")</f>
        <v/>
      </c>
      <c r="G858" t="s"/>
      <c r="H858" t="s"/>
      <c r="I858" t="s"/>
      <c r="J858" t="n">
        <v>0.6659</v>
      </c>
      <c r="K858" t="n">
        <v>0.07199999999999999</v>
      </c>
      <c r="L858" t="n">
        <v>0.7</v>
      </c>
      <c r="M858" t="n">
        <v>0.228</v>
      </c>
    </row>
    <row r="859" spans="1:13">
      <c r="A859" s="1">
        <f>HYPERLINK("http://www.twitter.com/NathanBLawrence/status/991871907141111808", "991871907141111808")</f>
        <v/>
      </c>
      <c r="B859" s="2" t="n">
        <v>43223.11649305555</v>
      </c>
      <c r="C859" t="n">
        <v>0</v>
      </c>
      <c r="D859" t="n">
        <v>0</v>
      </c>
      <c r="E859" t="s">
        <v>865</v>
      </c>
      <c r="F859" t="s"/>
      <c r="G859" t="s"/>
      <c r="H859" t="s"/>
      <c r="I859" t="s"/>
      <c r="J859" t="n">
        <v>0.3182</v>
      </c>
      <c r="K859" t="n">
        <v>0</v>
      </c>
      <c r="L859" t="n">
        <v>0.796</v>
      </c>
      <c r="M859" t="n">
        <v>0.204</v>
      </c>
    </row>
    <row r="860" spans="1:13">
      <c r="A860" s="1">
        <f>HYPERLINK("http://www.twitter.com/NathanBLawrence/status/991867881792000000", "991867881792000000")</f>
        <v/>
      </c>
      <c r="B860" s="2" t="n">
        <v>43223.10538194444</v>
      </c>
      <c r="C860" t="n">
        <v>5</v>
      </c>
      <c r="D860" t="n">
        <v>3</v>
      </c>
      <c r="E860" t="s">
        <v>866</v>
      </c>
      <c r="F860" t="s"/>
      <c r="G860" t="s"/>
      <c r="H860" t="s"/>
      <c r="I860" t="s"/>
      <c r="J860" t="n">
        <v>0.5707</v>
      </c>
      <c r="K860" t="n">
        <v>0.08699999999999999</v>
      </c>
      <c r="L860" t="n">
        <v>0.774</v>
      </c>
      <c r="M860" t="n">
        <v>0.139</v>
      </c>
    </row>
    <row r="861" spans="1:13">
      <c r="A861" s="1">
        <f>HYPERLINK("http://www.twitter.com/NathanBLawrence/status/991798986162962433", "991798986162962433")</f>
        <v/>
      </c>
      <c r="B861" s="2" t="n">
        <v>43222.9152662037</v>
      </c>
      <c r="C861" t="n">
        <v>12</v>
      </c>
      <c r="D861" t="n">
        <v>9</v>
      </c>
      <c r="E861" t="s">
        <v>867</v>
      </c>
      <c r="F861" t="s"/>
      <c r="G861" t="s"/>
      <c r="H861" t="s"/>
      <c r="I861" t="s"/>
      <c r="J861" t="n">
        <v>0.4588</v>
      </c>
      <c r="K861" t="n">
        <v>0</v>
      </c>
      <c r="L861" t="n">
        <v>0.895</v>
      </c>
      <c r="M861" t="n">
        <v>0.105</v>
      </c>
    </row>
    <row r="862" spans="1:13">
      <c r="A862" s="1">
        <f>HYPERLINK("http://www.twitter.com/NathanBLawrence/status/991798737432383491", "991798737432383491")</f>
        <v/>
      </c>
      <c r="B862" s="2" t="n">
        <v>43222.91458333333</v>
      </c>
      <c r="C862" t="n">
        <v>0</v>
      </c>
      <c r="D862" t="n">
        <v>12</v>
      </c>
      <c r="E862" t="s">
        <v>868</v>
      </c>
      <c r="F862">
        <f>HYPERLINK("http://pbs.twimg.com/media/DcOOikbXcAIW1Eb.jpg", "http://pbs.twimg.com/media/DcOOikbXcAIW1Eb.jpg")</f>
        <v/>
      </c>
      <c r="G862" t="s"/>
      <c r="H862" t="s"/>
      <c r="I862" t="s"/>
      <c r="J862" t="n">
        <v>0.296</v>
      </c>
      <c r="K862" t="n">
        <v>0.077</v>
      </c>
      <c r="L862" t="n">
        <v>0.804</v>
      </c>
      <c r="M862" t="n">
        <v>0.119</v>
      </c>
    </row>
    <row r="863" spans="1:13">
      <c r="A863" s="1">
        <f>HYPERLINK("http://www.twitter.com/NathanBLawrence/status/991798724933373952", "991798724933373952")</f>
        <v/>
      </c>
      <c r="B863" s="2" t="n">
        <v>43222.91454861111</v>
      </c>
      <c r="C863" t="n">
        <v>0</v>
      </c>
      <c r="D863" t="n">
        <v>11</v>
      </c>
      <c r="E863" t="s">
        <v>869</v>
      </c>
      <c r="F863">
        <f>HYPERLINK("http://pbs.twimg.com/media/DcOLL2iWsAEF6hQ.jpg", "http://pbs.twimg.com/media/DcOLL2iWsAEF6hQ.jpg")</f>
        <v/>
      </c>
      <c r="G863" t="s"/>
      <c r="H863" t="s"/>
      <c r="I863" t="s"/>
      <c r="J863" t="n">
        <v>0.2263</v>
      </c>
      <c r="K863" t="n">
        <v>0</v>
      </c>
      <c r="L863" t="n">
        <v>0.917</v>
      </c>
      <c r="M863" t="n">
        <v>0.083</v>
      </c>
    </row>
    <row r="864" spans="1:13">
      <c r="A864" s="1">
        <f>HYPERLINK("http://www.twitter.com/NathanBLawrence/status/991798715190071296", "991798715190071296")</f>
        <v/>
      </c>
      <c r="B864" s="2" t="n">
        <v>43222.91452546296</v>
      </c>
      <c r="C864" t="n">
        <v>0</v>
      </c>
      <c r="D864" t="n">
        <v>13</v>
      </c>
      <c r="E864" t="s">
        <v>870</v>
      </c>
      <c r="F864">
        <f>HYPERLINK("http://pbs.twimg.com/media/DcOJY_wXkAYiiLj.jpg", "http://pbs.twimg.com/media/DcOJY_wXkAYiiLj.jpg")</f>
        <v/>
      </c>
      <c r="G864" t="s"/>
      <c r="H864" t="s"/>
      <c r="I864" t="s"/>
      <c r="J864" t="n">
        <v>0</v>
      </c>
      <c r="K864" t="n">
        <v>0</v>
      </c>
      <c r="L864" t="n">
        <v>1</v>
      </c>
      <c r="M864" t="n">
        <v>0</v>
      </c>
    </row>
    <row r="865" spans="1:13">
      <c r="A865" s="1">
        <f>HYPERLINK("http://www.twitter.com/NathanBLawrence/status/991798700577054721", "991798700577054721")</f>
        <v/>
      </c>
      <c r="B865" s="2" t="n">
        <v>43222.91447916667</v>
      </c>
      <c r="C865" t="n">
        <v>0</v>
      </c>
      <c r="D865" t="n">
        <v>12</v>
      </c>
      <c r="E865" t="s">
        <v>871</v>
      </c>
      <c r="F865">
        <f>HYPERLINK("http://pbs.twimg.com/media/DcOH4yJW0AAUj-_.jpg", "http://pbs.twimg.com/media/DcOH4yJW0AAUj-_.jpg")</f>
        <v/>
      </c>
      <c r="G865" t="s"/>
      <c r="H865" t="s"/>
      <c r="I865" t="s"/>
      <c r="J865" t="n">
        <v>0</v>
      </c>
      <c r="K865" t="n">
        <v>0</v>
      </c>
      <c r="L865" t="n">
        <v>1</v>
      </c>
      <c r="M865" t="n">
        <v>0</v>
      </c>
    </row>
    <row r="866" spans="1:13">
      <c r="A866" s="1">
        <f>HYPERLINK("http://www.twitter.com/NathanBLawrence/status/991798687146872834", "991798687146872834")</f>
        <v/>
      </c>
      <c r="B866" s="2" t="n">
        <v>43222.91444444445</v>
      </c>
      <c r="C866" t="n">
        <v>0</v>
      </c>
      <c r="D866" t="n">
        <v>11</v>
      </c>
      <c r="E866" t="s">
        <v>872</v>
      </c>
      <c r="F866" t="s"/>
      <c r="G866" t="s"/>
      <c r="H866" t="s"/>
      <c r="I866" t="s"/>
      <c r="J866" t="n">
        <v>0</v>
      </c>
      <c r="K866" t="n">
        <v>0</v>
      </c>
      <c r="L866" t="n">
        <v>1</v>
      </c>
      <c r="M866" t="n">
        <v>0</v>
      </c>
    </row>
    <row r="867" spans="1:13">
      <c r="A867" s="1">
        <f>HYPERLINK("http://www.twitter.com/NathanBLawrence/status/991798675075715074", "991798675075715074")</f>
        <v/>
      </c>
      <c r="B867" s="2" t="n">
        <v>43222.91440972222</v>
      </c>
      <c r="C867" t="n">
        <v>0</v>
      </c>
      <c r="D867" t="n">
        <v>10</v>
      </c>
      <c r="E867" t="s">
        <v>873</v>
      </c>
      <c r="F867" t="s"/>
      <c r="G867" t="s"/>
      <c r="H867" t="s"/>
      <c r="I867" t="s"/>
      <c r="J867" t="n">
        <v>0.5789</v>
      </c>
      <c r="K867" t="n">
        <v>0</v>
      </c>
      <c r="L867" t="n">
        <v>0.842</v>
      </c>
      <c r="M867" t="n">
        <v>0.158</v>
      </c>
    </row>
    <row r="868" spans="1:13">
      <c r="A868" s="1">
        <f>HYPERLINK("http://www.twitter.com/NathanBLawrence/status/991798663344263169", "991798663344263169")</f>
        <v/>
      </c>
      <c r="B868" s="2" t="n">
        <v>43222.914375</v>
      </c>
      <c r="C868" t="n">
        <v>0</v>
      </c>
      <c r="D868" t="n">
        <v>21</v>
      </c>
      <c r="E868" t="s">
        <v>874</v>
      </c>
      <c r="F868">
        <f>HYPERLINK("http://pbs.twimg.com/media/DcOFjXvX0AcP-kZ.jpg", "http://pbs.twimg.com/media/DcOFjXvX0AcP-kZ.jpg")</f>
        <v/>
      </c>
      <c r="G868" t="s"/>
      <c r="H868" t="s"/>
      <c r="I868" t="s"/>
      <c r="J868" t="n">
        <v>0</v>
      </c>
      <c r="K868" t="n">
        <v>0</v>
      </c>
      <c r="L868" t="n">
        <v>1</v>
      </c>
      <c r="M868" t="n">
        <v>0</v>
      </c>
    </row>
    <row r="869" spans="1:13">
      <c r="A869" s="1">
        <f>HYPERLINK("http://www.twitter.com/NathanBLawrence/status/991798593274155015", "991798593274155015")</f>
        <v/>
      </c>
      <c r="B869" s="2" t="n">
        <v>43222.91418981482</v>
      </c>
      <c r="C869" t="n">
        <v>2</v>
      </c>
      <c r="D869" t="n">
        <v>0</v>
      </c>
      <c r="E869" t="s">
        <v>875</v>
      </c>
      <c r="F869" t="s"/>
      <c r="G869" t="s"/>
      <c r="H869" t="s"/>
      <c r="I869" t="s"/>
      <c r="J869" t="n">
        <v>-0.3818</v>
      </c>
      <c r="K869" t="n">
        <v>0.141</v>
      </c>
      <c r="L869" t="n">
        <v>0.859</v>
      </c>
      <c r="M869" t="n">
        <v>0</v>
      </c>
    </row>
    <row r="870" spans="1:13">
      <c r="A870" s="1">
        <f>HYPERLINK("http://www.twitter.com/NathanBLawrence/status/991769026748669952", "991769026748669952")</f>
        <v/>
      </c>
      <c r="B870" s="2" t="n">
        <v>43222.83259259259</v>
      </c>
      <c r="C870" t="n">
        <v>0</v>
      </c>
      <c r="D870" t="n">
        <v>4</v>
      </c>
      <c r="E870" t="s">
        <v>876</v>
      </c>
      <c r="F870">
        <f>HYPERLINK("http://pbs.twimg.com/media/DcN2la0XcAAmzrD.jpg", "http://pbs.twimg.com/media/DcN2la0XcAAmzrD.jpg")</f>
        <v/>
      </c>
      <c r="G870" t="s"/>
      <c r="H870" t="s"/>
      <c r="I870" t="s"/>
      <c r="J870" t="n">
        <v>0</v>
      </c>
      <c r="K870" t="n">
        <v>0</v>
      </c>
      <c r="L870" t="n">
        <v>1</v>
      </c>
      <c r="M870" t="n">
        <v>0</v>
      </c>
    </row>
    <row r="871" spans="1:13">
      <c r="A871" s="1">
        <f>HYPERLINK("http://www.twitter.com/NathanBLawrence/status/991765658965872641", "991765658965872641")</f>
        <v/>
      </c>
      <c r="B871" s="2" t="n">
        <v>43222.82329861111</v>
      </c>
      <c r="C871" t="n">
        <v>0</v>
      </c>
      <c r="D871" t="n">
        <v>15</v>
      </c>
      <c r="E871" t="s">
        <v>877</v>
      </c>
      <c r="F871">
        <f>HYPERLINK("http://pbs.twimg.com/media/DcN1JPTW4AAcYeF.jpg", "http://pbs.twimg.com/media/DcN1JPTW4AAcYeF.jpg")</f>
        <v/>
      </c>
      <c r="G871" t="s"/>
      <c r="H871" t="s"/>
      <c r="I871" t="s"/>
      <c r="J871" t="n">
        <v>-0.1027</v>
      </c>
      <c r="K871" t="n">
        <v>0.062</v>
      </c>
      <c r="L871" t="n">
        <v>0.9379999999999999</v>
      </c>
      <c r="M871" t="n">
        <v>0</v>
      </c>
    </row>
    <row r="872" spans="1:13">
      <c r="A872" s="1">
        <f>HYPERLINK("http://www.twitter.com/NathanBLawrence/status/991760331713150976", "991760331713150976")</f>
        <v/>
      </c>
      <c r="B872" s="2" t="n">
        <v>43222.80859953703</v>
      </c>
      <c r="C872" t="n">
        <v>3</v>
      </c>
      <c r="D872" t="n">
        <v>1</v>
      </c>
      <c r="E872" t="s">
        <v>878</v>
      </c>
      <c r="F872" t="s"/>
      <c r="G872" t="s"/>
      <c r="H872" t="s"/>
      <c r="I872" t="s"/>
      <c r="J872" t="n">
        <v>0</v>
      </c>
      <c r="K872" t="n">
        <v>0</v>
      </c>
      <c r="L872" t="n">
        <v>1</v>
      </c>
      <c r="M872" t="n">
        <v>0</v>
      </c>
    </row>
    <row r="873" spans="1:13">
      <c r="A873" s="1">
        <f>HYPERLINK("http://www.twitter.com/NathanBLawrence/status/991760036572618752", "991760036572618752")</f>
        <v/>
      </c>
      <c r="B873" s="2" t="n">
        <v>43222.80778935185</v>
      </c>
      <c r="C873" t="n">
        <v>0</v>
      </c>
      <c r="D873" t="n">
        <v>3</v>
      </c>
      <c r="E873" t="s">
        <v>879</v>
      </c>
      <c r="F873" t="s"/>
      <c r="G873" t="s"/>
      <c r="H873" t="s"/>
      <c r="I873" t="s"/>
      <c r="J873" t="n">
        <v>0</v>
      </c>
      <c r="K873" t="n">
        <v>0</v>
      </c>
      <c r="L873" t="n">
        <v>1</v>
      </c>
      <c r="M873" t="n">
        <v>0</v>
      </c>
    </row>
    <row r="874" spans="1:13">
      <c r="A874" s="1">
        <f>HYPERLINK("http://www.twitter.com/NathanBLawrence/status/991759630652014592", "991759630652014592")</f>
        <v/>
      </c>
      <c r="B874" s="2" t="n">
        <v>43222.80666666666</v>
      </c>
      <c r="C874" t="n">
        <v>0</v>
      </c>
      <c r="D874" t="n">
        <v>7</v>
      </c>
      <c r="E874" t="s">
        <v>880</v>
      </c>
      <c r="F874" t="s"/>
      <c r="G874" t="s"/>
      <c r="H874" t="s"/>
      <c r="I874" t="s"/>
      <c r="J874" t="n">
        <v>0.2732</v>
      </c>
      <c r="K874" t="n">
        <v>0</v>
      </c>
      <c r="L874" t="n">
        <v>0.89</v>
      </c>
      <c r="M874" t="n">
        <v>0.11</v>
      </c>
    </row>
    <row r="875" spans="1:13">
      <c r="A875" s="1">
        <f>HYPERLINK("http://www.twitter.com/NathanBLawrence/status/991759291127422978", "991759291127422978")</f>
        <v/>
      </c>
      <c r="B875" s="2" t="n">
        <v>43222.80572916667</v>
      </c>
      <c r="C875" t="n">
        <v>10</v>
      </c>
      <c r="D875" t="n">
        <v>7</v>
      </c>
      <c r="E875" t="s">
        <v>881</v>
      </c>
      <c r="F875">
        <f>HYPERLINK("http://pbs.twimg.com/media/DcNv0M2WkAA1A8P.jpg", "http://pbs.twimg.com/media/DcNv0M2WkAA1A8P.jpg")</f>
        <v/>
      </c>
      <c r="G875" t="s"/>
      <c r="H875" t="s"/>
      <c r="I875" t="s"/>
      <c r="J875" t="n">
        <v>0.4084</v>
      </c>
      <c r="K875" t="n">
        <v>0.064</v>
      </c>
      <c r="L875" t="n">
        <v>0.797</v>
      </c>
      <c r="M875" t="n">
        <v>0.139</v>
      </c>
    </row>
    <row r="876" spans="1:13">
      <c r="A876" s="1">
        <f>HYPERLINK("http://www.twitter.com/NathanBLawrence/status/991754577870442496", "991754577870442496")</f>
        <v/>
      </c>
      <c r="B876" s="2" t="n">
        <v>43222.7927199074</v>
      </c>
      <c r="C876" t="n">
        <v>0</v>
      </c>
      <c r="D876" t="n">
        <v>0</v>
      </c>
      <c r="E876" t="s">
        <v>882</v>
      </c>
      <c r="F876" t="s"/>
      <c r="G876" t="s"/>
      <c r="H876" t="s"/>
      <c r="I876" t="s"/>
      <c r="J876" t="n">
        <v>0.6597</v>
      </c>
      <c r="K876" t="n">
        <v>0</v>
      </c>
      <c r="L876" t="n">
        <v>0.795</v>
      </c>
      <c r="M876" t="n">
        <v>0.205</v>
      </c>
    </row>
    <row r="877" spans="1:13">
      <c r="A877" s="1">
        <f>HYPERLINK("http://www.twitter.com/NathanBLawrence/status/991753692083867650", "991753692083867650")</f>
        <v/>
      </c>
      <c r="B877" s="2" t="n">
        <v>43222.79027777778</v>
      </c>
      <c r="C877" t="n">
        <v>0</v>
      </c>
      <c r="D877" t="n">
        <v>6</v>
      </c>
      <c r="E877" t="s">
        <v>883</v>
      </c>
      <c r="F877" t="s"/>
      <c r="G877" t="s"/>
      <c r="H877" t="s"/>
      <c r="I877" t="s"/>
      <c r="J877" t="n">
        <v>0</v>
      </c>
      <c r="K877" t="n">
        <v>0</v>
      </c>
      <c r="L877" t="n">
        <v>1</v>
      </c>
      <c r="M877" t="n">
        <v>0</v>
      </c>
    </row>
    <row r="878" spans="1:13">
      <c r="A878" s="1">
        <f>HYPERLINK("http://www.twitter.com/NathanBLawrence/status/991753673259839488", "991753673259839488")</f>
        <v/>
      </c>
      <c r="B878" s="2" t="n">
        <v>43222.79023148148</v>
      </c>
      <c r="C878" t="n">
        <v>0</v>
      </c>
      <c r="D878" t="n">
        <v>6</v>
      </c>
      <c r="E878" t="s">
        <v>884</v>
      </c>
      <c r="F878" t="s"/>
      <c r="G878" t="s"/>
      <c r="H878" t="s"/>
      <c r="I878" t="s"/>
      <c r="J878" t="n">
        <v>0</v>
      </c>
      <c r="K878" t="n">
        <v>0</v>
      </c>
      <c r="L878" t="n">
        <v>1</v>
      </c>
      <c r="M878" t="n">
        <v>0</v>
      </c>
    </row>
    <row r="879" spans="1:13">
      <c r="A879" s="1">
        <f>HYPERLINK("http://www.twitter.com/NathanBLawrence/status/991748950955843584", "991748950955843584")</f>
        <v/>
      </c>
      <c r="B879" s="2" t="n">
        <v>43222.77719907407</v>
      </c>
      <c r="C879" t="n">
        <v>0</v>
      </c>
      <c r="D879" t="n">
        <v>3</v>
      </c>
      <c r="E879" t="s">
        <v>885</v>
      </c>
      <c r="F879" t="s"/>
      <c r="G879" t="s"/>
      <c r="H879" t="s"/>
      <c r="I879" t="s"/>
      <c r="J879" t="n">
        <v>0.25</v>
      </c>
      <c r="K879" t="n">
        <v>0</v>
      </c>
      <c r="L879" t="n">
        <v>0.905</v>
      </c>
      <c r="M879" t="n">
        <v>0.095</v>
      </c>
    </row>
    <row r="880" spans="1:13">
      <c r="A880" s="1">
        <f>HYPERLINK("http://www.twitter.com/NathanBLawrence/status/991748828343791621", "991748828343791621")</f>
        <v/>
      </c>
      <c r="B880" s="2" t="n">
        <v>43222.77686342593</v>
      </c>
      <c r="C880" t="n">
        <v>0</v>
      </c>
      <c r="D880" t="n">
        <v>2</v>
      </c>
      <c r="E880" t="s">
        <v>886</v>
      </c>
      <c r="F880">
        <f>HYPERLINK("http://pbs.twimg.com/media/DcNh5QoUQAA6OUi.jpg", "http://pbs.twimg.com/media/DcNh5QoUQAA6OUi.jpg")</f>
        <v/>
      </c>
      <c r="G880" t="s"/>
      <c r="H880" t="s"/>
      <c r="I880" t="s"/>
      <c r="J880" t="n">
        <v>0.3612</v>
      </c>
      <c r="K880" t="n">
        <v>0</v>
      </c>
      <c r="L880" t="n">
        <v>0.872</v>
      </c>
      <c r="M880" t="n">
        <v>0.128</v>
      </c>
    </row>
    <row r="881" spans="1:13">
      <c r="A881" s="1">
        <f>HYPERLINK("http://www.twitter.com/NathanBLawrence/status/991748794562809857", "991748794562809857")</f>
        <v/>
      </c>
      <c r="B881" s="2" t="n">
        <v>43222.77677083333</v>
      </c>
      <c r="C881" t="n">
        <v>1</v>
      </c>
      <c r="D881" t="n">
        <v>0</v>
      </c>
      <c r="E881" t="s">
        <v>887</v>
      </c>
      <c r="F881" t="s"/>
      <c r="G881" t="s"/>
      <c r="H881" t="s"/>
      <c r="I881" t="s"/>
      <c r="J881" t="n">
        <v>0.6274999999999999</v>
      </c>
      <c r="K881" t="n">
        <v>0.11</v>
      </c>
      <c r="L881" t="n">
        <v>0.592</v>
      </c>
      <c r="M881" t="n">
        <v>0.299</v>
      </c>
    </row>
    <row r="882" spans="1:13">
      <c r="A882" s="1">
        <f>HYPERLINK("http://www.twitter.com/NathanBLawrence/status/991720875874488320", "991720875874488320")</f>
        <v/>
      </c>
      <c r="B882" s="2" t="n">
        <v>43222.69972222222</v>
      </c>
      <c r="C882" t="n">
        <v>0</v>
      </c>
      <c r="D882" t="n">
        <v>309</v>
      </c>
      <c r="E882" t="s">
        <v>888</v>
      </c>
      <c r="F882">
        <f>HYPERLINK("http://pbs.twimg.com/media/DcNGdwyVAAAj9pr.jpg", "http://pbs.twimg.com/media/DcNGdwyVAAAj9pr.jpg")</f>
        <v/>
      </c>
      <c r="G882" t="s"/>
      <c r="H882" t="s"/>
      <c r="I882" t="s"/>
      <c r="J882" t="n">
        <v>0</v>
      </c>
      <c r="K882" t="n">
        <v>0</v>
      </c>
      <c r="L882" t="n">
        <v>1</v>
      </c>
      <c r="M882" t="n">
        <v>0</v>
      </c>
    </row>
    <row r="883" spans="1:13">
      <c r="A883" s="1">
        <f>HYPERLINK("http://www.twitter.com/NathanBLawrence/status/991720757804879872", "991720757804879872")</f>
        <v/>
      </c>
      <c r="B883" s="2" t="n">
        <v>43222.69939814815</v>
      </c>
      <c r="C883" t="n">
        <v>0</v>
      </c>
      <c r="D883" t="n">
        <v>2</v>
      </c>
      <c r="E883" t="s">
        <v>889</v>
      </c>
      <c r="F883" t="s"/>
      <c r="G883" t="s"/>
      <c r="H883" t="s"/>
      <c r="I883" t="s"/>
      <c r="J883" t="n">
        <v>0</v>
      </c>
      <c r="K883" t="n">
        <v>0</v>
      </c>
      <c r="L883" t="n">
        <v>1</v>
      </c>
      <c r="M883" t="n">
        <v>0</v>
      </c>
    </row>
    <row r="884" spans="1:13">
      <c r="A884" s="1">
        <f>HYPERLINK("http://www.twitter.com/NathanBLawrence/status/991720717606686720", "991720717606686720")</f>
        <v/>
      </c>
      <c r="B884" s="2" t="n">
        <v>43222.69929398148</v>
      </c>
      <c r="C884" t="n">
        <v>0</v>
      </c>
      <c r="D884" t="n">
        <v>15757</v>
      </c>
      <c r="E884" t="s">
        <v>890</v>
      </c>
      <c r="F884">
        <f>HYPERLINK("http://pbs.twimg.com/media/DcKdKGiUQAUw9qe.jpg", "http://pbs.twimg.com/media/DcKdKGiUQAUw9qe.jpg")</f>
        <v/>
      </c>
      <c r="G884" t="s"/>
      <c r="H884" t="s"/>
      <c r="I884" t="s"/>
      <c r="J884" t="n">
        <v>0</v>
      </c>
      <c r="K884" t="n">
        <v>0</v>
      </c>
      <c r="L884" t="n">
        <v>1</v>
      </c>
      <c r="M884" t="n">
        <v>0</v>
      </c>
    </row>
    <row r="885" spans="1:13">
      <c r="A885" s="1">
        <f>HYPERLINK("http://www.twitter.com/NathanBLawrence/status/991720706567270401", "991720706567270401")</f>
        <v/>
      </c>
      <c r="B885" s="2" t="n">
        <v>43222.69925925926</v>
      </c>
      <c r="C885" t="n">
        <v>0</v>
      </c>
      <c r="D885" t="n">
        <v>5853</v>
      </c>
      <c r="E885" t="s">
        <v>891</v>
      </c>
      <c r="F885" t="s"/>
      <c r="G885" t="s"/>
      <c r="H885" t="s"/>
      <c r="I885" t="s"/>
      <c r="J885" t="n">
        <v>-0.4939</v>
      </c>
      <c r="K885" t="n">
        <v>0.176</v>
      </c>
      <c r="L885" t="n">
        <v>0.824</v>
      </c>
      <c r="M885" t="n">
        <v>0</v>
      </c>
    </row>
    <row r="886" spans="1:13">
      <c r="A886" s="1">
        <f>HYPERLINK("http://www.twitter.com/NathanBLawrence/status/991720687831273473", "991720687831273473")</f>
        <v/>
      </c>
      <c r="B886" s="2" t="n">
        <v>43222.69920138889</v>
      </c>
      <c r="C886" t="n">
        <v>0</v>
      </c>
      <c r="D886" t="n">
        <v>664</v>
      </c>
      <c r="E886" t="s">
        <v>892</v>
      </c>
      <c r="F886">
        <f>HYPERLINK("http://pbs.twimg.com/media/DcLJylWVMAAVnY8.jpg", "http://pbs.twimg.com/media/DcLJylWVMAAVnY8.jpg")</f>
        <v/>
      </c>
      <c r="G886" t="s"/>
      <c r="H886" t="s"/>
      <c r="I886" t="s"/>
      <c r="J886" t="n">
        <v>0.3612</v>
      </c>
      <c r="K886" t="n">
        <v>0</v>
      </c>
      <c r="L886" t="n">
        <v>0.706</v>
      </c>
      <c r="M886" t="n">
        <v>0.294</v>
      </c>
    </row>
    <row r="887" spans="1:13">
      <c r="A887" s="1">
        <f>HYPERLINK("http://www.twitter.com/NathanBLawrence/status/991720637436694528", "991720637436694528")</f>
        <v/>
      </c>
      <c r="B887" s="2" t="n">
        <v>43222.6990625</v>
      </c>
      <c r="C887" t="n">
        <v>0</v>
      </c>
      <c r="D887" t="n">
        <v>6</v>
      </c>
      <c r="E887" t="s">
        <v>893</v>
      </c>
      <c r="F887" t="s"/>
      <c r="G887" t="s"/>
      <c r="H887" t="s"/>
      <c r="I887" t="s"/>
      <c r="J887" t="n">
        <v>-0.2732</v>
      </c>
      <c r="K887" t="n">
        <v>0.174</v>
      </c>
      <c r="L887" t="n">
        <v>0.826</v>
      </c>
      <c r="M887" t="n">
        <v>0</v>
      </c>
    </row>
    <row r="888" spans="1:13">
      <c r="A888" s="1">
        <f>HYPERLINK("http://www.twitter.com/NathanBLawrence/status/991720618910519297", "991720618910519297")</f>
        <v/>
      </c>
      <c r="B888" s="2" t="n">
        <v>43222.6990162037</v>
      </c>
      <c r="C888" t="n">
        <v>0</v>
      </c>
      <c r="D888" t="n">
        <v>895</v>
      </c>
      <c r="E888" t="s">
        <v>894</v>
      </c>
      <c r="F888">
        <f>HYPERLINK("http://pbs.twimg.com/media/DcKR3nUV4AAFOk4.jpg", "http://pbs.twimg.com/media/DcKR3nUV4AAFOk4.jpg")</f>
        <v/>
      </c>
      <c r="G888" t="s"/>
      <c r="H888" t="s"/>
      <c r="I888" t="s"/>
      <c r="J888" t="n">
        <v>-0.3382</v>
      </c>
      <c r="K888" t="n">
        <v>0.097</v>
      </c>
      <c r="L888" t="n">
        <v>0.86</v>
      </c>
      <c r="M888" t="n">
        <v>0.043</v>
      </c>
    </row>
    <row r="889" spans="1:13">
      <c r="A889" s="1">
        <f>HYPERLINK("http://www.twitter.com/NathanBLawrence/status/991715369919361024", "991715369919361024")</f>
        <v/>
      </c>
      <c r="B889" s="2" t="n">
        <v>43222.68453703704</v>
      </c>
      <c r="C889" t="n">
        <v>0</v>
      </c>
      <c r="D889" t="n">
        <v>4</v>
      </c>
      <c r="E889" t="s">
        <v>895</v>
      </c>
      <c r="F889" t="s"/>
      <c r="G889" t="s"/>
      <c r="H889" t="s"/>
      <c r="I889" t="s"/>
      <c r="J889" t="n">
        <v>-0.0772</v>
      </c>
      <c r="K889" t="n">
        <v>0.106</v>
      </c>
      <c r="L889" t="n">
        <v>0.798</v>
      </c>
      <c r="M889" t="n">
        <v>0.095</v>
      </c>
    </row>
    <row r="890" spans="1:13">
      <c r="A890" s="1">
        <f>HYPERLINK("http://www.twitter.com/NathanBLawrence/status/991715295927599104", "991715295927599104")</f>
        <v/>
      </c>
      <c r="B890" s="2" t="n">
        <v>43222.6843287037</v>
      </c>
      <c r="C890" t="n">
        <v>0</v>
      </c>
      <c r="D890" t="n">
        <v>7</v>
      </c>
      <c r="E890" t="s">
        <v>896</v>
      </c>
      <c r="F890" t="s"/>
      <c r="G890" t="s"/>
      <c r="H890" t="s"/>
      <c r="I890" t="s"/>
      <c r="J890" t="n">
        <v>-0.6369</v>
      </c>
      <c r="K890" t="n">
        <v>0.16</v>
      </c>
      <c r="L890" t="n">
        <v>0.84</v>
      </c>
      <c r="M890" t="n">
        <v>0</v>
      </c>
    </row>
    <row r="891" spans="1:13">
      <c r="A891" s="1">
        <f>HYPERLINK("http://www.twitter.com/NathanBLawrence/status/991715283944529920", "991715283944529920")</f>
        <v/>
      </c>
      <c r="B891" s="2" t="n">
        <v>43222.68429398148</v>
      </c>
      <c r="C891" t="n">
        <v>0</v>
      </c>
      <c r="D891" t="n">
        <v>6</v>
      </c>
      <c r="E891" t="s">
        <v>897</v>
      </c>
      <c r="F891" t="s"/>
      <c r="G891" t="s"/>
      <c r="H891" t="s"/>
      <c r="I891" t="s"/>
      <c r="J891" t="n">
        <v>0</v>
      </c>
      <c r="K891" t="n">
        <v>0</v>
      </c>
      <c r="L891" t="n">
        <v>1</v>
      </c>
      <c r="M891" t="n">
        <v>0</v>
      </c>
    </row>
    <row r="892" spans="1:13">
      <c r="A892" s="1">
        <f>HYPERLINK("http://www.twitter.com/NathanBLawrence/status/991712376239075328", "991712376239075328")</f>
        <v/>
      </c>
      <c r="B892" s="2" t="n">
        <v>43222.67627314815</v>
      </c>
      <c r="C892" t="n">
        <v>0</v>
      </c>
      <c r="D892" t="n">
        <v>11</v>
      </c>
      <c r="E892" t="s">
        <v>898</v>
      </c>
      <c r="F892">
        <f>HYPERLINK("http://pbs.twimg.com/media/DcNE05wVMAEwScK.jpg", "http://pbs.twimg.com/media/DcNE05wVMAEwScK.jpg")</f>
        <v/>
      </c>
      <c r="G892" t="s"/>
      <c r="H892" t="s"/>
      <c r="I892" t="s"/>
      <c r="J892" t="n">
        <v>0</v>
      </c>
      <c r="K892" t="n">
        <v>0</v>
      </c>
      <c r="L892" t="n">
        <v>1</v>
      </c>
      <c r="M892" t="n">
        <v>0</v>
      </c>
    </row>
    <row r="893" spans="1:13">
      <c r="A893" s="1">
        <f>HYPERLINK("http://www.twitter.com/NathanBLawrence/status/991712028233469953", "991712028233469953")</f>
        <v/>
      </c>
      <c r="B893" s="2" t="n">
        <v>43222.6753125</v>
      </c>
      <c r="C893" t="n">
        <v>14</v>
      </c>
      <c r="D893" t="n">
        <v>11</v>
      </c>
      <c r="E893" t="s">
        <v>899</v>
      </c>
      <c r="F893">
        <f>HYPERLINK("http://pbs.twimg.com/media/DcNE05wVMAEwScK.jpg", "http://pbs.twimg.com/media/DcNE05wVMAEwScK.jpg")</f>
        <v/>
      </c>
      <c r="G893" t="s"/>
      <c r="H893" t="s"/>
      <c r="I893" t="s"/>
      <c r="J893" t="n">
        <v>0.4696</v>
      </c>
      <c r="K893" t="n">
        <v>0</v>
      </c>
      <c r="L893" t="n">
        <v>0.931</v>
      </c>
      <c r="M893" t="n">
        <v>0.06900000000000001</v>
      </c>
    </row>
    <row r="894" spans="1:13">
      <c r="A894" s="1">
        <f>HYPERLINK("http://www.twitter.com/NathanBLawrence/status/991707300384698368", "991707300384698368")</f>
        <v/>
      </c>
      <c r="B894" s="2" t="n">
        <v>43222.66226851852</v>
      </c>
      <c r="C894" t="n">
        <v>0</v>
      </c>
      <c r="D894" t="n">
        <v>6</v>
      </c>
      <c r="E894" t="s">
        <v>900</v>
      </c>
      <c r="F894" t="s"/>
      <c r="G894" t="s"/>
      <c r="H894" t="s"/>
      <c r="I894" t="s"/>
      <c r="J894" t="n">
        <v>0</v>
      </c>
      <c r="K894" t="n">
        <v>0</v>
      </c>
      <c r="L894" t="n">
        <v>1</v>
      </c>
      <c r="M894" t="n">
        <v>0</v>
      </c>
    </row>
    <row r="895" spans="1:13">
      <c r="A895" s="1">
        <f>HYPERLINK("http://www.twitter.com/NathanBLawrence/status/991707270420590593", "991707270420590593")</f>
        <v/>
      </c>
      <c r="B895" s="2" t="n">
        <v>43222.66217592593</v>
      </c>
      <c r="C895" t="n">
        <v>0</v>
      </c>
      <c r="D895" t="n">
        <v>8</v>
      </c>
      <c r="E895" t="s">
        <v>901</v>
      </c>
      <c r="F895" t="s"/>
      <c r="G895" t="s"/>
      <c r="H895" t="s"/>
      <c r="I895" t="s"/>
      <c r="J895" t="n">
        <v>-0.1027</v>
      </c>
      <c r="K895" t="n">
        <v>0.065</v>
      </c>
      <c r="L895" t="n">
        <v>0.9350000000000001</v>
      </c>
      <c r="M895" t="n">
        <v>0</v>
      </c>
    </row>
    <row r="896" spans="1:13">
      <c r="A896" s="1">
        <f>HYPERLINK("http://www.twitter.com/NathanBLawrence/status/991707179983015937", "991707179983015937")</f>
        <v/>
      </c>
      <c r="B896" s="2" t="n">
        <v>43222.66193287037</v>
      </c>
      <c r="C896" t="n">
        <v>0</v>
      </c>
      <c r="D896" t="n">
        <v>7</v>
      </c>
      <c r="E896" t="s">
        <v>902</v>
      </c>
      <c r="F896" t="s"/>
      <c r="G896" t="s"/>
      <c r="H896" t="s"/>
      <c r="I896" t="s"/>
      <c r="J896" t="n">
        <v>0.1531</v>
      </c>
      <c r="K896" t="n">
        <v>0</v>
      </c>
      <c r="L896" t="n">
        <v>0.926</v>
      </c>
      <c r="M896" t="n">
        <v>0.074</v>
      </c>
    </row>
    <row r="897" spans="1:13">
      <c r="A897" s="1">
        <f>HYPERLINK("http://www.twitter.com/NathanBLawrence/status/991707139101089794", "991707139101089794")</f>
        <v/>
      </c>
      <c r="B897" s="2" t="n">
        <v>43222.66181712963</v>
      </c>
      <c r="C897" t="n">
        <v>0</v>
      </c>
      <c r="D897" t="n">
        <v>6</v>
      </c>
      <c r="E897" t="s">
        <v>903</v>
      </c>
      <c r="F897" t="s"/>
      <c r="G897" t="s"/>
      <c r="H897" t="s"/>
      <c r="I897" t="s"/>
      <c r="J897" t="n">
        <v>-0.4939</v>
      </c>
      <c r="K897" t="n">
        <v>0.13</v>
      </c>
      <c r="L897" t="n">
        <v>0.827</v>
      </c>
      <c r="M897" t="n">
        <v>0.043</v>
      </c>
    </row>
    <row r="898" spans="1:13">
      <c r="A898" s="1">
        <f>HYPERLINK("http://www.twitter.com/NathanBLawrence/status/991707121208188930", "991707121208188930")</f>
        <v/>
      </c>
      <c r="B898" s="2" t="n">
        <v>43222.66177083334</v>
      </c>
      <c r="C898" t="n">
        <v>0</v>
      </c>
      <c r="D898" t="n">
        <v>5</v>
      </c>
      <c r="E898" t="s">
        <v>904</v>
      </c>
      <c r="F898" t="s"/>
      <c r="G898" t="s"/>
      <c r="H898" t="s"/>
      <c r="I898" t="s"/>
      <c r="J898" t="n">
        <v>0.2263</v>
      </c>
      <c r="K898" t="n">
        <v>0</v>
      </c>
      <c r="L898" t="n">
        <v>0.905</v>
      </c>
      <c r="M898" t="n">
        <v>0.095</v>
      </c>
    </row>
    <row r="899" spans="1:13">
      <c r="A899" s="1">
        <f>HYPERLINK("http://www.twitter.com/NathanBLawrence/status/991707100890959872", "991707100890959872")</f>
        <v/>
      </c>
      <c r="B899" s="2" t="n">
        <v>43222.66171296296</v>
      </c>
      <c r="C899" t="n">
        <v>0</v>
      </c>
      <c r="D899" t="n">
        <v>5</v>
      </c>
      <c r="E899" t="s">
        <v>905</v>
      </c>
      <c r="F899" t="s"/>
      <c r="G899" t="s"/>
      <c r="H899" t="s"/>
      <c r="I899" t="s"/>
      <c r="J899" t="n">
        <v>0.25</v>
      </c>
      <c r="K899" t="n">
        <v>0</v>
      </c>
      <c r="L899" t="n">
        <v>0.917</v>
      </c>
      <c r="M899" t="n">
        <v>0.083</v>
      </c>
    </row>
    <row r="900" spans="1:13">
      <c r="A900" s="1">
        <f>HYPERLINK("http://www.twitter.com/NathanBLawrence/status/991707084554108928", "991707084554108928")</f>
        <v/>
      </c>
      <c r="B900" s="2" t="n">
        <v>43222.66166666667</v>
      </c>
      <c r="C900" t="n">
        <v>0</v>
      </c>
      <c r="D900" t="n">
        <v>4</v>
      </c>
      <c r="E900" t="s">
        <v>906</v>
      </c>
      <c r="F900" t="s"/>
      <c r="G900" t="s"/>
      <c r="H900" t="s"/>
      <c r="I900" t="s"/>
      <c r="J900" t="n">
        <v>-0.296</v>
      </c>
      <c r="K900" t="n">
        <v>0.099</v>
      </c>
      <c r="L900" t="n">
        <v>0.901</v>
      </c>
      <c r="M900" t="n">
        <v>0</v>
      </c>
    </row>
    <row r="901" spans="1:13">
      <c r="A901" s="1">
        <f>HYPERLINK("http://www.twitter.com/NathanBLawrence/status/991707058998308864", "991707058998308864")</f>
        <v/>
      </c>
      <c r="B901" s="2" t="n">
        <v>43222.66159722222</v>
      </c>
      <c r="C901" t="n">
        <v>0</v>
      </c>
      <c r="D901" t="n">
        <v>3</v>
      </c>
      <c r="E901" t="s">
        <v>907</v>
      </c>
      <c r="F901" t="s"/>
      <c r="G901" t="s"/>
      <c r="H901" t="s"/>
      <c r="I901" t="s"/>
      <c r="J901" t="n">
        <v>0.8264</v>
      </c>
      <c r="K901" t="n">
        <v>0</v>
      </c>
      <c r="L901" t="n">
        <v>0.707</v>
      </c>
      <c r="M901" t="n">
        <v>0.293</v>
      </c>
    </row>
    <row r="902" spans="1:13">
      <c r="A902" s="1">
        <f>HYPERLINK("http://www.twitter.com/NathanBLawrence/status/991707037225639936", "991707037225639936")</f>
        <v/>
      </c>
      <c r="B902" s="2" t="n">
        <v>43222.66153935185</v>
      </c>
      <c r="C902" t="n">
        <v>0</v>
      </c>
      <c r="D902" t="n">
        <v>15</v>
      </c>
      <c r="E902" t="s">
        <v>908</v>
      </c>
      <c r="F902">
        <f>HYPERLINK("http://pbs.twimg.com/media/DcJAujXXkAARzS6.jpg", "http://pbs.twimg.com/media/DcJAujXXkAARzS6.jpg")</f>
        <v/>
      </c>
      <c r="G902" t="s"/>
      <c r="H902" t="s"/>
      <c r="I902" t="s"/>
      <c r="J902" t="n">
        <v>0</v>
      </c>
      <c r="K902" t="n">
        <v>0</v>
      </c>
      <c r="L902" t="n">
        <v>1</v>
      </c>
      <c r="M902" t="n">
        <v>0</v>
      </c>
    </row>
    <row r="903" spans="1:13">
      <c r="A903" s="1">
        <f>HYPERLINK("http://www.twitter.com/NathanBLawrence/status/991707023195688960", "991707023195688960")</f>
        <v/>
      </c>
      <c r="B903" s="2" t="n">
        <v>43222.66150462963</v>
      </c>
      <c r="C903" t="n">
        <v>0</v>
      </c>
      <c r="D903" t="n">
        <v>7</v>
      </c>
      <c r="E903" t="s">
        <v>909</v>
      </c>
      <c r="F903" t="s"/>
      <c r="G903" t="s"/>
      <c r="H903" t="s"/>
      <c r="I903" t="s"/>
      <c r="J903" t="n">
        <v>0.546</v>
      </c>
      <c r="K903" t="n">
        <v>0.08500000000000001</v>
      </c>
      <c r="L903" t="n">
        <v>0.6840000000000001</v>
      </c>
      <c r="M903" t="n">
        <v>0.232</v>
      </c>
    </row>
    <row r="904" spans="1:13">
      <c r="A904" s="1">
        <f>HYPERLINK("http://www.twitter.com/NathanBLawrence/status/991706997904039936", "991706997904039936")</f>
        <v/>
      </c>
      <c r="B904" s="2" t="n">
        <v>43222.66142361111</v>
      </c>
      <c r="C904" t="n">
        <v>0</v>
      </c>
      <c r="D904" t="n">
        <v>14</v>
      </c>
      <c r="E904" t="s">
        <v>910</v>
      </c>
      <c r="F904">
        <f>HYPERLINK("http://pbs.twimg.com/media/DcMjTqrUQAAkxoj.jpg", "http://pbs.twimg.com/media/DcMjTqrUQAAkxoj.jpg")</f>
        <v/>
      </c>
      <c r="G904" t="s"/>
      <c r="H904" t="s"/>
      <c r="I904" t="s"/>
      <c r="J904" t="n">
        <v>-0.1027</v>
      </c>
      <c r="K904" t="n">
        <v>0.116</v>
      </c>
      <c r="L904" t="n">
        <v>0.784</v>
      </c>
      <c r="M904" t="n">
        <v>0.101</v>
      </c>
    </row>
    <row r="905" spans="1:13">
      <c r="A905" s="1">
        <f>HYPERLINK("http://www.twitter.com/NathanBLawrence/status/991706984218025987", "991706984218025987")</f>
        <v/>
      </c>
      <c r="B905" s="2" t="n">
        <v>43222.66138888889</v>
      </c>
      <c r="C905" t="n">
        <v>0</v>
      </c>
      <c r="D905" t="n">
        <v>8</v>
      </c>
      <c r="E905" t="s">
        <v>911</v>
      </c>
      <c r="F905" t="s"/>
      <c r="G905" t="s"/>
      <c r="H905" t="s"/>
      <c r="I905" t="s"/>
      <c r="J905" t="n">
        <v>0.4019</v>
      </c>
      <c r="K905" t="n">
        <v>0.08400000000000001</v>
      </c>
      <c r="L905" t="n">
        <v>0.728</v>
      </c>
      <c r="M905" t="n">
        <v>0.188</v>
      </c>
    </row>
    <row r="906" spans="1:13">
      <c r="A906" s="1">
        <f>HYPERLINK("http://www.twitter.com/NathanBLawrence/status/991706718122987520", "991706718122987520")</f>
        <v/>
      </c>
      <c r="B906" s="2" t="n">
        <v>43222.66065972222</v>
      </c>
      <c r="C906" t="n">
        <v>0</v>
      </c>
      <c r="D906" t="n">
        <v>11</v>
      </c>
      <c r="E906" t="s">
        <v>912</v>
      </c>
      <c r="F906">
        <f>HYPERLINK("http://pbs.twimg.com/media/DcM_2T4X0AUgIt4.jpg", "http://pbs.twimg.com/media/DcM_2T4X0AUgIt4.jpg")</f>
        <v/>
      </c>
      <c r="G906" t="s"/>
      <c r="H906" t="s"/>
      <c r="I906" t="s"/>
      <c r="J906" t="n">
        <v>0.3182</v>
      </c>
      <c r="K906" t="n">
        <v>0</v>
      </c>
      <c r="L906" t="n">
        <v>0.887</v>
      </c>
      <c r="M906" t="n">
        <v>0.113</v>
      </c>
    </row>
    <row r="907" spans="1:13">
      <c r="A907" s="1">
        <f>HYPERLINK("http://www.twitter.com/NathanBLawrence/status/991705167107186688", "991705167107186688")</f>
        <v/>
      </c>
      <c r="B907" s="2" t="n">
        <v>43222.65637731482</v>
      </c>
      <c r="C907" t="n">
        <v>0</v>
      </c>
      <c r="D907" t="n">
        <v>1</v>
      </c>
      <c r="E907" t="s">
        <v>913</v>
      </c>
      <c r="F907" t="s"/>
      <c r="G907" t="s"/>
      <c r="H907" t="s"/>
      <c r="I907" t="s"/>
      <c r="J907" t="n">
        <v>0.2589</v>
      </c>
      <c r="K907" t="n">
        <v>0.082</v>
      </c>
      <c r="L907" t="n">
        <v>0.793</v>
      </c>
      <c r="M907" t="n">
        <v>0.125</v>
      </c>
    </row>
    <row r="908" spans="1:13">
      <c r="A908" s="1">
        <f>HYPERLINK("http://www.twitter.com/NathanBLawrence/status/991705077424500736", "991705077424500736")</f>
        <v/>
      </c>
      <c r="B908" s="2" t="n">
        <v>43222.65613425926</v>
      </c>
      <c r="C908" t="n">
        <v>0</v>
      </c>
      <c r="D908" t="n">
        <v>3</v>
      </c>
      <c r="E908" t="s">
        <v>914</v>
      </c>
      <c r="F908" t="s"/>
      <c r="G908" t="s"/>
      <c r="H908" t="s"/>
      <c r="I908" t="s"/>
      <c r="J908" t="n">
        <v>0.7675999999999999</v>
      </c>
      <c r="K908" t="n">
        <v>0.11</v>
      </c>
      <c r="L908" t="n">
        <v>0.552</v>
      </c>
      <c r="M908" t="n">
        <v>0.339</v>
      </c>
    </row>
    <row r="909" spans="1:13">
      <c r="A909" s="1">
        <f>HYPERLINK("http://www.twitter.com/NathanBLawrence/status/991705031740149761", "991705031740149761")</f>
        <v/>
      </c>
      <c r="B909" s="2" t="n">
        <v>43222.65600694445</v>
      </c>
      <c r="C909" t="n">
        <v>0</v>
      </c>
      <c r="D909" t="n">
        <v>2</v>
      </c>
      <c r="E909" t="s">
        <v>915</v>
      </c>
      <c r="F909" t="s"/>
      <c r="G909" t="s"/>
      <c r="H909" t="s"/>
      <c r="I909" t="s"/>
      <c r="J909" t="n">
        <v>0.4926</v>
      </c>
      <c r="K909" t="n">
        <v>0</v>
      </c>
      <c r="L909" t="n">
        <v>0.862</v>
      </c>
      <c r="M909" t="n">
        <v>0.138</v>
      </c>
    </row>
    <row r="910" spans="1:13">
      <c r="A910" s="1">
        <f>HYPERLINK("http://www.twitter.com/NathanBLawrence/status/991704635051315202", "991704635051315202")</f>
        <v/>
      </c>
      <c r="B910" s="2" t="n">
        <v>43222.65490740741</v>
      </c>
      <c r="C910" t="n">
        <v>0</v>
      </c>
      <c r="D910" t="n">
        <v>9</v>
      </c>
      <c r="E910" t="s">
        <v>916</v>
      </c>
      <c r="F910" t="s"/>
      <c r="G910" t="s"/>
      <c r="H910" t="s"/>
      <c r="I910" t="s"/>
      <c r="J910" t="n">
        <v>-0.4767</v>
      </c>
      <c r="K910" t="n">
        <v>0.129</v>
      </c>
      <c r="L910" t="n">
        <v>0.871</v>
      </c>
      <c r="M910" t="n">
        <v>0</v>
      </c>
    </row>
    <row r="911" spans="1:13">
      <c r="A911" s="1">
        <f>HYPERLINK("http://www.twitter.com/NathanBLawrence/status/991704595985510401", "991704595985510401")</f>
        <v/>
      </c>
      <c r="B911" s="2" t="n">
        <v>43222.65480324074</v>
      </c>
      <c r="C911" t="n">
        <v>0</v>
      </c>
      <c r="D911" t="n">
        <v>13</v>
      </c>
      <c r="E911" t="s">
        <v>917</v>
      </c>
      <c r="F911">
        <f>HYPERLINK("http://pbs.twimg.com/media/DcKUW7mWAAA7Osp.jpg", "http://pbs.twimg.com/media/DcKUW7mWAAA7Osp.jpg")</f>
        <v/>
      </c>
      <c r="G911" t="s"/>
      <c r="H911" t="s"/>
      <c r="I911" t="s"/>
      <c r="J911" t="n">
        <v>0.4404</v>
      </c>
      <c r="K911" t="n">
        <v>0</v>
      </c>
      <c r="L911" t="n">
        <v>0.854</v>
      </c>
      <c r="M911" t="n">
        <v>0.146</v>
      </c>
    </row>
    <row r="912" spans="1:13">
      <c r="A912" s="1">
        <f>HYPERLINK("http://www.twitter.com/NathanBLawrence/status/991704583561981952", "991704583561981952")</f>
        <v/>
      </c>
      <c r="B912" s="2" t="n">
        <v>43222.65476851852</v>
      </c>
      <c r="C912" t="n">
        <v>0</v>
      </c>
      <c r="D912" t="n">
        <v>10</v>
      </c>
      <c r="E912" t="s">
        <v>918</v>
      </c>
      <c r="F912">
        <f>HYPERLINK("http://pbs.twimg.com/media/DcM81TZW4A0X0eZ.jpg", "http://pbs.twimg.com/media/DcM81TZW4A0X0eZ.jpg")</f>
        <v/>
      </c>
      <c r="G912">
        <f>HYPERLINK("http://pbs.twimg.com/media/DcM82eGX4AA8JZD.jpg", "http://pbs.twimg.com/media/DcM82eGX4AA8JZD.jpg")</f>
        <v/>
      </c>
      <c r="H912" t="s"/>
      <c r="I912" t="s"/>
      <c r="J912" t="n">
        <v>-0.3818</v>
      </c>
      <c r="K912" t="n">
        <v>0.178</v>
      </c>
      <c r="L912" t="n">
        <v>0.822</v>
      </c>
      <c r="M912" t="n">
        <v>0</v>
      </c>
    </row>
    <row r="913" spans="1:13">
      <c r="A913" s="1">
        <f>HYPERLINK("http://www.twitter.com/NathanBLawrence/status/991704511159861248", "991704511159861248")</f>
        <v/>
      </c>
      <c r="B913" s="2" t="n">
        <v>43222.65457175926</v>
      </c>
      <c r="C913" t="n">
        <v>0</v>
      </c>
      <c r="D913" t="n">
        <v>7</v>
      </c>
      <c r="E913" t="s">
        <v>919</v>
      </c>
      <c r="F913" t="s"/>
      <c r="G913" t="s"/>
      <c r="H913" t="s"/>
      <c r="I913" t="s"/>
      <c r="J913" t="n">
        <v>0.875</v>
      </c>
      <c r="K913" t="n">
        <v>0</v>
      </c>
      <c r="L913" t="n">
        <v>0.656</v>
      </c>
      <c r="M913" t="n">
        <v>0.344</v>
      </c>
    </row>
    <row r="914" spans="1:13">
      <c r="A914" s="1">
        <f>HYPERLINK("http://www.twitter.com/NathanBLawrence/status/991704423683559424", "991704423683559424")</f>
        <v/>
      </c>
      <c r="B914" s="2" t="n">
        <v>43222.65432870371</v>
      </c>
      <c r="C914" t="n">
        <v>0</v>
      </c>
      <c r="D914" t="n">
        <v>6</v>
      </c>
      <c r="E914" t="s">
        <v>920</v>
      </c>
      <c r="F914" t="s"/>
      <c r="G914" t="s"/>
      <c r="H914" t="s"/>
      <c r="I914" t="s"/>
      <c r="J914" t="n">
        <v>0.5719</v>
      </c>
      <c r="K914" t="n">
        <v>0</v>
      </c>
      <c r="L914" t="n">
        <v>0.821</v>
      </c>
      <c r="M914" t="n">
        <v>0.179</v>
      </c>
    </row>
    <row r="915" spans="1:13">
      <c r="A915" s="1">
        <f>HYPERLINK("http://www.twitter.com/NathanBLawrence/status/991704396047310848", "991704396047310848")</f>
        <v/>
      </c>
      <c r="B915" s="2" t="n">
        <v>43222.65424768518</v>
      </c>
      <c r="C915" t="n">
        <v>0</v>
      </c>
      <c r="D915" t="n">
        <v>11</v>
      </c>
      <c r="E915" t="s">
        <v>921</v>
      </c>
      <c r="F915" t="s"/>
      <c r="G915" t="s"/>
      <c r="H915" t="s"/>
      <c r="I915" t="s"/>
      <c r="J915" t="n">
        <v>0</v>
      </c>
      <c r="K915" t="n">
        <v>0</v>
      </c>
      <c r="L915" t="n">
        <v>1</v>
      </c>
      <c r="M915" t="n">
        <v>0</v>
      </c>
    </row>
    <row r="916" spans="1:13">
      <c r="A916" s="1">
        <f>HYPERLINK("http://www.twitter.com/NathanBLawrence/status/991704384332619781", "991704384332619781")</f>
        <v/>
      </c>
      <c r="B916" s="2" t="n">
        <v>43222.65421296296</v>
      </c>
      <c r="C916" t="n">
        <v>0</v>
      </c>
      <c r="D916" t="n">
        <v>16</v>
      </c>
      <c r="E916" t="s">
        <v>921</v>
      </c>
      <c r="F916" t="s"/>
      <c r="G916" t="s"/>
      <c r="H916" t="s"/>
      <c r="I916" t="s"/>
      <c r="J916" t="n">
        <v>0</v>
      </c>
      <c r="K916" t="n">
        <v>0</v>
      </c>
      <c r="L916" t="n">
        <v>1</v>
      </c>
      <c r="M916" t="n">
        <v>0</v>
      </c>
    </row>
    <row r="917" spans="1:13">
      <c r="A917" s="1">
        <f>HYPERLINK("http://www.twitter.com/NathanBLawrence/status/991704373892968448", "991704373892968448")</f>
        <v/>
      </c>
      <c r="B917" s="2" t="n">
        <v>43222.65418981481</v>
      </c>
      <c r="C917" t="n">
        <v>0</v>
      </c>
      <c r="D917" t="n">
        <v>12</v>
      </c>
      <c r="E917" t="s">
        <v>921</v>
      </c>
      <c r="F917" t="s"/>
      <c r="G917" t="s"/>
      <c r="H917" t="s"/>
      <c r="I917" t="s"/>
      <c r="J917" t="n">
        <v>0</v>
      </c>
      <c r="K917" t="n">
        <v>0</v>
      </c>
      <c r="L917" t="n">
        <v>1</v>
      </c>
      <c r="M917" t="n">
        <v>0</v>
      </c>
    </row>
    <row r="918" spans="1:13">
      <c r="A918" s="1">
        <f>HYPERLINK("http://www.twitter.com/NathanBLawrence/status/991704362006310918", "991704362006310918")</f>
        <v/>
      </c>
      <c r="B918" s="2" t="n">
        <v>43222.65415509259</v>
      </c>
      <c r="C918" t="n">
        <v>0</v>
      </c>
      <c r="D918" t="n">
        <v>14</v>
      </c>
      <c r="E918" t="s">
        <v>922</v>
      </c>
      <c r="F918">
        <f>HYPERLINK("http://pbs.twimg.com/media/DcM6E7fV4AAHmBA.jpg", "http://pbs.twimg.com/media/DcM6E7fV4AAHmBA.jpg")</f>
        <v/>
      </c>
      <c r="G918">
        <f>HYPERLINK("http://pbs.twimg.com/media/DcM6E7hVAAA_Pvj.jpg", "http://pbs.twimg.com/media/DcM6E7hVAAA_Pvj.jpg")</f>
        <v/>
      </c>
      <c r="H918">
        <f>HYPERLINK("http://pbs.twimg.com/media/DcM6E7gU0AASsJ3.jpg", "http://pbs.twimg.com/media/DcM6E7gU0AASsJ3.jpg")</f>
        <v/>
      </c>
      <c r="I918">
        <f>HYPERLINK("http://pbs.twimg.com/media/DcM6E7iVMAAj9vu.jpg", "http://pbs.twimg.com/media/DcM6E7iVMAAj9vu.jpg")</f>
        <v/>
      </c>
      <c r="J918" t="n">
        <v>-0.8038</v>
      </c>
      <c r="K918" t="n">
        <v>0.256</v>
      </c>
      <c r="L918" t="n">
        <v>0.744</v>
      </c>
      <c r="M918" t="n">
        <v>0</v>
      </c>
    </row>
    <row r="919" spans="1:13">
      <c r="A919" s="1">
        <f>HYPERLINK("http://www.twitter.com/NathanBLawrence/status/991704350593568769", "991704350593568769")</f>
        <v/>
      </c>
      <c r="B919" s="2" t="n">
        <v>43222.65412037037</v>
      </c>
      <c r="C919" t="n">
        <v>0</v>
      </c>
      <c r="D919" t="n">
        <v>10</v>
      </c>
      <c r="E919" t="s">
        <v>923</v>
      </c>
      <c r="F919" t="s"/>
      <c r="G919" t="s"/>
      <c r="H919" t="s"/>
      <c r="I919" t="s"/>
      <c r="J919" t="n">
        <v>0</v>
      </c>
      <c r="K919" t="n">
        <v>0</v>
      </c>
      <c r="L919" t="n">
        <v>1</v>
      </c>
      <c r="M919" t="n">
        <v>0</v>
      </c>
    </row>
    <row r="920" spans="1:13">
      <c r="A920" s="1">
        <f>HYPERLINK("http://www.twitter.com/NathanBLawrence/status/991704329672380417", "991704329672380417")</f>
        <v/>
      </c>
      <c r="B920" s="2" t="n">
        <v>43222.6540625</v>
      </c>
      <c r="C920" t="n">
        <v>0</v>
      </c>
      <c r="D920" t="n">
        <v>14</v>
      </c>
      <c r="E920" t="s">
        <v>924</v>
      </c>
      <c r="F920" t="s"/>
      <c r="G920" t="s"/>
      <c r="H920" t="s"/>
      <c r="I920" t="s"/>
      <c r="J920" t="n">
        <v>0</v>
      </c>
      <c r="K920" t="n">
        <v>0</v>
      </c>
      <c r="L920" t="n">
        <v>1</v>
      </c>
      <c r="M920" t="n">
        <v>0</v>
      </c>
    </row>
    <row r="921" spans="1:13">
      <c r="A921" s="1">
        <f>HYPERLINK("http://www.twitter.com/NathanBLawrence/status/991704275456811008", "991704275456811008")</f>
        <v/>
      </c>
      <c r="B921" s="2" t="n">
        <v>43222.65391203704</v>
      </c>
      <c r="C921" t="n">
        <v>0</v>
      </c>
      <c r="D921" t="n">
        <v>7</v>
      </c>
      <c r="E921" t="s">
        <v>925</v>
      </c>
      <c r="F921">
        <f>HYPERLINK("http://pbs.twimg.com/media/DcM79T7WkAIBT7q.jpg", "http://pbs.twimg.com/media/DcM79T7WkAIBT7q.jpg")</f>
        <v/>
      </c>
      <c r="G921">
        <f>HYPERLINK("http://pbs.twimg.com/media/DcM8hiSXUAE-8-4.jpg", "http://pbs.twimg.com/media/DcM8hiSXUAE-8-4.jpg")</f>
        <v/>
      </c>
      <c r="H921" t="s"/>
      <c r="I921" t="s"/>
      <c r="J921" t="n">
        <v>-0.3818</v>
      </c>
      <c r="K921" t="n">
        <v>0.167</v>
      </c>
      <c r="L921" t="n">
        <v>0.833</v>
      </c>
      <c r="M921" t="n">
        <v>0</v>
      </c>
    </row>
    <row r="922" spans="1:13">
      <c r="A922" s="1">
        <f>HYPERLINK("http://www.twitter.com/NathanBLawrence/status/991666989172224001", "991666989172224001")</f>
        <v/>
      </c>
      <c r="B922" s="2" t="n">
        <v>43222.5510300926</v>
      </c>
      <c r="C922" t="n">
        <v>0</v>
      </c>
      <c r="D922" t="n">
        <v>25</v>
      </c>
      <c r="E922" t="s">
        <v>926</v>
      </c>
      <c r="F922">
        <f>HYPERLINK("http://pbs.twimg.com/media/DcHrhQFW0AMl4Xb.jpg", "http://pbs.twimg.com/media/DcHrhQFW0AMl4Xb.jpg")</f>
        <v/>
      </c>
      <c r="G922" t="s"/>
      <c r="H922" t="s"/>
      <c r="I922" t="s"/>
      <c r="J922" t="n">
        <v>-0.4019</v>
      </c>
      <c r="K922" t="n">
        <v>0.231</v>
      </c>
      <c r="L922" t="n">
        <v>0.769</v>
      </c>
      <c r="M922" t="n">
        <v>0</v>
      </c>
    </row>
    <row r="923" spans="1:13">
      <c r="A923" s="1">
        <f>HYPERLINK("http://www.twitter.com/NathanBLawrence/status/991666919966236672", "991666919966236672")</f>
        <v/>
      </c>
      <c r="B923" s="2" t="n">
        <v>43222.55083333333</v>
      </c>
      <c r="C923" t="n">
        <v>0</v>
      </c>
      <c r="D923" t="n">
        <v>64</v>
      </c>
      <c r="E923" t="s">
        <v>927</v>
      </c>
      <c r="F923" t="s"/>
      <c r="G923" t="s"/>
      <c r="H923" t="s"/>
      <c r="I923" t="s"/>
      <c r="J923" t="n">
        <v>0.0258</v>
      </c>
      <c r="K923" t="n">
        <v>0.107</v>
      </c>
      <c r="L923" t="n">
        <v>0.782</v>
      </c>
      <c r="M923" t="n">
        <v>0.111</v>
      </c>
    </row>
    <row r="924" spans="1:13">
      <c r="A924" s="1">
        <f>HYPERLINK("http://www.twitter.com/NathanBLawrence/status/991666888471203840", "991666888471203840")</f>
        <v/>
      </c>
      <c r="B924" s="2" t="n">
        <v>43222.55075231481</v>
      </c>
      <c r="C924" t="n">
        <v>0</v>
      </c>
      <c r="D924" t="n">
        <v>1030</v>
      </c>
      <c r="E924" t="s">
        <v>928</v>
      </c>
      <c r="F924" t="s"/>
      <c r="G924" t="s"/>
      <c r="H924" t="s"/>
      <c r="I924" t="s"/>
      <c r="J924" t="n">
        <v>0.7027</v>
      </c>
      <c r="K924" t="n">
        <v>0</v>
      </c>
      <c r="L924" t="n">
        <v>0.383</v>
      </c>
      <c r="M924" t="n">
        <v>0.617</v>
      </c>
    </row>
    <row r="925" spans="1:13">
      <c r="A925" s="1">
        <f>HYPERLINK("http://www.twitter.com/NathanBLawrence/status/991666648527589377", "991666648527589377")</f>
        <v/>
      </c>
      <c r="B925" s="2" t="n">
        <v>43222.55008101852</v>
      </c>
      <c r="C925" t="n">
        <v>0</v>
      </c>
      <c r="D925" t="n">
        <v>736</v>
      </c>
      <c r="E925" t="s">
        <v>929</v>
      </c>
      <c r="F925" t="s"/>
      <c r="G925" t="s"/>
      <c r="H925" t="s"/>
      <c r="I925" t="s"/>
      <c r="J925" t="n">
        <v>0</v>
      </c>
      <c r="K925" t="n">
        <v>0</v>
      </c>
      <c r="L925" t="n">
        <v>1</v>
      </c>
      <c r="M925" t="n">
        <v>0</v>
      </c>
    </row>
    <row r="926" spans="1:13">
      <c r="A926" s="1">
        <f>HYPERLINK("http://www.twitter.com/NathanBLawrence/status/991666584719642624", "991666584719642624")</f>
        <v/>
      </c>
      <c r="B926" s="2" t="n">
        <v>43222.54990740741</v>
      </c>
      <c r="C926" t="n">
        <v>0</v>
      </c>
      <c r="D926" t="n">
        <v>769</v>
      </c>
      <c r="E926" t="s">
        <v>930</v>
      </c>
      <c r="F926" t="s"/>
      <c r="G926" t="s"/>
      <c r="H926" t="s"/>
      <c r="I926" t="s"/>
      <c r="J926" t="n">
        <v>-0.8225</v>
      </c>
      <c r="K926" t="n">
        <v>0.33</v>
      </c>
      <c r="L926" t="n">
        <v>0.616</v>
      </c>
      <c r="M926" t="n">
        <v>0.054</v>
      </c>
    </row>
    <row r="927" spans="1:13">
      <c r="A927" s="1">
        <f>HYPERLINK("http://www.twitter.com/NathanBLawrence/status/991666442012712960", "991666442012712960")</f>
        <v/>
      </c>
      <c r="B927" s="2" t="n">
        <v>43222.54951388889</v>
      </c>
      <c r="C927" t="n">
        <v>0</v>
      </c>
      <c r="D927" t="n">
        <v>2495</v>
      </c>
      <c r="E927" t="s">
        <v>931</v>
      </c>
      <c r="F927" t="s"/>
      <c r="G927" t="s"/>
      <c r="H927" t="s"/>
      <c r="I927" t="s"/>
      <c r="J927" t="n">
        <v>-0.7003</v>
      </c>
      <c r="K927" t="n">
        <v>0.186</v>
      </c>
      <c r="L927" t="n">
        <v>0.8139999999999999</v>
      </c>
      <c r="M927" t="n">
        <v>0</v>
      </c>
    </row>
    <row r="928" spans="1:13">
      <c r="A928" s="1">
        <f>HYPERLINK("http://www.twitter.com/NathanBLawrence/status/991666388333981696", "991666388333981696")</f>
        <v/>
      </c>
      <c r="B928" s="2" t="n">
        <v>43222.54936342593</v>
      </c>
      <c r="C928" t="n">
        <v>0</v>
      </c>
      <c r="D928" t="n">
        <v>8966</v>
      </c>
      <c r="E928" t="s">
        <v>932</v>
      </c>
      <c r="F928" t="s"/>
      <c r="G928" t="s"/>
      <c r="H928" t="s"/>
      <c r="I928" t="s"/>
      <c r="J928" t="n">
        <v>-0.6124000000000001</v>
      </c>
      <c r="K928" t="n">
        <v>0.217</v>
      </c>
      <c r="L928" t="n">
        <v>0.783</v>
      </c>
      <c r="M928" t="n">
        <v>0</v>
      </c>
    </row>
    <row r="929" spans="1:13">
      <c r="A929" s="1">
        <f>HYPERLINK("http://www.twitter.com/NathanBLawrence/status/991562559873536000", "991562559873536000")</f>
        <v/>
      </c>
      <c r="B929" s="2" t="n">
        <v>43222.2628587963</v>
      </c>
      <c r="C929" t="n">
        <v>0</v>
      </c>
      <c r="D929" t="n">
        <v>3499</v>
      </c>
      <c r="E929" t="s">
        <v>933</v>
      </c>
      <c r="F929">
        <f>HYPERLINK("http://pbs.twimg.com/media/DcKQrAtU0AEQMEx.jpg", "http://pbs.twimg.com/media/DcKQrAtU0AEQMEx.jpg")</f>
        <v/>
      </c>
      <c r="G929" t="s"/>
      <c r="H929" t="s"/>
      <c r="I929" t="s"/>
      <c r="J929" t="n">
        <v>0.2732</v>
      </c>
      <c r="K929" t="n">
        <v>0</v>
      </c>
      <c r="L929" t="n">
        <v>0.8110000000000001</v>
      </c>
      <c r="M929" t="n">
        <v>0.189</v>
      </c>
    </row>
    <row r="930" spans="1:13">
      <c r="A930" s="1">
        <f>HYPERLINK("http://www.twitter.com/NathanBLawrence/status/991562461076709376", "991562461076709376")</f>
        <v/>
      </c>
      <c r="B930" s="2" t="n">
        <v>43222.26258101852</v>
      </c>
      <c r="C930" t="n">
        <v>0</v>
      </c>
      <c r="D930" t="n">
        <v>30101</v>
      </c>
      <c r="E930" t="s">
        <v>934</v>
      </c>
      <c r="F930" t="s"/>
      <c r="G930" t="s"/>
      <c r="H930" t="s"/>
      <c r="I930" t="s"/>
      <c r="J930" t="n">
        <v>-0.5413</v>
      </c>
      <c r="K930" t="n">
        <v>0.411</v>
      </c>
      <c r="L930" t="n">
        <v>0.589</v>
      </c>
      <c r="M930" t="n">
        <v>0</v>
      </c>
    </row>
    <row r="931" spans="1:13">
      <c r="A931" s="1">
        <f>HYPERLINK("http://www.twitter.com/NathanBLawrence/status/991562364104462338", "991562364104462338")</f>
        <v/>
      </c>
      <c r="B931" s="2" t="n">
        <v>43222.26231481481</v>
      </c>
      <c r="C931" t="n">
        <v>0</v>
      </c>
      <c r="D931" t="n">
        <v>1406</v>
      </c>
      <c r="E931" t="s">
        <v>935</v>
      </c>
      <c r="F931">
        <f>HYPERLINK("https://video.twimg.com/amplify_video/991526672360005634/vid/1280x720/tMe-ANX7pAMkUVCy.mp4?tag=2", "https://video.twimg.com/amplify_video/991526672360005634/vid/1280x720/tMe-ANX7pAMkUVCy.mp4?tag=2")</f>
        <v/>
      </c>
      <c r="G931" t="s"/>
      <c r="H931" t="s"/>
      <c r="I931" t="s"/>
      <c r="J931" t="n">
        <v>0.6996</v>
      </c>
      <c r="K931" t="n">
        <v>0.078</v>
      </c>
      <c r="L931" t="n">
        <v>0.63</v>
      </c>
      <c r="M931" t="n">
        <v>0.292</v>
      </c>
    </row>
    <row r="932" spans="1:13">
      <c r="A932" s="1">
        <f>HYPERLINK("http://www.twitter.com/NathanBLawrence/status/991562105445863424", "991562105445863424")</f>
        <v/>
      </c>
      <c r="B932" s="2" t="n">
        <v>43222.26159722222</v>
      </c>
      <c r="C932" t="n">
        <v>0</v>
      </c>
      <c r="D932" t="n">
        <v>1268</v>
      </c>
      <c r="E932" t="s">
        <v>936</v>
      </c>
      <c r="F932">
        <f>HYPERLINK("http://pbs.twimg.com/media/Db9mupqX4AA03HD.jpg", "http://pbs.twimg.com/media/Db9mupqX4AA03HD.jpg")</f>
        <v/>
      </c>
      <c r="G932" t="s"/>
      <c r="H932" t="s"/>
      <c r="I932" t="s"/>
      <c r="J932" t="n">
        <v>0.4588</v>
      </c>
      <c r="K932" t="n">
        <v>0</v>
      </c>
      <c r="L932" t="n">
        <v>0.769</v>
      </c>
      <c r="M932" t="n">
        <v>0.231</v>
      </c>
    </row>
    <row r="933" spans="1:13">
      <c r="A933" s="1">
        <f>HYPERLINK("http://www.twitter.com/NathanBLawrence/status/991562049519013888", "991562049519013888")</f>
        <v/>
      </c>
      <c r="B933" s="2" t="n">
        <v>43222.26144675926</v>
      </c>
      <c r="C933" t="n">
        <v>0</v>
      </c>
      <c r="D933" t="n">
        <v>288</v>
      </c>
      <c r="E933" t="s">
        <v>937</v>
      </c>
      <c r="F933" t="s"/>
      <c r="G933" t="s"/>
      <c r="H933" t="s"/>
      <c r="I933" t="s"/>
      <c r="J933" t="n">
        <v>0.4215</v>
      </c>
      <c r="K933" t="n">
        <v>0</v>
      </c>
      <c r="L933" t="n">
        <v>0.859</v>
      </c>
      <c r="M933" t="n">
        <v>0.141</v>
      </c>
    </row>
    <row r="934" spans="1:13">
      <c r="A934" s="1">
        <f>HYPERLINK("http://www.twitter.com/NathanBLawrence/status/991561960872398848", "991561960872398848")</f>
        <v/>
      </c>
      <c r="B934" s="2" t="n">
        <v>43222.2612037037</v>
      </c>
      <c r="C934" t="n">
        <v>0</v>
      </c>
      <c r="D934" t="n">
        <v>85</v>
      </c>
      <c r="E934" t="s">
        <v>938</v>
      </c>
      <c r="F934">
        <f>HYPERLINK("http://pbs.twimg.com/media/Db-mNlXW4AAIce5.jpg", "http://pbs.twimg.com/media/Db-mNlXW4AAIce5.jpg")</f>
        <v/>
      </c>
      <c r="G934" t="s"/>
      <c r="H934" t="s"/>
      <c r="I934" t="s"/>
      <c r="J934" t="n">
        <v>0.5423</v>
      </c>
      <c r="K934" t="n">
        <v>0.162</v>
      </c>
      <c r="L934" t="n">
        <v>0.477</v>
      </c>
      <c r="M934" t="n">
        <v>0.361</v>
      </c>
    </row>
    <row r="935" spans="1:13">
      <c r="A935" s="1">
        <f>HYPERLINK("http://www.twitter.com/NathanBLawrence/status/991561937749200896", "991561937749200896")</f>
        <v/>
      </c>
      <c r="B935" s="2" t="n">
        <v>43222.26113425926</v>
      </c>
      <c r="C935" t="n">
        <v>0</v>
      </c>
      <c r="D935" t="n">
        <v>83</v>
      </c>
      <c r="E935" t="s">
        <v>939</v>
      </c>
      <c r="F935" t="s"/>
      <c r="G935" t="s"/>
      <c r="H935" t="s"/>
      <c r="I935" t="s"/>
      <c r="J935" t="n">
        <v>-0.2023</v>
      </c>
      <c r="K935" t="n">
        <v>0.122</v>
      </c>
      <c r="L935" t="n">
        <v>0.878</v>
      </c>
      <c r="M935" t="n">
        <v>0</v>
      </c>
    </row>
    <row r="936" spans="1:13">
      <c r="A936" s="1">
        <f>HYPERLINK("http://www.twitter.com/NathanBLawrence/status/991561909399883776", "991561909399883776")</f>
        <v/>
      </c>
      <c r="B936" s="2" t="n">
        <v>43222.26106481482</v>
      </c>
      <c r="C936" t="n">
        <v>0</v>
      </c>
      <c r="D936" t="n">
        <v>301</v>
      </c>
      <c r="E936" t="s">
        <v>940</v>
      </c>
      <c r="F936" t="s"/>
      <c r="G936" t="s"/>
      <c r="H936" t="s"/>
      <c r="I936" t="s"/>
      <c r="J936" t="n">
        <v>0.4019</v>
      </c>
      <c r="K936" t="n">
        <v>0</v>
      </c>
      <c r="L936" t="n">
        <v>0.881</v>
      </c>
      <c r="M936" t="n">
        <v>0.119</v>
      </c>
    </row>
    <row r="937" spans="1:13">
      <c r="A937" s="1">
        <f>HYPERLINK("http://www.twitter.com/NathanBLawrence/status/991561823731245057", "991561823731245057")</f>
        <v/>
      </c>
      <c r="B937" s="2" t="n">
        <v>43222.26082175926</v>
      </c>
      <c r="C937" t="n">
        <v>0</v>
      </c>
      <c r="D937" t="n">
        <v>117</v>
      </c>
      <c r="E937" t="s">
        <v>941</v>
      </c>
      <c r="F937" t="s"/>
      <c r="G937" t="s"/>
      <c r="H937" t="s"/>
      <c r="I937" t="s"/>
      <c r="J937" t="n">
        <v>0</v>
      </c>
      <c r="K937" t="n">
        <v>0</v>
      </c>
      <c r="L937" t="n">
        <v>1</v>
      </c>
      <c r="M937" t="n">
        <v>0</v>
      </c>
    </row>
    <row r="938" spans="1:13">
      <c r="A938" s="1">
        <f>HYPERLINK("http://www.twitter.com/NathanBLawrence/status/991561773332430848", "991561773332430848")</f>
        <v/>
      </c>
      <c r="B938" s="2" t="n">
        <v>43222.26068287037</v>
      </c>
      <c r="C938" t="n">
        <v>0</v>
      </c>
      <c r="D938" t="n">
        <v>90</v>
      </c>
      <c r="E938" t="s">
        <v>942</v>
      </c>
      <c r="F938" t="s"/>
      <c r="G938" t="s"/>
      <c r="H938" t="s"/>
      <c r="I938" t="s"/>
      <c r="J938" t="n">
        <v>0</v>
      </c>
      <c r="K938" t="n">
        <v>0</v>
      </c>
      <c r="L938" t="n">
        <v>1</v>
      </c>
      <c r="M938" t="n">
        <v>0</v>
      </c>
    </row>
    <row r="939" spans="1:13">
      <c r="A939" s="1">
        <f>HYPERLINK("http://www.twitter.com/NathanBLawrence/status/991561666243461120", "991561666243461120")</f>
        <v/>
      </c>
      <c r="B939" s="2" t="n">
        <v>43222.26039351852</v>
      </c>
      <c r="C939" t="n">
        <v>0</v>
      </c>
      <c r="D939" t="n">
        <v>119</v>
      </c>
      <c r="E939" t="s">
        <v>943</v>
      </c>
      <c r="F939" t="s"/>
      <c r="G939" t="s"/>
      <c r="H939" t="s"/>
      <c r="I939" t="s"/>
      <c r="J939" t="n">
        <v>0.3612</v>
      </c>
      <c r="K939" t="n">
        <v>0</v>
      </c>
      <c r="L939" t="n">
        <v>0.898</v>
      </c>
      <c r="M939" t="n">
        <v>0.102</v>
      </c>
    </row>
    <row r="940" spans="1:13">
      <c r="A940" s="1">
        <f>HYPERLINK("http://www.twitter.com/NathanBLawrence/status/991561489038368769", "991561489038368769")</f>
        <v/>
      </c>
      <c r="B940" s="2" t="n">
        <v>43222.25989583333</v>
      </c>
      <c r="C940" t="n">
        <v>0</v>
      </c>
      <c r="D940" t="n">
        <v>0</v>
      </c>
      <c r="E940" t="s">
        <v>944</v>
      </c>
      <c r="F940" t="s"/>
      <c r="G940" t="s"/>
      <c r="H940" t="s"/>
      <c r="I940" t="s"/>
      <c r="J940" t="n">
        <v>0</v>
      </c>
      <c r="K940" t="n">
        <v>0</v>
      </c>
      <c r="L940" t="n">
        <v>1</v>
      </c>
      <c r="M940" t="n">
        <v>0</v>
      </c>
    </row>
    <row r="941" spans="1:13">
      <c r="A941" s="1">
        <f>HYPERLINK("http://www.twitter.com/NathanBLawrence/status/991561126100992001", "991561126100992001")</f>
        <v/>
      </c>
      <c r="B941" s="2" t="n">
        <v>43222.25890046296</v>
      </c>
      <c r="C941" t="n">
        <v>0</v>
      </c>
      <c r="D941" t="n">
        <v>85</v>
      </c>
      <c r="E941" t="s">
        <v>945</v>
      </c>
      <c r="F941" t="s"/>
      <c r="G941" t="s"/>
      <c r="H941" t="s"/>
      <c r="I941" t="s"/>
      <c r="J941" t="n">
        <v>-0.3612</v>
      </c>
      <c r="K941" t="n">
        <v>0.333</v>
      </c>
      <c r="L941" t="n">
        <v>0.667</v>
      </c>
      <c r="M941" t="n">
        <v>0</v>
      </c>
    </row>
    <row r="942" spans="1:13">
      <c r="A942" s="1">
        <f>HYPERLINK("http://www.twitter.com/NathanBLawrence/status/991561090856255489", "991561090856255489")</f>
        <v/>
      </c>
      <c r="B942" s="2" t="n">
        <v>43222.25880787037</v>
      </c>
      <c r="C942" t="n">
        <v>0</v>
      </c>
      <c r="D942" t="n">
        <v>39</v>
      </c>
      <c r="E942" t="s">
        <v>946</v>
      </c>
      <c r="F942">
        <f>HYPERLINK("http://pbs.twimg.com/media/DcH6Mb-W0AEItXQ.jpg", "http://pbs.twimg.com/media/DcH6Mb-W0AEItXQ.jpg")</f>
        <v/>
      </c>
      <c r="G942" t="s"/>
      <c r="H942" t="s"/>
      <c r="I942" t="s"/>
      <c r="J942" t="n">
        <v>0</v>
      </c>
      <c r="K942" t="n">
        <v>0</v>
      </c>
      <c r="L942" t="n">
        <v>1</v>
      </c>
      <c r="M942" t="n">
        <v>0</v>
      </c>
    </row>
    <row r="943" spans="1:13">
      <c r="A943" s="1">
        <f>HYPERLINK("http://www.twitter.com/NathanBLawrence/status/991560993942786048", "991560993942786048")</f>
        <v/>
      </c>
      <c r="B943" s="2" t="n">
        <v>43222.25853009259</v>
      </c>
      <c r="C943" t="n">
        <v>0</v>
      </c>
      <c r="D943" t="n">
        <v>103</v>
      </c>
      <c r="E943" t="s">
        <v>947</v>
      </c>
      <c r="F943" t="s"/>
      <c r="G943" t="s"/>
      <c r="H943" t="s"/>
      <c r="I943" t="s"/>
      <c r="J943" t="n">
        <v>-0.0772</v>
      </c>
      <c r="K943" t="n">
        <v>0.097</v>
      </c>
      <c r="L943" t="n">
        <v>0.821</v>
      </c>
      <c r="M943" t="n">
        <v>0.082</v>
      </c>
    </row>
    <row r="944" spans="1:13">
      <c r="A944" s="1">
        <f>HYPERLINK("http://www.twitter.com/NathanBLawrence/status/991560870537973760", "991560870537973760")</f>
        <v/>
      </c>
      <c r="B944" s="2" t="n">
        <v>43222.25819444445</v>
      </c>
      <c r="C944" t="n">
        <v>0</v>
      </c>
      <c r="D944" t="n">
        <v>151</v>
      </c>
      <c r="E944" t="s">
        <v>948</v>
      </c>
      <c r="F944" t="s"/>
      <c r="G944" t="s"/>
      <c r="H944" t="s"/>
      <c r="I944" t="s"/>
      <c r="J944" t="n">
        <v>-0.1531</v>
      </c>
      <c r="K944" t="n">
        <v>0.138</v>
      </c>
      <c r="L944" t="n">
        <v>0.748</v>
      </c>
      <c r="M944" t="n">
        <v>0.114</v>
      </c>
    </row>
    <row r="945" spans="1:13">
      <c r="A945" s="1">
        <f>HYPERLINK("http://www.twitter.com/NathanBLawrence/status/991527880797704192", "991527880797704192")</f>
        <v/>
      </c>
      <c r="B945" s="2" t="n">
        <v>43222.16716435185</v>
      </c>
      <c r="C945" t="n">
        <v>0</v>
      </c>
      <c r="D945" t="n">
        <v>5</v>
      </c>
      <c r="E945" t="s">
        <v>949</v>
      </c>
      <c r="F945" t="s"/>
      <c r="G945" t="s"/>
      <c r="H945" t="s"/>
      <c r="I945" t="s"/>
      <c r="J945" t="n">
        <v>-0.3252</v>
      </c>
      <c r="K945" t="n">
        <v>0.127</v>
      </c>
      <c r="L945" t="n">
        <v>0.873</v>
      </c>
      <c r="M945" t="n">
        <v>0</v>
      </c>
    </row>
    <row r="946" spans="1:13">
      <c r="A946" s="1">
        <f>HYPERLINK("http://www.twitter.com/NathanBLawrence/status/991512219253903360", "991512219253903360")</f>
        <v/>
      </c>
      <c r="B946" s="2" t="n">
        <v>43222.12394675926</v>
      </c>
      <c r="C946" t="n">
        <v>0</v>
      </c>
      <c r="D946" t="n">
        <v>114</v>
      </c>
      <c r="E946" t="s">
        <v>950</v>
      </c>
      <c r="F946">
        <f>HYPERLINK("http://pbs.twimg.com/media/DcJZ_LRX0AAorrh.jpg", "http://pbs.twimg.com/media/DcJZ_LRX0AAorrh.jpg")</f>
        <v/>
      </c>
      <c r="G946" t="s"/>
      <c r="H946" t="s"/>
      <c r="I946" t="s"/>
      <c r="J946" t="n">
        <v>0</v>
      </c>
      <c r="K946" t="n">
        <v>0</v>
      </c>
      <c r="L946" t="n">
        <v>1</v>
      </c>
      <c r="M946" t="n">
        <v>0</v>
      </c>
    </row>
    <row r="947" spans="1:13">
      <c r="A947" s="1">
        <f>HYPERLINK("http://www.twitter.com/NathanBLawrence/status/991512116560584704", "991512116560584704")</f>
        <v/>
      </c>
      <c r="B947" s="2" t="n">
        <v>43222.12365740741</v>
      </c>
      <c r="C947" t="n">
        <v>0</v>
      </c>
      <c r="D947" t="n">
        <v>95</v>
      </c>
      <c r="E947" t="s">
        <v>951</v>
      </c>
      <c r="F947" t="s"/>
      <c r="G947" t="s"/>
      <c r="H947" t="s"/>
      <c r="I947" t="s"/>
      <c r="J947" t="n">
        <v>-0.7003</v>
      </c>
      <c r="K947" t="n">
        <v>0.242</v>
      </c>
      <c r="L947" t="n">
        <v>0.758</v>
      </c>
      <c r="M947" t="n">
        <v>0</v>
      </c>
    </row>
    <row r="948" spans="1:13">
      <c r="A948" s="1">
        <f>HYPERLINK("http://www.twitter.com/NathanBLawrence/status/991511651986878464", "991511651986878464")</f>
        <v/>
      </c>
      <c r="B948" s="2" t="n">
        <v>43222.12237268518</v>
      </c>
      <c r="C948" t="n">
        <v>0</v>
      </c>
      <c r="D948" t="n">
        <v>10963</v>
      </c>
      <c r="E948" t="s">
        <v>952</v>
      </c>
      <c r="F948" t="s"/>
      <c r="G948" t="s"/>
      <c r="H948" t="s"/>
      <c r="I948" t="s"/>
      <c r="J948" t="n">
        <v>0.6597</v>
      </c>
      <c r="K948" t="n">
        <v>0</v>
      </c>
      <c r="L948" t="n">
        <v>0.769</v>
      </c>
      <c r="M948" t="n">
        <v>0.231</v>
      </c>
    </row>
    <row r="949" spans="1:13">
      <c r="A949" s="1">
        <f>HYPERLINK("http://www.twitter.com/NathanBLawrence/status/991511639609495552", "991511639609495552")</f>
        <v/>
      </c>
      <c r="B949" s="2" t="n">
        <v>43222.12233796297</v>
      </c>
      <c r="C949" t="n">
        <v>0</v>
      </c>
      <c r="D949" t="n">
        <v>134</v>
      </c>
      <c r="E949" t="s">
        <v>953</v>
      </c>
      <c r="F949">
        <f>HYPERLINK("http://pbs.twimg.com/media/DcJvZByVwAAAzZ5.jpg", "http://pbs.twimg.com/media/DcJvZByVwAAAzZ5.jpg")</f>
        <v/>
      </c>
      <c r="G949" t="s"/>
      <c r="H949" t="s"/>
      <c r="I949" t="s"/>
      <c r="J949" t="n">
        <v>0</v>
      </c>
      <c r="K949" t="n">
        <v>0</v>
      </c>
      <c r="L949" t="n">
        <v>1</v>
      </c>
      <c r="M949" t="n">
        <v>0</v>
      </c>
    </row>
    <row r="950" spans="1:13">
      <c r="A950" s="1">
        <f>HYPERLINK("http://www.twitter.com/NathanBLawrence/status/991511545984274437", "991511545984274437")</f>
        <v/>
      </c>
      <c r="B950" s="2" t="n">
        <v>43222.12208333334</v>
      </c>
      <c r="C950" t="n">
        <v>0</v>
      </c>
      <c r="D950" t="n">
        <v>75</v>
      </c>
      <c r="E950" t="s">
        <v>954</v>
      </c>
      <c r="F950">
        <f>HYPERLINK("http://pbs.twimg.com/media/DcJ3TcEW4AAwn_b.jpg", "http://pbs.twimg.com/media/DcJ3TcEW4AAwn_b.jpg")</f>
        <v/>
      </c>
      <c r="G950" t="s"/>
      <c r="H950" t="s"/>
      <c r="I950" t="s"/>
      <c r="J950" t="n">
        <v>-0.5927</v>
      </c>
      <c r="K950" t="n">
        <v>0.168</v>
      </c>
      <c r="L950" t="n">
        <v>0.832</v>
      </c>
      <c r="M950" t="n">
        <v>0</v>
      </c>
    </row>
    <row r="951" spans="1:13">
      <c r="A951" s="1">
        <f>HYPERLINK("http://www.twitter.com/NathanBLawrence/status/991511499284852736", "991511499284852736")</f>
        <v/>
      </c>
      <c r="B951" s="2" t="n">
        <v>43222.12195601852</v>
      </c>
      <c r="C951" t="n">
        <v>0</v>
      </c>
      <c r="D951" t="n">
        <v>58</v>
      </c>
      <c r="E951" t="s">
        <v>955</v>
      </c>
      <c r="F951">
        <f>HYPERLINK("http://pbs.twimg.com/media/DcJ3HGVUQAA9W4Q.jpg", "http://pbs.twimg.com/media/DcJ3HGVUQAA9W4Q.jpg")</f>
        <v/>
      </c>
      <c r="G951">
        <f>HYPERLINK("http://pbs.twimg.com/media/DcJ3HGTUwAE6o1m.jpg", "http://pbs.twimg.com/media/DcJ3HGTUwAE6o1m.jpg")</f>
        <v/>
      </c>
      <c r="H951">
        <f>HYPERLINK("http://pbs.twimg.com/media/DcJ3HGRU8AEExF8.jpg", "http://pbs.twimg.com/media/DcJ3HGRU8AEExF8.jpg")</f>
        <v/>
      </c>
      <c r="I951">
        <f>HYPERLINK("http://pbs.twimg.com/media/DcJ3HGTVAAAJJpK.jpg", "http://pbs.twimg.com/media/DcJ3HGTVAAAJJpK.jpg")</f>
        <v/>
      </c>
      <c r="J951" t="n">
        <v>0</v>
      </c>
      <c r="K951" t="n">
        <v>0</v>
      </c>
      <c r="L951" t="n">
        <v>1</v>
      </c>
      <c r="M951" t="n">
        <v>0</v>
      </c>
    </row>
    <row r="952" spans="1:13">
      <c r="A952" s="1">
        <f>HYPERLINK("http://www.twitter.com/NathanBLawrence/status/991511449368395777", "991511449368395777")</f>
        <v/>
      </c>
      <c r="B952" s="2" t="n">
        <v>43222.12181712963</v>
      </c>
      <c r="C952" t="n">
        <v>0</v>
      </c>
      <c r="D952" t="n">
        <v>115</v>
      </c>
      <c r="E952" t="s">
        <v>956</v>
      </c>
      <c r="F952" t="s"/>
      <c r="G952" t="s"/>
      <c r="H952" t="s"/>
      <c r="I952" t="s"/>
      <c r="J952" t="n">
        <v>-0.1779</v>
      </c>
      <c r="K952" t="n">
        <v>0.26</v>
      </c>
      <c r="L952" t="n">
        <v>0.531</v>
      </c>
      <c r="M952" t="n">
        <v>0.209</v>
      </c>
    </row>
    <row r="953" spans="1:13">
      <c r="A953" s="1">
        <f>HYPERLINK("http://www.twitter.com/NathanBLawrence/status/991511383207563266", "991511383207563266")</f>
        <v/>
      </c>
      <c r="B953" s="2" t="n">
        <v>43222.12163194444</v>
      </c>
      <c r="C953" t="n">
        <v>0</v>
      </c>
      <c r="D953" t="n">
        <v>112</v>
      </c>
      <c r="E953" t="s">
        <v>957</v>
      </c>
      <c r="F953" t="s"/>
      <c r="G953" t="s"/>
      <c r="H953" t="s"/>
      <c r="I953" t="s"/>
      <c r="J953" t="n">
        <v>-0.4898</v>
      </c>
      <c r="K953" t="n">
        <v>0.209</v>
      </c>
      <c r="L953" t="n">
        <v>0.699</v>
      </c>
      <c r="M953" t="n">
        <v>0.092</v>
      </c>
    </row>
    <row r="954" spans="1:13">
      <c r="A954" s="1">
        <f>HYPERLINK("http://www.twitter.com/NathanBLawrence/status/991511330032103424", "991511330032103424")</f>
        <v/>
      </c>
      <c r="B954" s="2" t="n">
        <v>43222.12149305556</v>
      </c>
      <c r="C954" t="n">
        <v>0</v>
      </c>
      <c r="D954" t="n">
        <v>202</v>
      </c>
      <c r="E954" t="s">
        <v>958</v>
      </c>
      <c r="F954" t="s"/>
      <c r="G954" t="s"/>
      <c r="H954" t="s"/>
      <c r="I954" t="s"/>
      <c r="J954" t="n">
        <v>-0.7184</v>
      </c>
      <c r="K954" t="n">
        <v>0.231</v>
      </c>
      <c r="L954" t="n">
        <v>0.769</v>
      </c>
      <c r="M954" t="n">
        <v>0</v>
      </c>
    </row>
    <row r="955" spans="1:13">
      <c r="A955" s="1">
        <f>HYPERLINK("http://www.twitter.com/NathanBLawrence/status/991511297169686529", "991511297169686529")</f>
        <v/>
      </c>
      <c r="B955" s="2" t="n">
        <v>43222.12140046297</v>
      </c>
      <c r="C955" t="n">
        <v>0</v>
      </c>
      <c r="D955" t="n">
        <v>28</v>
      </c>
      <c r="E955" t="s">
        <v>959</v>
      </c>
      <c r="F955" t="s"/>
      <c r="G955" t="s"/>
      <c r="H955" t="s"/>
      <c r="I955" t="s"/>
      <c r="J955" t="n">
        <v>0</v>
      </c>
      <c r="K955" t="n">
        <v>0</v>
      </c>
      <c r="L955" t="n">
        <v>1</v>
      </c>
      <c r="M955" t="n">
        <v>0</v>
      </c>
    </row>
    <row r="956" spans="1:13">
      <c r="A956" s="1">
        <f>HYPERLINK("http://www.twitter.com/NathanBLawrence/status/991510984572461057", "991510984572461057")</f>
        <v/>
      </c>
      <c r="B956" s="2" t="n">
        <v>43222.12053240741</v>
      </c>
      <c r="C956" t="n">
        <v>0</v>
      </c>
      <c r="D956" t="n">
        <v>16</v>
      </c>
      <c r="E956" t="s">
        <v>960</v>
      </c>
      <c r="F956" t="s"/>
      <c r="G956" t="s"/>
      <c r="H956" t="s"/>
      <c r="I956" t="s"/>
      <c r="J956" t="n">
        <v>0</v>
      </c>
      <c r="K956" t="n">
        <v>0</v>
      </c>
      <c r="L956" t="n">
        <v>1</v>
      </c>
      <c r="M956" t="n">
        <v>0</v>
      </c>
    </row>
    <row r="957" spans="1:13">
      <c r="A957" s="1">
        <f>HYPERLINK("http://www.twitter.com/NathanBLawrence/status/991506036283576320", "991506036283576320")</f>
        <v/>
      </c>
      <c r="B957" s="2" t="n">
        <v>43222.106875</v>
      </c>
      <c r="C957" t="n">
        <v>1</v>
      </c>
      <c r="D957" t="n">
        <v>0</v>
      </c>
      <c r="E957" t="s">
        <v>961</v>
      </c>
      <c r="F957" t="s"/>
      <c r="G957" t="s"/>
      <c r="H957" t="s"/>
      <c r="I957" t="s"/>
      <c r="J957" t="n">
        <v>0.2023</v>
      </c>
      <c r="K957" t="n">
        <v>0.103</v>
      </c>
      <c r="L957" t="n">
        <v>0.735</v>
      </c>
      <c r="M957" t="n">
        <v>0.162</v>
      </c>
    </row>
    <row r="958" spans="1:13">
      <c r="A958" s="1">
        <f>HYPERLINK("http://www.twitter.com/NathanBLawrence/status/991494068021682181", "991494068021682181")</f>
        <v/>
      </c>
      <c r="B958" s="2" t="n">
        <v>43222.07385416667</v>
      </c>
      <c r="C958" t="n">
        <v>0</v>
      </c>
      <c r="D958" t="n">
        <v>2958</v>
      </c>
      <c r="E958" t="s">
        <v>962</v>
      </c>
      <c r="F958" t="s"/>
      <c r="G958" t="s"/>
      <c r="H958" t="s"/>
      <c r="I958" t="s"/>
      <c r="J958" t="n">
        <v>0.7096</v>
      </c>
      <c r="K958" t="n">
        <v>0</v>
      </c>
      <c r="L958" t="n">
        <v>0.781</v>
      </c>
      <c r="M958" t="n">
        <v>0.219</v>
      </c>
    </row>
    <row r="959" spans="1:13">
      <c r="A959" s="1">
        <f>HYPERLINK("http://www.twitter.com/NathanBLawrence/status/991492541768962048", "991492541768962048")</f>
        <v/>
      </c>
      <c r="B959" s="2" t="n">
        <v>43222.06964120371</v>
      </c>
      <c r="C959" t="n">
        <v>0</v>
      </c>
      <c r="D959" t="n">
        <v>9</v>
      </c>
      <c r="E959" t="s">
        <v>963</v>
      </c>
      <c r="F959" t="s"/>
      <c r="G959" t="s"/>
      <c r="H959" t="s"/>
      <c r="I959" t="s"/>
      <c r="J959" t="n">
        <v>0.2023</v>
      </c>
      <c r="K959" t="n">
        <v>0.118</v>
      </c>
      <c r="L959" t="n">
        <v>0.6909999999999999</v>
      </c>
      <c r="M959" t="n">
        <v>0.191</v>
      </c>
    </row>
    <row r="960" spans="1:13">
      <c r="A960" s="1">
        <f>HYPERLINK("http://www.twitter.com/NathanBLawrence/status/991492457174110210", "991492457174110210")</f>
        <v/>
      </c>
      <c r="B960" s="2" t="n">
        <v>43222.06940972222</v>
      </c>
      <c r="C960" t="n">
        <v>0</v>
      </c>
      <c r="D960" t="n">
        <v>12</v>
      </c>
      <c r="E960" t="s">
        <v>964</v>
      </c>
      <c r="F960">
        <f>HYPERLINK("http://pbs.twimg.com/media/DcJPxa6XkAAtM2v.jpg", "http://pbs.twimg.com/media/DcJPxa6XkAAtM2v.jpg")</f>
        <v/>
      </c>
      <c r="G960">
        <f>HYPERLINK("http://pbs.twimg.com/media/DcJPxa1WkAA61X8.jpg", "http://pbs.twimg.com/media/DcJPxa1WkAA61X8.jpg")</f>
        <v/>
      </c>
      <c r="H960">
        <f>HYPERLINK("http://pbs.twimg.com/media/DcJPxa7WsAAhNiX.jpg", "http://pbs.twimg.com/media/DcJPxa7WsAAhNiX.jpg")</f>
        <v/>
      </c>
      <c r="I960">
        <f>HYPERLINK("http://pbs.twimg.com/media/DcJPxbTX0AEdE77.jpg", "http://pbs.twimg.com/media/DcJPxbTX0AEdE77.jpg")</f>
        <v/>
      </c>
      <c r="J960" t="n">
        <v>0</v>
      </c>
      <c r="K960" t="n">
        <v>0</v>
      </c>
      <c r="L960" t="n">
        <v>1</v>
      </c>
      <c r="M960" t="n">
        <v>0</v>
      </c>
    </row>
    <row r="961" spans="1:13">
      <c r="A961" s="1">
        <f>HYPERLINK("http://www.twitter.com/NathanBLawrence/status/991492214579752961", "991492214579752961")</f>
        <v/>
      </c>
      <c r="B961" s="2" t="n">
        <v>43222.06873842593</v>
      </c>
      <c r="C961" t="n">
        <v>0</v>
      </c>
      <c r="D961" t="n">
        <v>7</v>
      </c>
      <c r="E961" t="s">
        <v>965</v>
      </c>
      <c r="F961" t="s"/>
      <c r="G961" t="s"/>
      <c r="H961" t="s"/>
      <c r="I961" t="s"/>
      <c r="J961" t="n">
        <v>-0.6597</v>
      </c>
      <c r="K961" t="n">
        <v>0.231</v>
      </c>
      <c r="L961" t="n">
        <v>0.769</v>
      </c>
      <c r="M961" t="n">
        <v>0</v>
      </c>
    </row>
    <row r="962" spans="1:13">
      <c r="A962" s="1">
        <f>HYPERLINK("http://www.twitter.com/NathanBLawrence/status/991471190840676352", "991471190840676352")</f>
        <v/>
      </c>
      <c r="B962" s="2" t="n">
        <v>43222.01072916666</v>
      </c>
      <c r="C962" t="n">
        <v>0</v>
      </c>
      <c r="D962" t="n">
        <v>31</v>
      </c>
      <c r="E962" t="s">
        <v>966</v>
      </c>
      <c r="F962" t="s"/>
      <c r="G962" t="s"/>
      <c r="H962" t="s"/>
      <c r="I962" t="s"/>
      <c r="J962" t="n">
        <v>-0.3182</v>
      </c>
      <c r="K962" t="n">
        <v>0.099</v>
      </c>
      <c r="L962" t="n">
        <v>0.901</v>
      </c>
      <c r="M962" t="n">
        <v>0</v>
      </c>
    </row>
    <row r="963" spans="1:13">
      <c r="A963" s="1">
        <f>HYPERLINK("http://www.twitter.com/NathanBLawrence/status/991471077040820224", "991471077040820224")</f>
        <v/>
      </c>
      <c r="B963" s="2" t="n">
        <v>43222.01041666666</v>
      </c>
      <c r="C963" t="n">
        <v>0</v>
      </c>
      <c r="D963" t="n">
        <v>2524</v>
      </c>
      <c r="E963" t="s">
        <v>967</v>
      </c>
      <c r="F963">
        <f>HYPERLINK("https://video.twimg.com/ext_tw_video/991431759156793344/pu/vid/1280x720/ox2a_W1euhmSZIwr.mp4?tag=3", "https://video.twimg.com/ext_tw_video/991431759156793344/pu/vid/1280x720/ox2a_W1euhmSZIwr.mp4?tag=3")</f>
        <v/>
      </c>
      <c r="G963" t="s"/>
      <c r="H963" t="s"/>
      <c r="I963" t="s"/>
      <c r="J963" t="n">
        <v>-0.2023</v>
      </c>
      <c r="K963" t="n">
        <v>0.127</v>
      </c>
      <c r="L963" t="n">
        <v>0.779</v>
      </c>
      <c r="M963" t="n">
        <v>0.094</v>
      </c>
    </row>
    <row r="964" spans="1:13">
      <c r="A964" s="1">
        <f>HYPERLINK("http://www.twitter.com/NathanBLawrence/status/991471050599911424", "991471050599911424")</f>
        <v/>
      </c>
      <c r="B964" s="2" t="n">
        <v>43222.01033564815</v>
      </c>
      <c r="C964" t="n">
        <v>0</v>
      </c>
      <c r="D964" t="n">
        <v>46</v>
      </c>
      <c r="E964" t="s">
        <v>968</v>
      </c>
      <c r="F964" t="s"/>
      <c r="G964" t="s"/>
      <c r="H964" t="s"/>
      <c r="I964" t="s"/>
      <c r="J964" t="n">
        <v>0.4939</v>
      </c>
      <c r="K964" t="n">
        <v>0</v>
      </c>
      <c r="L964" t="n">
        <v>0.714</v>
      </c>
      <c r="M964" t="n">
        <v>0.286</v>
      </c>
    </row>
    <row r="965" spans="1:13">
      <c r="A965" s="1">
        <f>HYPERLINK("http://www.twitter.com/NathanBLawrence/status/991471020883218437", "991471020883218437")</f>
        <v/>
      </c>
      <c r="B965" s="2" t="n">
        <v>43222.01025462963</v>
      </c>
      <c r="C965" t="n">
        <v>0</v>
      </c>
      <c r="D965" t="n">
        <v>847</v>
      </c>
      <c r="E965" t="s">
        <v>969</v>
      </c>
      <c r="F965">
        <f>HYPERLINK("http://pbs.twimg.com/media/DcIh5s2X0AEsZEp.jpg", "http://pbs.twimg.com/media/DcIh5s2X0AEsZEp.jpg")</f>
        <v/>
      </c>
      <c r="G965">
        <f>HYPERLINK("http://pbs.twimg.com/media/DcIh68_X4AAGWix.jpg", "http://pbs.twimg.com/media/DcIh68_X4AAGWix.jpg")</f>
        <v/>
      </c>
      <c r="H965" t="s"/>
      <c r="I965" t="s"/>
      <c r="J965" t="n">
        <v>0</v>
      </c>
      <c r="K965" t="n">
        <v>0</v>
      </c>
      <c r="L965" t="n">
        <v>1</v>
      </c>
      <c r="M965" t="n">
        <v>0</v>
      </c>
    </row>
    <row r="966" spans="1:13">
      <c r="A966" s="1">
        <f>HYPERLINK("http://www.twitter.com/NathanBLawrence/status/991470944890900480", "991470944890900480")</f>
        <v/>
      </c>
      <c r="B966" s="2" t="n">
        <v>43222.01004629629</v>
      </c>
      <c r="C966" t="n">
        <v>0</v>
      </c>
      <c r="D966" t="n">
        <v>4</v>
      </c>
      <c r="E966" t="s">
        <v>970</v>
      </c>
      <c r="F966" t="s"/>
      <c r="G966" t="s"/>
      <c r="H966" t="s"/>
      <c r="I966" t="s"/>
      <c r="J966" t="n">
        <v>0.1531</v>
      </c>
      <c r="K966" t="n">
        <v>0.142</v>
      </c>
      <c r="L966" t="n">
        <v>0.676</v>
      </c>
      <c r="M966" t="n">
        <v>0.182</v>
      </c>
    </row>
    <row r="967" spans="1:13">
      <c r="A967" s="1">
        <f>HYPERLINK("http://www.twitter.com/NathanBLawrence/status/991470917669748736", "991470917669748736")</f>
        <v/>
      </c>
      <c r="B967" s="2" t="n">
        <v>43222.00997685185</v>
      </c>
      <c r="C967" t="n">
        <v>0</v>
      </c>
      <c r="D967" t="n">
        <v>7</v>
      </c>
      <c r="E967" t="s">
        <v>971</v>
      </c>
      <c r="F967" t="s"/>
      <c r="G967" t="s"/>
      <c r="H967" t="s"/>
      <c r="I967" t="s"/>
      <c r="J967" t="n">
        <v>-0.7783</v>
      </c>
      <c r="K967" t="n">
        <v>0.375</v>
      </c>
      <c r="L967" t="n">
        <v>0.625</v>
      </c>
      <c r="M967" t="n">
        <v>0</v>
      </c>
    </row>
    <row r="968" spans="1:13">
      <c r="A968" s="1">
        <f>HYPERLINK("http://www.twitter.com/NathanBLawrence/status/991470794558631936", "991470794558631936")</f>
        <v/>
      </c>
      <c r="B968" s="2" t="n">
        <v>43222.00962962963</v>
      </c>
      <c r="C968" t="n">
        <v>0</v>
      </c>
      <c r="D968" t="n">
        <v>5</v>
      </c>
      <c r="E968" t="s">
        <v>972</v>
      </c>
      <c r="F968" t="s"/>
      <c r="G968" t="s"/>
      <c r="H968" t="s"/>
      <c r="I968" t="s"/>
      <c r="J968" t="n">
        <v>-0.0258</v>
      </c>
      <c r="K968" t="n">
        <v>0.118</v>
      </c>
      <c r="L968" t="n">
        <v>0.767</v>
      </c>
      <c r="M968" t="n">
        <v>0.115</v>
      </c>
    </row>
    <row r="969" spans="1:13">
      <c r="A969" s="1">
        <f>HYPERLINK("http://www.twitter.com/NathanBLawrence/status/991464002160070657", "991464002160070657")</f>
        <v/>
      </c>
      <c r="B969" s="2" t="n">
        <v>43221.99089120371</v>
      </c>
      <c r="C969" t="n">
        <v>0</v>
      </c>
      <c r="D969" t="n">
        <v>23</v>
      </c>
      <c r="E969" t="s">
        <v>973</v>
      </c>
      <c r="F969">
        <f>HYPERLINK("http://pbs.twimg.com/media/DcJRrv-UwAEJcKi.jpg", "http://pbs.twimg.com/media/DcJRrv-UwAEJcKi.jpg")</f>
        <v/>
      </c>
      <c r="G969" t="s"/>
      <c r="H969" t="s"/>
      <c r="I969" t="s"/>
      <c r="J969" t="n">
        <v>0.34</v>
      </c>
      <c r="K969" t="n">
        <v>0</v>
      </c>
      <c r="L969" t="n">
        <v>0.888</v>
      </c>
      <c r="M969" t="n">
        <v>0.112</v>
      </c>
    </row>
    <row r="970" spans="1:13">
      <c r="A970" s="1">
        <f>HYPERLINK("http://www.twitter.com/NathanBLawrence/status/991463924049563648", "991463924049563648")</f>
        <v/>
      </c>
      <c r="B970" s="2" t="n">
        <v>43221.9906712963</v>
      </c>
      <c r="C970" t="n">
        <v>0</v>
      </c>
      <c r="D970" t="n">
        <v>17</v>
      </c>
      <c r="E970" t="s">
        <v>974</v>
      </c>
      <c r="F970">
        <f>HYPERLINK("http://pbs.twimg.com/media/DcJaQShWAAAeR28.jpg", "http://pbs.twimg.com/media/DcJaQShWAAAeR28.jpg")</f>
        <v/>
      </c>
      <c r="G970" t="s"/>
      <c r="H970" t="s"/>
      <c r="I970" t="s"/>
      <c r="J970" t="n">
        <v>0.6486</v>
      </c>
      <c r="K970" t="n">
        <v>0</v>
      </c>
      <c r="L970" t="n">
        <v>0.773</v>
      </c>
      <c r="M970" t="n">
        <v>0.227</v>
      </c>
    </row>
    <row r="971" spans="1:13">
      <c r="A971" s="1">
        <f>HYPERLINK("http://www.twitter.com/NathanBLawrence/status/991463873311051776", "991463873311051776")</f>
        <v/>
      </c>
      <c r="B971" s="2" t="n">
        <v>43221.99053240741</v>
      </c>
      <c r="C971" t="n">
        <v>0</v>
      </c>
      <c r="D971" t="n">
        <v>5</v>
      </c>
      <c r="E971" t="s">
        <v>975</v>
      </c>
      <c r="F971" t="s"/>
      <c r="G971" t="s"/>
      <c r="H971" t="s"/>
      <c r="I971" t="s"/>
      <c r="J971" t="n">
        <v>-0.5994</v>
      </c>
      <c r="K971" t="n">
        <v>0.197</v>
      </c>
      <c r="L971" t="n">
        <v>0.803</v>
      </c>
      <c r="M971" t="n">
        <v>0</v>
      </c>
    </row>
    <row r="972" spans="1:13">
      <c r="A972" s="1">
        <f>HYPERLINK("http://www.twitter.com/NathanBLawrence/status/991463839576264704", "991463839576264704")</f>
        <v/>
      </c>
      <c r="B972" s="2" t="n">
        <v>43221.99043981481</v>
      </c>
      <c r="C972" t="n">
        <v>0</v>
      </c>
      <c r="D972" t="n">
        <v>3</v>
      </c>
      <c r="E972" t="s">
        <v>976</v>
      </c>
      <c r="F972" t="s"/>
      <c r="G972" t="s"/>
      <c r="H972" t="s"/>
      <c r="I972" t="s"/>
      <c r="J972" t="n">
        <v>0.2481</v>
      </c>
      <c r="K972" t="n">
        <v>0.077</v>
      </c>
      <c r="L972" t="n">
        <v>0.8090000000000001</v>
      </c>
      <c r="M972" t="n">
        <v>0.114</v>
      </c>
    </row>
    <row r="973" spans="1:13">
      <c r="A973" s="1">
        <f>HYPERLINK("http://www.twitter.com/NathanBLawrence/status/991463595509735424", "991463595509735424")</f>
        <v/>
      </c>
      <c r="B973" s="2" t="n">
        <v>43221.98976851852</v>
      </c>
      <c r="C973" t="n">
        <v>0</v>
      </c>
      <c r="D973" t="n">
        <v>10</v>
      </c>
      <c r="E973" t="s">
        <v>977</v>
      </c>
      <c r="F973" t="s"/>
      <c r="G973" t="s"/>
      <c r="H973" t="s"/>
      <c r="I973" t="s"/>
      <c r="J973" t="n">
        <v>0</v>
      </c>
      <c r="K973" t="n">
        <v>0</v>
      </c>
      <c r="L973" t="n">
        <v>1</v>
      </c>
      <c r="M973" t="n">
        <v>0</v>
      </c>
    </row>
    <row r="974" spans="1:13">
      <c r="A974" s="1">
        <f>HYPERLINK("http://www.twitter.com/NathanBLawrence/status/991463580880068608", "991463580880068608")</f>
        <v/>
      </c>
      <c r="B974" s="2" t="n">
        <v>43221.98972222222</v>
      </c>
      <c r="C974" t="n">
        <v>4</v>
      </c>
      <c r="D974" t="n">
        <v>1</v>
      </c>
      <c r="E974" t="s">
        <v>978</v>
      </c>
      <c r="F974" t="s"/>
      <c r="G974" t="s"/>
      <c r="H974" t="s"/>
      <c r="I974" t="s"/>
      <c r="J974" t="n">
        <v>0.25</v>
      </c>
      <c r="K974" t="n">
        <v>0</v>
      </c>
      <c r="L974" t="n">
        <v>0.926</v>
      </c>
      <c r="M974" t="n">
        <v>0.074</v>
      </c>
    </row>
    <row r="975" spans="1:13">
      <c r="A975" s="1">
        <f>HYPERLINK("http://www.twitter.com/NathanBLawrence/status/991439005353938945", "991439005353938945")</f>
        <v/>
      </c>
      <c r="B975" s="2" t="n">
        <v>43221.92190972222</v>
      </c>
      <c r="C975" t="n">
        <v>0</v>
      </c>
      <c r="D975" t="n">
        <v>38</v>
      </c>
      <c r="E975" t="s">
        <v>979</v>
      </c>
      <c r="F975" t="s"/>
      <c r="G975" t="s"/>
      <c r="H975" t="s"/>
      <c r="I975" t="s"/>
      <c r="J975" t="n">
        <v>0.7845</v>
      </c>
      <c r="K975" t="n">
        <v>0</v>
      </c>
      <c r="L975" t="n">
        <v>0.669</v>
      </c>
      <c r="M975" t="n">
        <v>0.331</v>
      </c>
    </row>
    <row r="976" spans="1:13">
      <c r="A976" s="1">
        <f>HYPERLINK("http://www.twitter.com/NathanBLawrence/status/991438730090176513", "991438730090176513")</f>
        <v/>
      </c>
      <c r="B976" s="2" t="n">
        <v>43221.92114583333</v>
      </c>
      <c r="C976" t="n">
        <v>0</v>
      </c>
      <c r="D976" t="n">
        <v>635</v>
      </c>
      <c r="E976" t="s">
        <v>980</v>
      </c>
      <c r="F976" t="s"/>
      <c r="G976" t="s"/>
      <c r="H976" t="s"/>
      <c r="I976" t="s"/>
      <c r="J976" t="n">
        <v>0.7096</v>
      </c>
      <c r="K976" t="n">
        <v>0</v>
      </c>
      <c r="L976" t="n">
        <v>0.67</v>
      </c>
      <c r="M976" t="n">
        <v>0.33</v>
      </c>
    </row>
    <row r="977" spans="1:13">
      <c r="A977" s="1">
        <f>HYPERLINK("http://www.twitter.com/NathanBLawrence/status/991438678160560128", "991438678160560128")</f>
        <v/>
      </c>
      <c r="B977" s="2" t="n">
        <v>43221.92100694445</v>
      </c>
      <c r="C977" t="n">
        <v>0</v>
      </c>
      <c r="D977" t="n">
        <v>827</v>
      </c>
      <c r="E977" t="s">
        <v>981</v>
      </c>
      <c r="F977" t="s"/>
      <c r="G977" t="s"/>
      <c r="H977" t="s"/>
      <c r="I977" t="s"/>
      <c r="J977" t="n">
        <v>-0.2714</v>
      </c>
      <c r="K977" t="n">
        <v>0.172</v>
      </c>
      <c r="L977" t="n">
        <v>0.705</v>
      </c>
      <c r="M977" t="n">
        <v>0.123</v>
      </c>
    </row>
    <row r="978" spans="1:13">
      <c r="A978" s="1">
        <f>HYPERLINK("http://www.twitter.com/NathanBLawrence/status/991438532584660992", "991438532584660992")</f>
        <v/>
      </c>
      <c r="B978" s="2" t="n">
        <v>43221.92060185185</v>
      </c>
      <c r="C978" t="n">
        <v>0</v>
      </c>
      <c r="D978" t="n">
        <v>435</v>
      </c>
      <c r="E978" t="s">
        <v>982</v>
      </c>
      <c r="F978">
        <f>HYPERLINK("http://pbs.twimg.com/media/Db-uWzOXkAE8mQl.jpg", "http://pbs.twimg.com/media/Db-uWzOXkAE8mQl.jpg")</f>
        <v/>
      </c>
      <c r="G978" t="s"/>
      <c r="H978" t="s"/>
      <c r="I978" t="s"/>
      <c r="J978" t="n">
        <v>0</v>
      </c>
      <c r="K978" t="n">
        <v>0</v>
      </c>
      <c r="L978" t="n">
        <v>1</v>
      </c>
      <c r="M978" t="n">
        <v>0</v>
      </c>
    </row>
    <row r="979" spans="1:13">
      <c r="A979" s="1">
        <f>HYPERLINK("http://www.twitter.com/NathanBLawrence/status/991438519452217344", "991438519452217344")</f>
        <v/>
      </c>
      <c r="B979" s="2" t="n">
        <v>43221.92056712963</v>
      </c>
      <c r="C979" t="n">
        <v>0</v>
      </c>
      <c r="D979" t="n">
        <v>26601</v>
      </c>
      <c r="E979" t="s">
        <v>983</v>
      </c>
      <c r="F979" t="s"/>
      <c r="G979" t="s"/>
      <c r="H979" t="s"/>
      <c r="I979" t="s"/>
      <c r="J979" t="n">
        <v>0</v>
      </c>
      <c r="K979" t="n">
        <v>0</v>
      </c>
      <c r="L979" t="n">
        <v>1</v>
      </c>
      <c r="M979" t="n">
        <v>0</v>
      </c>
    </row>
    <row r="980" spans="1:13">
      <c r="A980" s="1">
        <f>HYPERLINK("http://www.twitter.com/NathanBLawrence/status/991438337721454593", "991438337721454593")</f>
        <v/>
      </c>
      <c r="B980" s="2" t="n">
        <v>43221.92006944444</v>
      </c>
      <c r="C980" t="n">
        <v>0</v>
      </c>
      <c r="D980" t="n">
        <v>22</v>
      </c>
      <c r="E980" t="s">
        <v>984</v>
      </c>
      <c r="F980" t="s"/>
      <c r="G980" t="s"/>
      <c r="H980" t="s"/>
      <c r="I980" t="s"/>
      <c r="J980" t="n">
        <v>0.4767</v>
      </c>
      <c r="K980" t="n">
        <v>0</v>
      </c>
      <c r="L980" t="n">
        <v>0.846</v>
      </c>
      <c r="M980" t="n">
        <v>0.154</v>
      </c>
    </row>
    <row r="981" spans="1:13">
      <c r="A981" s="1">
        <f>HYPERLINK("http://www.twitter.com/NathanBLawrence/status/991438247585878018", "991438247585878018")</f>
        <v/>
      </c>
      <c r="B981" s="2" t="n">
        <v>43221.91981481481</v>
      </c>
      <c r="C981" t="n">
        <v>0</v>
      </c>
      <c r="D981" t="n">
        <v>8</v>
      </c>
      <c r="E981" t="s">
        <v>985</v>
      </c>
      <c r="F981" t="s"/>
      <c r="G981" t="s"/>
      <c r="H981" t="s"/>
      <c r="I981" t="s"/>
      <c r="J981" t="n">
        <v>-0.2411</v>
      </c>
      <c r="K981" t="n">
        <v>0.076</v>
      </c>
      <c r="L981" t="n">
        <v>0.924</v>
      </c>
      <c r="M981" t="n">
        <v>0</v>
      </c>
    </row>
    <row r="982" spans="1:13">
      <c r="A982" s="1">
        <f>HYPERLINK("http://www.twitter.com/NathanBLawrence/status/991438221916688389", "991438221916688389")</f>
        <v/>
      </c>
      <c r="B982" s="2" t="n">
        <v>43221.91974537037</v>
      </c>
      <c r="C982" t="n">
        <v>0</v>
      </c>
      <c r="D982" t="n">
        <v>6</v>
      </c>
      <c r="E982" t="s">
        <v>986</v>
      </c>
      <c r="F982" t="s"/>
      <c r="G982" t="s"/>
      <c r="H982" t="s"/>
      <c r="I982" t="s"/>
      <c r="J982" t="n">
        <v>0</v>
      </c>
      <c r="K982" t="n">
        <v>0</v>
      </c>
      <c r="L982" t="n">
        <v>1</v>
      </c>
      <c r="M982" t="n">
        <v>0</v>
      </c>
    </row>
    <row r="983" spans="1:13">
      <c r="A983" s="1">
        <f>HYPERLINK("http://www.twitter.com/NathanBLawrence/status/991438180086943744", "991438180086943744")</f>
        <v/>
      </c>
      <c r="B983" s="2" t="n">
        <v>43221.91962962963</v>
      </c>
      <c r="C983" t="n">
        <v>0</v>
      </c>
      <c r="D983" t="n">
        <v>12</v>
      </c>
      <c r="E983" t="s">
        <v>987</v>
      </c>
      <c r="F983" t="s"/>
      <c r="G983" t="s"/>
      <c r="H983" t="s"/>
      <c r="I983" t="s"/>
      <c r="J983" t="n">
        <v>-0.1779</v>
      </c>
      <c r="K983" t="n">
        <v>0.177</v>
      </c>
      <c r="L983" t="n">
        <v>0.707</v>
      </c>
      <c r="M983" t="n">
        <v>0.117</v>
      </c>
    </row>
    <row r="984" spans="1:13">
      <c r="A984" s="1">
        <f>HYPERLINK("http://www.twitter.com/NathanBLawrence/status/991437705182633984", "991437705182633984")</f>
        <v/>
      </c>
      <c r="B984" s="2" t="n">
        <v>43221.91832175926</v>
      </c>
      <c r="C984" t="n">
        <v>0</v>
      </c>
      <c r="D984" t="n">
        <v>13</v>
      </c>
      <c r="E984" t="s">
        <v>640</v>
      </c>
      <c r="F984">
        <f>HYPERLINK("http://pbs.twimg.com/media/DcHyA84X0AAHWib.jpg", "http://pbs.twimg.com/media/DcHyA84X0AAHWib.jpg")</f>
        <v/>
      </c>
      <c r="G984" t="s"/>
      <c r="H984" t="s"/>
      <c r="I984" t="s"/>
      <c r="J984" t="n">
        <v>0.8201000000000001</v>
      </c>
      <c r="K984" t="n">
        <v>0</v>
      </c>
      <c r="L984" t="n">
        <v>0.63</v>
      </c>
      <c r="M984" t="n">
        <v>0.37</v>
      </c>
    </row>
    <row r="985" spans="1:13">
      <c r="A985" s="1">
        <f>HYPERLINK("http://www.twitter.com/NathanBLawrence/status/991431543494242305", "991431543494242305")</f>
        <v/>
      </c>
      <c r="B985" s="2" t="n">
        <v>43221.90131944444</v>
      </c>
      <c r="C985" t="n">
        <v>0</v>
      </c>
      <c r="D985" t="n">
        <v>20</v>
      </c>
      <c r="E985" t="s">
        <v>988</v>
      </c>
      <c r="F985" t="s"/>
      <c r="G985" t="s"/>
      <c r="H985" t="s"/>
      <c r="I985" t="s"/>
      <c r="J985" t="n">
        <v>-0.7096</v>
      </c>
      <c r="K985" t="n">
        <v>0.282</v>
      </c>
      <c r="L985" t="n">
        <v>0.5570000000000001</v>
      </c>
      <c r="M985" t="n">
        <v>0.161</v>
      </c>
    </row>
    <row r="986" spans="1:13">
      <c r="A986" s="1">
        <f>HYPERLINK("http://www.twitter.com/NathanBLawrence/status/991417810466299905", "991417810466299905")</f>
        <v/>
      </c>
      <c r="B986" s="2" t="n">
        <v>43221.86342592593</v>
      </c>
      <c r="C986" t="n">
        <v>0</v>
      </c>
      <c r="D986" t="n">
        <v>0</v>
      </c>
      <c r="E986" t="s">
        <v>989</v>
      </c>
      <c r="F986" t="s"/>
      <c r="G986" t="s"/>
      <c r="H986" t="s"/>
      <c r="I986" t="s"/>
      <c r="J986" t="n">
        <v>0.6808</v>
      </c>
      <c r="K986" t="n">
        <v>0</v>
      </c>
      <c r="L986" t="n">
        <v>0.152</v>
      </c>
      <c r="M986" t="n">
        <v>0.848</v>
      </c>
    </row>
    <row r="987" spans="1:13">
      <c r="A987" s="1">
        <f>HYPERLINK("http://www.twitter.com/NathanBLawrence/status/991401393633288192", "991401393633288192")</f>
        <v/>
      </c>
      <c r="B987" s="2" t="n">
        <v>43221.818125</v>
      </c>
      <c r="C987" t="n">
        <v>0</v>
      </c>
      <c r="D987" t="n">
        <v>0</v>
      </c>
      <c r="E987" t="s">
        <v>990</v>
      </c>
      <c r="F987" t="s"/>
      <c r="G987" t="s"/>
      <c r="H987" t="s"/>
      <c r="I987" t="s"/>
      <c r="J987" t="n">
        <v>0.4215</v>
      </c>
      <c r="K987" t="n">
        <v>0</v>
      </c>
      <c r="L987" t="n">
        <v>0.263</v>
      </c>
      <c r="M987" t="n">
        <v>0.737</v>
      </c>
    </row>
    <row r="988" spans="1:13">
      <c r="A988" s="1">
        <f>HYPERLINK("http://www.twitter.com/NathanBLawrence/status/991401221289332737", "991401221289332737")</f>
        <v/>
      </c>
      <c r="B988" s="2" t="n">
        <v>43221.81765046297</v>
      </c>
      <c r="C988" t="n">
        <v>0</v>
      </c>
      <c r="D988" t="n">
        <v>197</v>
      </c>
      <c r="E988" t="s">
        <v>991</v>
      </c>
      <c r="F988" t="s"/>
      <c r="G988" t="s"/>
      <c r="H988" t="s"/>
      <c r="I988" t="s"/>
      <c r="J988" t="n">
        <v>-0.4939</v>
      </c>
      <c r="K988" t="n">
        <v>0.144</v>
      </c>
      <c r="L988" t="n">
        <v>0.856</v>
      </c>
      <c r="M988" t="n">
        <v>0</v>
      </c>
    </row>
    <row r="989" spans="1:13">
      <c r="A989" s="1">
        <f>HYPERLINK("http://www.twitter.com/NathanBLawrence/status/991401184656322560", "991401184656322560")</f>
        <v/>
      </c>
      <c r="B989" s="2" t="n">
        <v>43221.8175462963</v>
      </c>
      <c r="C989" t="n">
        <v>0</v>
      </c>
      <c r="D989" t="n">
        <v>12</v>
      </c>
      <c r="E989" t="s">
        <v>992</v>
      </c>
      <c r="F989" t="s"/>
      <c r="G989" t="s"/>
      <c r="H989" t="s"/>
      <c r="I989" t="s"/>
      <c r="J989" t="n">
        <v>0.128</v>
      </c>
      <c r="K989" t="n">
        <v>0.101</v>
      </c>
      <c r="L989" t="n">
        <v>0.773</v>
      </c>
      <c r="M989" t="n">
        <v>0.126</v>
      </c>
    </row>
    <row r="990" spans="1:13">
      <c r="A990" s="1">
        <f>HYPERLINK("http://www.twitter.com/NathanBLawrence/status/991401151500308480", "991401151500308480")</f>
        <v/>
      </c>
      <c r="B990" s="2" t="n">
        <v>43221.8174537037</v>
      </c>
      <c r="C990" t="n">
        <v>0</v>
      </c>
      <c r="D990" t="n">
        <v>13259</v>
      </c>
      <c r="E990" t="s">
        <v>993</v>
      </c>
      <c r="F990" t="s"/>
      <c r="G990" t="s"/>
      <c r="H990" t="s"/>
      <c r="I990" t="s"/>
      <c r="J990" t="n">
        <v>0.8807</v>
      </c>
      <c r="K990" t="n">
        <v>0</v>
      </c>
      <c r="L990" t="n">
        <v>0.651</v>
      </c>
      <c r="M990" t="n">
        <v>0.349</v>
      </c>
    </row>
    <row r="991" spans="1:13">
      <c r="A991" s="1">
        <f>HYPERLINK("http://www.twitter.com/NathanBLawrence/status/991400756891840514", "991400756891840514")</f>
        <v/>
      </c>
      <c r="B991" s="2" t="n">
        <v>43221.81636574074</v>
      </c>
      <c r="C991" t="n">
        <v>0</v>
      </c>
      <c r="D991" t="n">
        <v>10</v>
      </c>
      <c r="E991" t="s">
        <v>994</v>
      </c>
      <c r="F991" t="s"/>
      <c r="G991" t="s"/>
      <c r="H991" t="s"/>
      <c r="I991" t="s"/>
      <c r="J991" t="n">
        <v>0</v>
      </c>
      <c r="K991" t="n">
        <v>0</v>
      </c>
      <c r="L991" t="n">
        <v>1</v>
      </c>
      <c r="M991" t="n">
        <v>0</v>
      </c>
    </row>
    <row r="992" spans="1:13">
      <c r="A992" s="1">
        <f>HYPERLINK("http://www.twitter.com/NathanBLawrence/status/991400631163375617", "991400631163375617")</f>
        <v/>
      </c>
      <c r="B992" s="2" t="n">
        <v>43221.81601851852</v>
      </c>
      <c r="C992" t="n">
        <v>0</v>
      </c>
      <c r="D992" t="n">
        <v>8</v>
      </c>
      <c r="E992" t="s">
        <v>995</v>
      </c>
      <c r="F992" t="s"/>
      <c r="G992" t="s"/>
      <c r="H992" t="s"/>
      <c r="I992" t="s"/>
      <c r="J992" t="n">
        <v>0.0516</v>
      </c>
      <c r="K992" t="n">
        <v>0.093</v>
      </c>
      <c r="L992" t="n">
        <v>0.806</v>
      </c>
      <c r="M992" t="n">
        <v>0.101</v>
      </c>
    </row>
    <row r="993" spans="1:13">
      <c r="A993" s="1">
        <f>HYPERLINK("http://www.twitter.com/NathanBLawrence/status/991399029585137665", "991399029585137665")</f>
        <v/>
      </c>
      <c r="B993" s="2" t="n">
        <v>43221.81159722222</v>
      </c>
      <c r="C993" t="n">
        <v>16</v>
      </c>
      <c r="D993" t="n">
        <v>10</v>
      </c>
      <c r="E993" t="s">
        <v>996</v>
      </c>
      <c r="F993" t="s"/>
      <c r="G993" t="s"/>
      <c r="H993" t="s"/>
      <c r="I993" t="s"/>
      <c r="J993" t="n">
        <v>0</v>
      </c>
      <c r="K993" t="n">
        <v>0</v>
      </c>
      <c r="L993" t="n">
        <v>1</v>
      </c>
      <c r="M993" t="n">
        <v>0</v>
      </c>
    </row>
    <row r="994" spans="1:13">
      <c r="A994" s="1">
        <f>HYPERLINK("http://www.twitter.com/NathanBLawrence/status/991397118626664448", "991397118626664448")</f>
        <v/>
      </c>
      <c r="B994" s="2" t="n">
        <v>43221.80633101852</v>
      </c>
      <c r="C994" t="n">
        <v>12</v>
      </c>
      <c r="D994" t="n">
        <v>8</v>
      </c>
      <c r="E994" t="s">
        <v>997</v>
      </c>
      <c r="F994" t="s"/>
      <c r="G994" t="s"/>
      <c r="H994" t="s"/>
      <c r="I994" t="s"/>
      <c r="J994" t="n">
        <v>0.743</v>
      </c>
      <c r="K994" t="n">
        <v>0.042</v>
      </c>
      <c r="L994" t="n">
        <v>0.801</v>
      </c>
      <c r="M994" t="n">
        <v>0.157</v>
      </c>
    </row>
    <row r="995" spans="1:13">
      <c r="A995" s="1">
        <f>HYPERLINK("http://www.twitter.com/NathanBLawrence/status/991395599399473152", "991395599399473152")</f>
        <v/>
      </c>
      <c r="B995" s="2" t="n">
        <v>43221.80212962963</v>
      </c>
      <c r="C995" t="n">
        <v>0</v>
      </c>
      <c r="D995" t="n">
        <v>16</v>
      </c>
      <c r="E995" t="s">
        <v>998</v>
      </c>
      <c r="F995" t="s"/>
      <c r="G995" t="s"/>
      <c r="H995" t="s"/>
      <c r="I995" t="s"/>
      <c r="J995" t="n">
        <v>-0.1613</v>
      </c>
      <c r="K995" t="n">
        <v>0.109</v>
      </c>
      <c r="L995" t="n">
        <v>0.803</v>
      </c>
      <c r="M995" t="n">
        <v>0.08699999999999999</v>
      </c>
    </row>
    <row r="996" spans="1:13">
      <c r="A996" s="1">
        <f>HYPERLINK("http://www.twitter.com/NathanBLawrence/status/991395574976077830", "991395574976077830")</f>
        <v/>
      </c>
      <c r="B996" s="2" t="n">
        <v>43221.80206018518</v>
      </c>
      <c r="C996" t="n">
        <v>0</v>
      </c>
      <c r="D996" t="n">
        <v>7</v>
      </c>
      <c r="E996" t="s">
        <v>999</v>
      </c>
      <c r="F996" t="s"/>
      <c r="G996" t="s"/>
      <c r="H996" t="s"/>
      <c r="I996" t="s"/>
      <c r="J996" t="n">
        <v>-0.7959000000000001</v>
      </c>
      <c r="K996" t="n">
        <v>0.35</v>
      </c>
      <c r="L996" t="n">
        <v>0.65</v>
      </c>
      <c r="M996" t="n">
        <v>0</v>
      </c>
    </row>
    <row r="997" spans="1:13">
      <c r="A997" s="1">
        <f>HYPERLINK("http://www.twitter.com/NathanBLawrence/status/991395516293492737", "991395516293492737")</f>
        <v/>
      </c>
      <c r="B997" s="2" t="n">
        <v>43221.80189814815</v>
      </c>
      <c r="C997" t="n">
        <v>0</v>
      </c>
      <c r="D997" t="n">
        <v>17</v>
      </c>
      <c r="E997" t="s">
        <v>1000</v>
      </c>
      <c r="F997">
        <f>HYPERLINK("http://pbs.twimg.com/media/DcIQ_1-X0AA7Qe0.jpg", "http://pbs.twimg.com/media/DcIQ_1-X0AA7Qe0.jpg")</f>
        <v/>
      </c>
      <c r="G997" t="s"/>
      <c r="H997" t="s"/>
      <c r="I997" t="s"/>
      <c r="J997" t="n">
        <v>0</v>
      </c>
      <c r="K997" t="n">
        <v>0</v>
      </c>
      <c r="L997" t="n">
        <v>1</v>
      </c>
      <c r="M997" t="n">
        <v>0</v>
      </c>
    </row>
    <row r="998" spans="1:13">
      <c r="A998" s="1">
        <f>HYPERLINK("http://www.twitter.com/NathanBLawrence/status/991395499856007168", "991395499856007168")</f>
        <v/>
      </c>
      <c r="B998" s="2" t="n">
        <v>43221.80186342593</v>
      </c>
      <c r="C998" t="n">
        <v>0</v>
      </c>
      <c r="D998" t="n">
        <v>15</v>
      </c>
      <c r="E998" t="s">
        <v>1001</v>
      </c>
      <c r="F998">
        <f>HYPERLINK("https://video.twimg.com/ext_tw_video/991391719127072768/pu/vid/720x1280/lLpeUpqUbbZPI0Qm.mp4?tag=3", "https://video.twimg.com/ext_tw_video/991391719127072768/pu/vid/720x1280/lLpeUpqUbbZPI0Qm.mp4?tag=3")</f>
        <v/>
      </c>
      <c r="G998" t="s"/>
      <c r="H998" t="s"/>
      <c r="I998" t="s"/>
      <c r="J998" t="n">
        <v>0.9657</v>
      </c>
      <c r="K998" t="n">
        <v>0</v>
      </c>
      <c r="L998" t="n">
        <v>0.467</v>
      </c>
      <c r="M998" t="n">
        <v>0.533</v>
      </c>
    </row>
    <row r="999" spans="1:13">
      <c r="A999" s="1">
        <f>HYPERLINK("http://www.twitter.com/NathanBLawrence/status/991395294461005827", "991395294461005827")</f>
        <v/>
      </c>
      <c r="B999" s="2" t="n">
        <v>43221.8012962963</v>
      </c>
      <c r="C999" t="n">
        <v>0</v>
      </c>
      <c r="D999" t="n">
        <v>9</v>
      </c>
      <c r="E999" t="s">
        <v>1002</v>
      </c>
      <c r="F999" t="s"/>
      <c r="G999" t="s"/>
      <c r="H999" t="s"/>
      <c r="I999" t="s"/>
      <c r="J999" t="n">
        <v>-0.6072</v>
      </c>
      <c r="K999" t="n">
        <v>0.265</v>
      </c>
      <c r="L999" t="n">
        <v>0.735</v>
      </c>
      <c r="M999" t="n">
        <v>0</v>
      </c>
    </row>
    <row r="1000" spans="1:13">
      <c r="A1000" s="1">
        <f>HYPERLINK("http://www.twitter.com/NathanBLawrence/status/991390829360107521", "991390829360107521")</f>
        <v/>
      </c>
      <c r="B1000" s="2" t="n">
        <v>43221.78896990741</v>
      </c>
      <c r="C1000" t="n">
        <v>1</v>
      </c>
      <c r="D1000" t="n">
        <v>0</v>
      </c>
      <c r="E1000" t="s">
        <v>1003</v>
      </c>
      <c r="F1000" t="s"/>
      <c r="G1000" t="s"/>
      <c r="H1000" t="s"/>
      <c r="I1000" t="s"/>
      <c r="J1000" t="n">
        <v>0.6808</v>
      </c>
      <c r="K1000" t="n">
        <v>0</v>
      </c>
      <c r="L1000" t="n">
        <v>0.72</v>
      </c>
      <c r="M1000" t="n">
        <v>0.28</v>
      </c>
    </row>
    <row r="1001" spans="1:13">
      <c r="A1001" s="1">
        <f>HYPERLINK("http://www.twitter.com/NathanBLawrence/status/991390283786006529", "991390283786006529")</f>
        <v/>
      </c>
      <c r="B1001" s="2" t="n">
        <v>43221.78746527778</v>
      </c>
      <c r="C1001" t="n">
        <v>9</v>
      </c>
      <c r="D1001" t="n">
        <v>9</v>
      </c>
      <c r="E1001" t="s">
        <v>1004</v>
      </c>
      <c r="F1001" t="s"/>
      <c r="G1001" t="s"/>
      <c r="H1001" t="s"/>
      <c r="I1001" t="s"/>
      <c r="J1001" t="n">
        <v>-0.6072</v>
      </c>
      <c r="K1001" t="n">
        <v>0.306</v>
      </c>
      <c r="L1001" t="n">
        <v>0.694</v>
      </c>
      <c r="M1001" t="n">
        <v>0</v>
      </c>
    </row>
    <row r="1002" spans="1:13">
      <c r="A1002" s="1">
        <f>HYPERLINK("http://www.twitter.com/NathanBLawrence/status/991389754641014785", "991389754641014785")</f>
        <v/>
      </c>
      <c r="B1002" s="2" t="n">
        <v>43221.78600694444</v>
      </c>
      <c r="C1002" t="n">
        <v>1</v>
      </c>
      <c r="D1002" t="n">
        <v>0</v>
      </c>
      <c r="E1002" t="s">
        <v>1005</v>
      </c>
      <c r="F1002" t="s"/>
      <c r="G1002" t="s"/>
      <c r="H1002" t="s"/>
      <c r="I1002" t="s"/>
      <c r="J1002" t="n">
        <v>-0.5859</v>
      </c>
      <c r="K1002" t="n">
        <v>0.655</v>
      </c>
      <c r="L1002" t="n">
        <v>0.345</v>
      </c>
      <c r="M1002" t="n">
        <v>0</v>
      </c>
    </row>
    <row r="1003" spans="1:13">
      <c r="A1003" s="1">
        <f>HYPERLINK("http://www.twitter.com/NathanBLawrence/status/991389509844717569", "991389509844717569")</f>
        <v/>
      </c>
      <c r="B1003" s="2" t="n">
        <v>43221.78532407407</v>
      </c>
      <c r="C1003" t="n">
        <v>0</v>
      </c>
      <c r="D1003" t="n">
        <v>0</v>
      </c>
      <c r="E1003" t="s">
        <v>1006</v>
      </c>
      <c r="F1003" t="s"/>
      <c r="G1003" t="s"/>
      <c r="H1003" t="s"/>
      <c r="I1003" t="s"/>
      <c r="J1003" t="n">
        <v>0.0951</v>
      </c>
      <c r="K1003" t="n">
        <v>0</v>
      </c>
      <c r="L1003" t="n">
        <v>0.745</v>
      </c>
      <c r="M1003" t="n">
        <v>0.255</v>
      </c>
    </row>
    <row r="1004" spans="1:13">
      <c r="A1004" s="1">
        <f>HYPERLINK("http://www.twitter.com/NathanBLawrence/status/991389433684463618", "991389433684463618")</f>
        <v/>
      </c>
      <c r="B1004" s="2" t="n">
        <v>43221.78511574074</v>
      </c>
      <c r="C1004" t="n">
        <v>0</v>
      </c>
      <c r="D1004" t="n">
        <v>520</v>
      </c>
      <c r="E1004" t="s">
        <v>1007</v>
      </c>
      <c r="F1004" t="s"/>
      <c r="G1004" t="s"/>
      <c r="H1004" t="s"/>
      <c r="I1004" t="s"/>
      <c r="J1004" t="n">
        <v>-0.1027</v>
      </c>
      <c r="K1004" t="n">
        <v>0.104</v>
      </c>
      <c r="L1004" t="n">
        <v>0.896</v>
      </c>
      <c r="M1004" t="n">
        <v>0</v>
      </c>
    </row>
    <row r="1005" spans="1:13">
      <c r="A1005" s="1">
        <f>HYPERLINK("http://www.twitter.com/NathanBLawrence/status/991389350993842176", "991389350993842176")</f>
        <v/>
      </c>
      <c r="B1005" s="2" t="n">
        <v>43221.78489583333</v>
      </c>
      <c r="C1005" t="n">
        <v>0</v>
      </c>
      <c r="D1005" t="n">
        <v>0</v>
      </c>
      <c r="E1005" t="s">
        <v>1008</v>
      </c>
      <c r="F1005" t="s"/>
      <c r="G1005" t="s"/>
      <c r="H1005" t="s"/>
      <c r="I1005" t="s"/>
      <c r="J1005" t="n">
        <v>0.4215</v>
      </c>
      <c r="K1005" t="n">
        <v>0</v>
      </c>
      <c r="L1005" t="n">
        <v>0.417</v>
      </c>
      <c r="M1005" t="n">
        <v>0.583</v>
      </c>
    </row>
    <row r="1006" spans="1:13">
      <c r="A1006" s="1">
        <f>HYPERLINK("http://www.twitter.com/NathanBLawrence/status/991389080041684992", "991389080041684992")</f>
        <v/>
      </c>
      <c r="B1006" s="2" t="n">
        <v>43221.78414351852</v>
      </c>
      <c r="C1006" t="n">
        <v>0</v>
      </c>
      <c r="D1006" t="n">
        <v>18</v>
      </c>
      <c r="E1006" t="s">
        <v>1009</v>
      </c>
      <c r="F1006" t="s"/>
      <c r="G1006" t="s"/>
      <c r="H1006" t="s"/>
      <c r="I1006" t="s"/>
      <c r="J1006" t="n">
        <v>0</v>
      </c>
      <c r="K1006" t="n">
        <v>0</v>
      </c>
      <c r="L1006" t="n">
        <v>1</v>
      </c>
      <c r="M1006" t="n">
        <v>0</v>
      </c>
    </row>
    <row r="1007" spans="1:13">
      <c r="A1007" s="1">
        <f>HYPERLINK("http://www.twitter.com/NathanBLawrence/status/991389038396485632", "991389038396485632")</f>
        <v/>
      </c>
      <c r="B1007" s="2" t="n">
        <v>43221.78402777778</v>
      </c>
      <c r="C1007" t="n">
        <v>0</v>
      </c>
      <c r="D1007" t="n">
        <v>12</v>
      </c>
      <c r="E1007" t="s">
        <v>1010</v>
      </c>
      <c r="F1007" t="s"/>
      <c r="G1007" t="s"/>
      <c r="H1007" t="s"/>
      <c r="I1007" t="s"/>
      <c r="J1007" t="n">
        <v>-0.0258</v>
      </c>
      <c r="K1007" t="n">
        <v>0.044</v>
      </c>
      <c r="L1007" t="n">
        <v>0.956</v>
      </c>
      <c r="M1007" t="n">
        <v>0</v>
      </c>
    </row>
    <row r="1008" spans="1:13">
      <c r="A1008" s="1">
        <f>HYPERLINK("http://www.twitter.com/NathanBLawrence/status/991389024437796864", "991389024437796864")</f>
        <v/>
      </c>
      <c r="B1008" s="2" t="n">
        <v>43221.78399305556</v>
      </c>
      <c r="C1008" t="n">
        <v>0</v>
      </c>
      <c r="D1008" t="n">
        <v>2</v>
      </c>
      <c r="E1008" t="s">
        <v>1011</v>
      </c>
      <c r="F1008" t="s"/>
      <c r="G1008" t="s"/>
      <c r="H1008" t="s"/>
      <c r="I1008" t="s"/>
      <c r="J1008" t="n">
        <v>-0.0258</v>
      </c>
      <c r="K1008" t="n">
        <v>0.09</v>
      </c>
      <c r="L1008" t="n">
        <v>0.824</v>
      </c>
      <c r="M1008" t="n">
        <v>0.08599999999999999</v>
      </c>
    </row>
    <row r="1009" spans="1:13">
      <c r="A1009" s="1">
        <f>HYPERLINK("http://www.twitter.com/NathanBLawrence/status/991366970183503872", "991366970183503872")</f>
        <v/>
      </c>
      <c r="B1009" s="2" t="n">
        <v>43221.72313657407</v>
      </c>
      <c r="C1009" t="n">
        <v>0</v>
      </c>
      <c r="D1009" t="n">
        <v>4</v>
      </c>
      <c r="E1009" t="s">
        <v>1012</v>
      </c>
      <c r="F1009" t="s"/>
      <c r="G1009" t="s"/>
      <c r="H1009" t="s"/>
      <c r="I1009" t="s"/>
      <c r="J1009" t="n">
        <v>0</v>
      </c>
      <c r="K1009" t="n">
        <v>0</v>
      </c>
      <c r="L1009" t="n">
        <v>1</v>
      </c>
      <c r="M1009" t="n">
        <v>0</v>
      </c>
    </row>
    <row r="1010" spans="1:13">
      <c r="A1010" s="1">
        <f>HYPERLINK("http://www.twitter.com/NathanBLawrence/status/991366637969444864", "991366637969444864")</f>
        <v/>
      </c>
      <c r="B1010" s="2" t="n">
        <v>43221.72221064815</v>
      </c>
      <c r="C1010" t="n">
        <v>0</v>
      </c>
      <c r="D1010" t="n">
        <v>24</v>
      </c>
      <c r="E1010" t="s">
        <v>1013</v>
      </c>
      <c r="F1010">
        <f>HYPERLINK("http://pbs.twimg.com/media/DcH597nVAAAdarM.jpg", "http://pbs.twimg.com/media/DcH597nVAAAdarM.jpg")</f>
        <v/>
      </c>
      <c r="G1010" t="s"/>
      <c r="H1010" t="s"/>
      <c r="I1010" t="s"/>
      <c r="J1010" t="n">
        <v>0</v>
      </c>
      <c r="K1010" t="n">
        <v>0</v>
      </c>
      <c r="L1010" t="n">
        <v>1</v>
      </c>
      <c r="M1010" t="n">
        <v>0</v>
      </c>
    </row>
    <row r="1011" spans="1:13">
      <c r="A1011" s="1">
        <f>HYPERLINK("http://www.twitter.com/NathanBLawrence/status/991363551540457473", "991363551540457473")</f>
        <v/>
      </c>
      <c r="B1011" s="2" t="n">
        <v>43221.71369212963</v>
      </c>
      <c r="C1011" t="n">
        <v>0</v>
      </c>
      <c r="D1011" t="n">
        <v>8</v>
      </c>
      <c r="E1011" t="s">
        <v>1014</v>
      </c>
      <c r="F1011" t="s"/>
      <c r="G1011" t="s"/>
      <c r="H1011" t="s"/>
      <c r="I1011" t="s"/>
      <c r="J1011" t="n">
        <v>-0.2263</v>
      </c>
      <c r="K1011" t="n">
        <v>0.142</v>
      </c>
      <c r="L1011" t="n">
        <v>0.753</v>
      </c>
      <c r="M1011" t="n">
        <v>0.105</v>
      </c>
    </row>
    <row r="1012" spans="1:13">
      <c r="A1012" s="1">
        <f>HYPERLINK("http://www.twitter.com/NathanBLawrence/status/991363511610724353", "991363511610724353")</f>
        <v/>
      </c>
      <c r="B1012" s="2" t="n">
        <v>43221.71358796296</v>
      </c>
      <c r="C1012" t="n">
        <v>0</v>
      </c>
      <c r="D1012" t="n">
        <v>14</v>
      </c>
      <c r="E1012" t="s">
        <v>1015</v>
      </c>
      <c r="F1012" t="s"/>
      <c r="G1012" t="s"/>
      <c r="H1012" t="s"/>
      <c r="I1012" t="s"/>
      <c r="J1012" t="n">
        <v>-0.7315</v>
      </c>
      <c r="K1012" t="n">
        <v>0.23</v>
      </c>
      <c r="L1012" t="n">
        <v>0.77</v>
      </c>
      <c r="M1012" t="n">
        <v>0</v>
      </c>
    </row>
    <row r="1013" spans="1:13">
      <c r="A1013" s="1">
        <f>HYPERLINK("http://www.twitter.com/NathanBLawrence/status/991354541483462656", "991354541483462656")</f>
        <v/>
      </c>
      <c r="B1013" s="2" t="n">
        <v>43221.68883101852</v>
      </c>
      <c r="C1013" t="n">
        <v>0</v>
      </c>
      <c r="D1013" t="n">
        <v>0</v>
      </c>
      <c r="E1013" t="s">
        <v>1016</v>
      </c>
      <c r="F1013" t="s"/>
      <c r="G1013" t="s"/>
      <c r="H1013" t="s"/>
      <c r="I1013" t="s"/>
      <c r="J1013" t="n">
        <v>0.3612</v>
      </c>
      <c r="K1013" t="n">
        <v>0</v>
      </c>
      <c r="L1013" t="n">
        <v>0.545</v>
      </c>
      <c r="M1013" t="n">
        <v>0.455</v>
      </c>
    </row>
    <row r="1014" spans="1:13">
      <c r="A1014" s="1">
        <f>HYPERLINK("http://www.twitter.com/NathanBLawrence/status/991354414714716162", "991354414714716162")</f>
        <v/>
      </c>
      <c r="B1014" s="2" t="n">
        <v>43221.68848379629</v>
      </c>
      <c r="C1014" t="n">
        <v>0</v>
      </c>
      <c r="D1014" t="n">
        <v>2951</v>
      </c>
      <c r="E1014" t="s">
        <v>1017</v>
      </c>
      <c r="F1014" t="s"/>
      <c r="G1014" t="s"/>
      <c r="H1014" t="s"/>
      <c r="I1014" t="s"/>
      <c r="J1014" t="n">
        <v>0</v>
      </c>
      <c r="K1014" t="n">
        <v>0</v>
      </c>
      <c r="L1014" t="n">
        <v>1</v>
      </c>
      <c r="M1014" t="n">
        <v>0</v>
      </c>
    </row>
    <row r="1015" spans="1:13">
      <c r="A1015" s="1">
        <f>HYPERLINK("http://www.twitter.com/NathanBLawrence/status/991352489697071106", "991352489697071106")</f>
        <v/>
      </c>
      <c r="B1015" s="2" t="n">
        <v>43221.6831712963</v>
      </c>
      <c r="C1015" t="n">
        <v>0</v>
      </c>
      <c r="D1015" t="n">
        <v>3</v>
      </c>
      <c r="E1015" t="s">
        <v>1018</v>
      </c>
      <c r="F1015" t="s"/>
      <c r="G1015" t="s"/>
      <c r="H1015" t="s"/>
      <c r="I1015" t="s"/>
      <c r="J1015" t="n">
        <v>0.7418</v>
      </c>
      <c r="K1015" t="n">
        <v>0.11</v>
      </c>
      <c r="L1015" t="n">
        <v>0.55</v>
      </c>
      <c r="M1015" t="n">
        <v>0.34</v>
      </c>
    </row>
    <row r="1016" spans="1:13">
      <c r="A1016" s="1">
        <f>HYPERLINK("http://www.twitter.com/NathanBLawrence/status/991352446604759043", "991352446604759043")</f>
        <v/>
      </c>
      <c r="B1016" s="2" t="n">
        <v>43221.68305555556</v>
      </c>
      <c r="C1016" t="n">
        <v>0</v>
      </c>
      <c r="D1016" t="n">
        <v>4</v>
      </c>
      <c r="E1016" t="s">
        <v>1019</v>
      </c>
      <c r="F1016" t="s"/>
      <c r="G1016" t="s"/>
      <c r="H1016" t="s"/>
      <c r="I1016" t="s"/>
      <c r="J1016" t="n">
        <v>0.8905999999999999</v>
      </c>
      <c r="K1016" t="n">
        <v>0</v>
      </c>
      <c r="L1016" t="n">
        <v>0.63</v>
      </c>
      <c r="M1016" t="n">
        <v>0.37</v>
      </c>
    </row>
    <row r="1017" spans="1:13">
      <c r="A1017" s="1">
        <f>HYPERLINK("http://www.twitter.com/NathanBLawrence/status/991352252978868224", "991352252978868224")</f>
        <v/>
      </c>
      <c r="B1017" s="2" t="n">
        <v>43221.68252314815</v>
      </c>
      <c r="C1017" t="n">
        <v>9</v>
      </c>
      <c r="D1017" t="n">
        <v>3</v>
      </c>
      <c r="E1017" t="s">
        <v>1020</v>
      </c>
      <c r="F1017" t="s"/>
      <c r="G1017" t="s"/>
      <c r="H1017" t="s"/>
      <c r="I1017" t="s"/>
      <c r="J1017" t="n">
        <v>0.7633</v>
      </c>
      <c r="K1017" t="n">
        <v>0.119</v>
      </c>
      <c r="L1017" t="n">
        <v>0.632</v>
      </c>
      <c r="M1017" t="n">
        <v>0.249</v>
      </c>
    </row>
    <row r="1018" spans="1:13">
      <c r="A1018" s="1">
        <f>HYPERLINK("http://www.twitter.com/NathanBLawrence/status/991351759766515714", "991351759766515714")</f>
        <v/>
      </c>
      <c r="B1018" s="2" t="n">
        <v>43221.68115740741</v>
      </c>
      <c r="C1018" t="n">
        <v>9</v>
      </c>
      <c r="D1018" t="n">
        <v>4</v>
      </c>
      <c r="E1018" t="s">
        <v>1021</v>
      </c>
      <c r="F1018" t="s"/>
      <c r="G1018" t="s"/>
      <c r="H1018" t="s"/>
      <c r="I1018" t="s"/>
      <c r="J1018" t="n">
        <v>0.9108000000000001</v>
      </c>
      <c r="K1018" t="n">
        <v>0</v>
      </c>
      <c r="L1018" t="n">
        <v>0.767</v>
      </c>
      <c r="M1018" t="n">
        <v>0.233</v>
      </c>
    </row>
    <row r="1019" spans="1:13">
      <c r="A1019" s="1">
        <f>HYPERLINK("http://www.twitter.com/NathanBLawrence/status/991350135341887489", "991350135341887489")</f>
        <v/>
      </c>
      <c r="B1019" s="2" t="n">
        <v>43221.67667824074</v>
      </c>
      <c r="C1019" t="n">
        <v>0</v>
      </c>
      <c r="D1019" t="n">
        <v>13</v>
      </c>
      <c r="E1019" t="s">
        <v>1022</v>
      </c>
      <c r="F1019" t="s"/>
      <c r="G1019" t="s"/>
      <c r="H1019" t="s"/>
      <c r="I1019" t="s"/>
      <c r="J1019" t="n">
        <v>-0.1316</v>
      </c>
      <c r="K1019" t="n">
        <v>0.07000000000000001</v>
      </c>
      <c r="L1019" t="n">
        <v>0.93</v>
      </c>
      <c r="M1019" t="n">
        <v>0</v>
      </c>
    </row>
    <row r="1020" spans="1:13">
      <c r="A1020" s="1">
        <f>HYPERLINK("http://www.twitter.com/NathanBLawrence/status/991350093164044289", "991350093164044289")</f>
        <v/>
      </c>
      <c r="B1020" s="2" t="n">
        <v>43221.6765625</v>
      </c>
      <c r="C1020" t="n">
        <v>1</v>
      </c>
      <c r="D1020" t="n">
        <v>0</v>
      </c>
      <c r="E1020" t="s">
        <v>1023</v>
      </c>
      <c r="F1020" t="s"/>
      <c r="G1020" t="s"/>
      <c r="H1020" t="s"/>
      <c r="I1020" t="s"/>
      <c r="J1020" t="n">
        <v>0.6249</v>
      </c>
      <c r="K1020" t="n">
        <v>0</v>
      </c>
      <c r="L1020" t="n">
        <v>0.806</v>
      </c>
      <c r="M1020" t="n">
        <v>0.194</v>
      </c>
    </row>
    <row r="1021" spans="1:13">
      <c r="A1021" s="1">
        <f>HYPERLINK("http://www.twitter.com/NathanBLawrence/status/991349416115175425", "991349416115175425")</f>
        <v/>
      </c>
      <c r="B1021" s="2" t="n">
        <v>43221.6746875</v>
      </c>
      <c r="C1021" t="n">
        <v>14</v>
      </c>
      <c r="D1021" t="n">
        <v>13</v>
      </c>
      <c r="E1021" t="s">
        <v>1024</v>
      </c>
      <c r="F1021" t="s"/>
      <c r="G1021" t="s"/>
      <c r="H1021" t="s"/>
      <c r="I1021" t="s"/>
      <c r="J1021" t="n">
        <v>0.7447</v>
      </c>
      <c r="K1021" t="n">
        <v>0.026</v>
      </c>
      <c r="L1021" t="n">
        <v>0.837</v>
      </c>
      <c r="M1021" t="n">
        <v>0.137</v>
      </c>
    </row>
    <row r="1022" spans="1:13">
      <c r="A1022" s="1">
        <f>HYPERLINK("http://www.twitter.com/NathanBLawrence/status/991344328814587904", "991344328814587904")</f>
        <v/>
      </c>
      <c r="B1022" s="2" t="n">
        <v>43221.66064814815</v>
      </c>
      <c r="C1022" t="n">
        <v>2</v>
      </c>
      <c r="D1022" t="n">
        <v>1</v>
      </c>
      <c r="E1022" t="s">
        <v>1025</v>
      </c>
      <c r="F1022" t="s"/>
      <c r="G1022" t="s"/>
      <c r="H1022" t="s"/>
      <c r="I1022" t="s"/>
      <c r="J1022" t="n">
        <v>0.0258</v>
      </c>
      <c r="K1022" t="n">
        <v>0.096</v>
      </c>
      <c r="L1022" t="n">
        <v>0.805</v>
      </c>
      <c r="M1022" t="n">
        <v>0.099</v>
      </c>
    </row>
    <row r="1023" spans="1:13">
      <c r="A1023" s="1">
        <f>HYPERLINK("http://www.twitter.com/NathanBLawrence/status/991344289564241920", "991344289564241920")</f>
        <v/>
      </c>
      <c r="B1023" s="2" t="n">
        <v>43221.66054398148</v>
      </c>
      <c r="C1023" t="n">
        <v>1</v>
      </c>
      <c r="D1023" t="n">
        <v>1</v>
      </c>
      <c r="E1023" t="s">
        <v>1026</v>
      </c>
      <c r="F1023" t="s"/>
      <c r="G1023" t="s"/>
      <c r="H1023" t="s"/>
      <c r="I1023" t="s"/>
      <c r="J1023" t="n">
        <v>-0.8056</v>
      </c>
      <c r="K1023" t="n">
        <v>0.161</v>
      </c>
      <c r="L1023" t="n">
        <v>0.839</v>
      </c>
      <c r="M1023" t="n">
        <v>0</v>
      </c>
    </row>
    <row r="1024" spans="1:13">
      <c r="A1024" s="1">
        <f>HYPERLINK("http://www.twitter.com/NathanBLawrence/status/991252398248284160", "991252398248284160")</f>
        <v/>
      </c>
      <c r="B1024" s="2" t="n">
        <v>43221.40696759259</v>
      </c>
      <c r="C1024" t="n">
        <v>0</v>
      </c>
      <c r="D1024" t="n">
        <v>1380</v>
      </c>
      <c r="E1024" t="s">
        <v>1027</v>
      </c>
      <c r="F1024">
        <f>HYPERLINK("https://video.twimg.com/ext_tw_video/990653177342054402/pu/vid/1280x720/8fSHJHTHK6af7zhA.mp4?tag=3", "https://video.twimg.com/ext_tw_video/990653177342054402/pu/vid/1280x720/8fSHJHTHK6af7zhA.mp4?tag=3")</f>
        <v/>
      </c>
      <c r="G1024" t="s"/>
      <c r="H1024" t="s"/>
      <c r="I1024" t="s"/>
      <c r="J1024" t="n">
        <v>0.2023</v>
      </c>
      <c r="K1024" t="n">
        <v>0</v>
      </c>
      <c r="L1024" t="n">
        <v>0.917</v>
      </c>
      <c r="M1024" t="n">
        <v>0.083</v>
      </c>
    </row>
    <row r="1025" spans="1:13">
      <c r="A1025" s="1">
        <f>HYPERLINK("http://www.twitter.com/NathanBLawrence/status/991252308620201984", "991252308620201984")</f>
        <v/>
      </c>
      <c r="B1025" s="2" t="n">
        <v>43221.40672453704</v>
      </c>
      <c r="C1025" t="n">
        <v>0</v>
      </c>
      <c r="D1025" t="n">
        <v>0</v>
      </c>
      <c r="E1025" t="s">
        <v>1028</v>
      </c>
      <c r="F1025" t="s"/>
      <c r="G1025" t="s"/>
      <c r="H1025" t="s"/>
      <c r="I1025" t="s"/>
      <c r="J1025" t="n">
        <v>-0.4767</v>
      </c>
      <c r="K1025" t="n">
        <v>0.279</v>
      </c>
      <c r="L1025" t="n">
        <v>0.721</v>
      </c>
      <c r="M1025" t="n">
        <v>0</v>
      </c>
    </row>
    <row r="1026" spans="1:13">
      <c r="A1026" s="1">
        <f>HYPERLINK("http://www.twitter.com/NathanBLawrence/status/991252163098828801", "991252163098828801")</f>
        <v/>
      </c>
      <c r="B1026" s="2" t="n">
        <v>43221.40631944445</v>
      </c>
      <c r="C1026" t="n">
        <v>0</v>
      </c>
      <c r="D1026" t="n">
        <v>90</v>
      </c>
      <c r="E1026" t="s">
        <v>1029</v>
      </c>
      <c r="F1026" t="s"/>
      <c r="G1026" t="s"/>
      <c r="H1026" t="s"/>
      <c r="I1026" t="s"/>
      <c r="J1026" t="n">
        <v>0.6975</v>
      </c>
      <c r="K1026" t="n">
        <v>0</v>
      </c>
      <c r="L1026" t="n">
        <v>0.792</v>
      </c>
      <c r="M1026" t="n">
        <v>0.208</v>
      </c>
    </row>
    <row r="1027" spans="1:13">
      <c r="A1027" s="1">
        <f>HYPERLINK("http://www.twitter.com/NathanBLawrence/status/991252027811553281", "991252027811553281")</f>
        <v/>
      </c>
      <c r="B1027" s="2" t="n">
        <v>43221.40594907408</v>
      </c>
      <c r="C1027" t="n">
        <v>0</v>
      </c>
      <c r="D1027" t="n">
        <v>10</v>
      </c>
      <c r="E1027" t="s">
        <v>1030</v>
      </c>
      <c r="F1027">
        <f>HYPERLINK("http://pbs.twimg.com/media/DcGhs0lWsAAQJmV.jpg", "http://pbs.twimg.com/media/DcGhs0lWsAAQJmV.jpg")</f>
        <v/>
      </c>
      <c r="G1027" t="s"/>
      <c r="H1027" t="s"/>
      <c r="I1027" t="s"/>
      <c r="J1027" t="n">
        <v>0</v>
      </c>
      <c r="K1027" t="n">
        <v>0</v>
      </c>
      <c r="L1027" t="n">
        <v>1</v>
      </c>
      <c r="M1027" t="n">
        <v>0</v>
      </c>
    </row>
    <row r="1028" spans="1:13">
      <c r="A1028" s="1">
        <f>HYPERLINK("http://www.twitter.com/NathanBLawrence/status/991251993812520960", "991251993812520960")</f>
        <v/>
      </c>
      <c r="B1028" s="2" t="n">
        <v>43221.40585648148</v>
      </c>
      <c r="C1028" t="n">
        <v>0</v>
      </c>
      <c r="D1028" t="n">
        <v>462</v>
      </c>
      <c r="E1028" t="s">
        <v>1031</v>
      </c>
      <c r="F1028">
        <f>HYPERLINK("http://pbs.twimg.com/media/DcFR2HcU0AEN3E0.jpg", "http://pbs.twimg.com/media/DcFR2HcU0AEN3E0.jpg")</f>
        <v/>
      </c>
      <c r="G1028" t="s"/>
      <c r="H1028" t="s"/>
      <c r="I1028" t="s"/>
      <c r="J1028" t="n">
        <v>-0.296</v>
      </c>
      <c r="K1028" t="n">
        <v>0.355</v>
      </c>
      <c r="L1028" t="n">
        <v>0.645</v>
      </c>
      <c r="M1028" t="n">
        <v>0</v>
      </c>
    </row>
    <row r="1029" spans="1:13">
      <c r="A1029" s="1">
        <f>HYPERLINK("http://www.twitter.com/NathanBLawrence/status/991251957603094528", "991251957603094528")</f>
        <v/>
      </c>
      <c r="B1029" s="2" t="n">
        <v>43221.40575231481</v>
      </c>
      <c r="C1029" t="n">
        <v>0</v>
      </c>
      <c r="D1029" t="n">
        <v>1125</v>
      </c>
      <c r="E1029" t="s">
        <v>1032</v>
      </c>
      <c r="F1029">
        <f>HYPERLINK("http://pbs.twimg.com/media/DcFQsfuUwAUFq8k.jpg", "http://pbs.twimg.com/media/DcFQsfuUwAUFq8k.jpg")</f>
        <v/>
      </c>
      <c r="G1029" t="s"/>
      <c r="H1029" t="s"/>
      <c r="I1029" t="s"/>
      <c r="J1029" t="n">
        <v>0</v>
      </c>
      <c r="K1029" t="n">
        <v>0</v>
      </c>
      <c r="L1029" t="n">
        <v>1</v>
      </c>
      <c r="M1029" t="n">
        <v>0</v>
      </c>
    </row>
    <row r="1030" spans="1:13">
      <c r="A1030" s="1">
        <f>HYPERLINK("http://www.twitter.com/NathanBLawrence/status/991251902678683648", "991251902678683648")</f>
        <v/>
      </c>
      <c r="B1030" s="2" t="n">
        <v>43221.40560185185</v>
      </c>
      <c r="C1030" t="n">
        <v>0</v>
      </c>
      <c r="D1030" t="n">
        <v>13</v>
      </c>
      <c r="E1030" t="s">
        <v>1033</v>
      </c>
      <c r="F1030" t="s"/>
      <c r="G1030" t="s"/>
      <c r="H1030" t="s"/>
      <c r="I1030" t="s"/>
      <c r="J1030" t="n">
        <v>-0.7184</v>
      </c>
      <c r="K1030" t="n">
        <v>0.3</v>
      </c>
      <c r="L1030" t="n">
        <v>0.7</v>
      </c>
      <c r="M1030" t="n">
        <v>0</v>
      </c>
    </row>
    <row r="1031" spans="1:13">
      <c r="A1031" s="1">
        <f>HYPERLINK("http://www.twitter.com/NathanBLawrence/status/991251520430669825", "991251520430669825")</f>
        <v/>
      </c>
      <c r="B1031" s="2" t="n">
        <v>43221.40454861111</v>
      </c>
      <c r="C1031" t="n">
        <v>0</v>
      </c>
      <c r="D1031" t="n">
        <v>16388</v>
      </c>
      <c r="E1031" t="s">
        <v>1034</v>
      </c>
      <c r="F1031" t="s"/>
      <c r="G1031" t="s"/>
      <c r="H1031" t="s"/>
      <c r="I1031" t="s"/>
      <c r="J1031" t="n">
        <v>0.8316</v>
      </c>
      <c r="K1031" t="n">
        <v>0</v>
      </c>
      <c r="L1031" t="n">
        <v>0.6850000000000001</v>
      </c>
      <c r="M1031" t="n">
        <v>0.315</v>
      </c>
    </row>
    <row r="1032" spans="1:13">
      <c r="A1032" s="1">
        <f>HYPERLINK("http://www.twitter.com/NathanBLawrence/status/991251160160985088", "991251160160985088")</f>
        <v/>
      </c>
      <c r="B1032" s="2" t="n">
        <v>43221.40355324074</v>
      </c>
      <c r="C1032" t="n">
        <v>0</v>
      </c>
      <c r="D1032" t="n">
        <v>5562</v>
      </c>
      <c r="E1032" t="s">
        <v>1035</v>
      </c>
      <c r="F1032" t="s"/>
      <c r="G1032" t="s"/>
      <c r="H1032" t="s"/>
      <c r="I1032" t="s"/>
      <c r="J1032" t="n">
        <v>-0.7722</v>
      </c>
      <c r="K1032" t="n">
        <v>0.301</v>
      </c>
      <c r="L1032" t="n">
        <v>0.618</v>
      </c>
      <c r="M1032" t="n">
        <v>0.081</v>
      </c>
    </row>
    <row r="1033" spans="1:13">
      <c r="A1033" s="1">
        <f>HYPERLINK("http://www.twitter.com/NathanBLawrence/status/991251064568545280", "991251064568545280")</f>
        <v/>
      </c>
      <c r="B1033" s="2" t="n">
        <v>43221.40329861111</v>
      </c>
      <c r="C1033" t="n">
        <v>0</v>
      </c>
      <c r="D1033" t="n">
        <v>680</v>
      </c>
      <c r="E1033" t="s">
        <v>1036</v>
      </c>
      <c r="F1033">
        <f>HYPERLINK("http://pbs.twimg.com/media/DcFsvOtUwAI5RyM.jpg", "http://pbs.twimg.com/media/DcFsvOtUwAI5RyM.jpg")</f>
        <v/>
      </c>
      <c r="G1033" t="s"/>
      <c r="H1033" t="s"/>
      <c r="I1033" t="s"/>
      <c r="J1033" t="n">
        <v>-0.1027</v>
      </c>
      <c r="K1033" t="n">
        <v>0.062</v>
      </c>
      <c r="L1033" t="n">
        <v>0.9379999999999999</v>
      </c>
      <c r="M1033" t="n">
        <v>0</v>
      </c>
    </row>
    <row r="1034" spans="1:13">
      <c r="A1034" s="1">
        <f>HYPERLINK("http://www.twitter.com/NathanBLawrence/status/991250745985990656", "991250745985990656")</f>
        <v/>
      </c>
      <c r="B1034" s="2" t="n">
        <v>43221.40241898148</v>
      </c>
      <c r="C1034" t="n">
        <v>0</v>
      </c>
      <c r="D1034" t="n">
        <v>342</v>
      </c>
      <c r="E1034" t="s">
        <v>1037</v>
      </c>
      <c r="F1034" t="s"/>
      <c r="G1034" t="s"/>
      <c r="H1034" t="s"/>
      <c r="I1034" t="s"/>
      <c r="J1034" t="n">
        <v>0.6249</v>
      </c>
      <c r="K1034" t="n">
        <v>0</v>
      </c>
      <c r="L1034" t="n">
        <v>0.76</v>
      </c>
      <c r="M1034" t="n">
        <v>0.24</v>
      </c>
    </row>
    <row r="1035" spans="1:13">
      <c r="A1035" s="1">
        <f>HYPERLINK("http://www.twitter.com/NathanBLawrence/status/991249891501465600", "991249891501465600")</f>
        <v/>
      </c>
      <c r="B1035" s="2" t="n">
        <v>43221.40005787037</v>
      </c>
      <c r="C1035" t="n">
        <v>0</v>
      </c>
      <c r="D1035" t="n">
        <v>3</v>
      </c>
      <c r="E1035" t="s">
        <v>1038</v>
      </c>
      <c r="F1035" t="s"/>
      <c r="G1035" t="s"/>
      <c r="H1035" t="s"/>
      <c r="I1035" t="s"/>
      <c r="J1035" t="n">
        <v>0.128</v>
      </c>
      <c r="K1035" t="n">
        <v>0.066</v>
      </c>
      <c r="L1035" t="n">
        <v>0.847</v>
      </c>
      <c r="M1035" t="n">
        <v>0.08699999999999999</v>
      </c>
    </row>
    <row r="1036" spans="1:13">
      <c r="A1036" s="1">
        <f>HYPERLINK("http://www.twitter.com/NathanBLawrence/status/991249806168416256", "991249806168416256")</f>
        <v/>
      </c>
      <c r="B1036" s="2" t="n">
        <v>43221.39981481482</v>
      </c>
      <c r="C1036" t="n">
        <v>0</v>
      </c>
      <c r="D1036" t="n">
        <v>0</v>
      </c>
      <c r="E1036" t="s">
        <v>1039</v>
      </c>
      <c r="F1036" t="s"/>
      <c r="G1036" t="s"/>
      <c r="H1036" t="s"/>
      <c r="I1036" t="s"/>
      <c r="J1036" t="n">
        <v>-0.5266999999999999</v>
      </c>
      <c r="K1036" t="n">
        <v>0.159</v>
      </c>
      <c r="L1036" t="n">
        <v>0.841</v>
      </c>
      <c r="M1036" t="n">
        <v>0</v>
      </c>
    </row>
    <row r="1037" spans="1:13">
      <c r="A1037" s="1">
        <f>HYPERLINK("http://www.twitter.com/NathanBLawrence/status/991249575750062080", "991249575750062080")</f>
        <v/>
      </c>
      <c r="B1037" s="2" t="n">
        <v>43221.39918981482</v>
      </c>
      <c r="C1037" t="n">
        <v>0</v>
      </c>
      <c r="D1037" t="n">
        <v>0</v>
      </c>
      <c r="E1037" t="s">
        <v>1040</v>
      </c>
      <c r="F1037" t="s"/>
      <c r="G1037" t="s"/>
      <c r="H1037" t="s"/>
      <c r="I1037" t="s"/>
      <c r="J1037" t="n">
        <v>-0.5927</v>
      </c>
      <c r="K1037" t="n">
        <v>0.134</v>
      </c>
      <c r="L1037" t="n">
        <v>0.8090000000000001</v>
      </c>
      <c r="M1037" t="n">
        <v>0.057</v>
      </c>
    </row>
    <row r="1038" spans="1:13">
      <c r="A1038" s="1">
        <f>HYPERLINK("http://www.twitter.com/NathanBLawrence/status/991228943255658496", "991228943255658496")</f>
        <v/>
      </c>
      <c r="B1038" s="2" t="n">
        <v>43221.34224537037</v>
      </c>
      <c r="C1038" t="n">
        <v>4</v>
      </c>
      <c r="D1038" t="n">
        <v>3</v>
      </c>
      <c r="E1038" t="s">
        <v>1041</v>
      </c>
      <c r="F1038" t="s"/>
      <c r="G1038" t="s"/>
      <c r="H1038" t="s"/>
      <c r="I1038" t="s"/>
      <c r="J1038" t="n">
        <v>0.128</v>
      </c>
      <c r="K1038" t="n">
        <v>0.039</v>
      </c>
      <c r="L1038" t="n">
        <v>0.909</v>
      </c>
      <c r="M1038" t="n">
        <v>0.052</v>
      </c>
    </row>
    <row r="1039" spans="1:13">
      <c r="A1039" s="1">
        <f>HYPERLINK("http://www.twitter.com/NathanBLawrence/status/991214229544980480", "991214229544980480")</f>
        <v/>
      </c>
      <c r="B1039" s="2" t="n">
        <v>43221.30164351852</v>
      </c>
      <c r="C1039" t="n">
        <v>0</v>
      </c>
      <c r="D1039" t="n">
        <v>27284</v>
      </c>
      <c r="E1039" t="s">
        <v>1042</v>
      </c>
      <c r="F1039" t="s"/>
      <c r="G1039" t="s"/>
      <c r="H1039" t="s"/>
      <c r="I1039" t="s"/>
      <c r="J1039" t="n">
        <v>0.8155</v>
      </c>
      <c r="K1039" t="n">
        <v>0</v>
      </c>
      <c r="L1039" t="n">
        <v>0.668</v>
      </c>
      <c r="M1039" t="n">
        <v>0.332</v>
      </c>
    </row>
    <row r="1040" spans="1:13">
      <c r="A1040" s="1">
        <f>HYPERLINK("http://www.twitter.com/NathanBLawrence/status/991185165425827840", "991185165425827840")</f>
        <v/>
      </c>
      <c r="B1040" s="2" t="n">
        <v>43221.22144675926</v>
      </c>
      <c r="C1040" t="n">
        <v>1</v>
      </c>
      <c r="D1040" t="n">
        <v>1</v>
      </c>
      <c r="E1040" t="s">
        <v>1043</v>
      </c>
      <c r="F1040" t="s"/>
      <c r="G1040" t="s"/>
      <c r="H1040" t="s"/>
      <c r="I1040" t="s"/>
      <c r="J1040" t="n">
        <v>0.4753</v>
      </c>
      <c r="K1040" t="n">
        <v>0</v>
      </c>
      <c r="L1040" t="n">
        <v>0.764</v>
      </c>
      <c r="M1040" t="n">
        <v>0.236</v>
      </c>
    </row>
    <row r="1041" spans="1:13">
      <c r="A1041" s="1">
        <f>HYPERLINK("http://www.twitter.com/NathanBLawrence/status/991185008558854144", "991185008558854144")</f>
        <v/>
      </c>
      <c r="B1041" s="2" t="n">
        <v>43221.22101851852</v>
      </c>
      <c r="C1041" t="n">
        <v>0</v>
      </c>
      <c r="D1041" t="n">
        <v>4064</v>
      </c>
      <c r="E1041" t="s">
        <v>1044</v>
      </c>
      <c r="F1041" t="s"/>
      <c r="G1041" t="s"/>
      <c r="H1041" t="s"/>
      <c r="I1041" t="s"/>
      <c r="J1041" t="n">
        <v>0.8065</v>
      </c>
      <c r="K1041" t="n">
        <v>0</v>
      </c>
      <c r="L1041" t="n">
        <v>0.658</v>
      </c>
      <c r="M1041" t="n">
        <v>0.342</v>
      </c>
    </row>
    <row r="1042" spans="1:13">
      <c r="A1042" s="1">
        <f>HYPERLINK("http://www.twitter.com/NathanBLawrence/status/991184956004229120", "991184956004229120")</f>
        <v/>
      </c>
      <c r="B1042" s="2" t="n">
        <v>43221.22086805556</v>
      </c>
      <c r="C1042" t="n">
        <v>2</v>
      </c>
      <c r="D1042" t="n">
        <v>3</v>
      </c>
      <c r="E1042" t="s">
        <v>1045</v>
      </c>
      <c r="F1042" t="s"/>
      <c r="G1042" t="s"/>
      <c r="H1042" t="s"/>
      <c r="I1042" t="s"/>
      <c r="J1042" t="n">
        <v>0.5563</v>
      </c>
      <c r="K1042" t="n">
        <v>0</v>
      </c>
      <c r="L1042" t="n">
        <v>0.754</v>
      </c>
      <c r="M1042" t="n">
        <v>0.246</v>
      </c>
    </row>
    <row r="1043" spans="1:13">
      <c r="A1043" s="1">
        <f>HYPERLINK("http://www.twitter.com/NathanBLawrence/status/991184839490621441", "991184839490621441")</f>
        <v/>
      </c>
      <c r="B1043" s="2" t="n">
        <v>43221.22054398148</v>
      </c>
      <c r="C1043" t="n">
        <v>0</v>
      </c>
      <c r="D1043" t="n">
        <v>95</v>
      </c>
      <c r="E1043" t="s">
        <v>1046</v>
      </c>
      <c r="F1043" t="s"/>
      <c r="G1043" t="s"/>
      <c r="H1043" t="s"/>
      <c r="I1043" t="s"/>
      <c r="J1043" t="n">
        <v>0.4005</v>
      </c>
      <c r="K1043" t="n">
        <v>0</v>
      </c>
      <c r="L1043" t="n">
        <v>0.881</v>
      </c>
      <c r="M1043" t="n">
        <v>0.119</v>
      </c>
    </row>
    <row r="1044" spans="1:13">
      <c r="A1044" s="1">
        <f>HYPERLINK("http://www.twitter.com/NathanBLawrence/status/991184443749683200", "991184443749683200")</f>
        <v/>
      </c>
      <c r="B1044" s="2" t="n">
        <v>43221.21945601852</v>
      </c>
      <c r="C1044" t="n">
        <v>0</v>
      </c>
      <c r="D1044" t="n">
        <v>3</v>
      </c>
      <c r="E1044" t="s">
        <v>1047</v>
      </c>
      <c r="F1044" t="s"/>
      <c r="G1044" t="s"/>
      <c r="H1044" t="s"/>
      <c r="I1044" t="s"/>
      <c r="J1044" t="n">
        <v>0.2732</v>
      </c>
      <c r="K1044" t="n">
        <v>0</v>
      </c>
      <c r="L1044" t="n">
        <v>0.8110000000000001</v>
      </c>
      <c r="M1044" t="n">
        <v>0.189</v>
      </c>
    </row>
    <row r="1045" spans="1:13">
      <c r="A1045" s="1">
        <f>HYPERLINK("http://www.twitter.com/NathanBLawrence/status/991184302196101120", "991184302196101120")</f>
        <v/>
      </c>
      <c r="B1045" s="2" t="n">
        <v>43221.2190625</v>
      </c>
      <c r="C1045" t="n">
        <v>0</v>
      </c>
      <c r="D1045" t="n">
        <v>7836</v>
      </c>
      <c r="E1045" t="s">
        <v>1048</v>
      </c>
      <c r="F1045" t="s"/>
      <c r="G1045" t="s"/>
      <c r="H1045" t="s"/>
      <c r="I1045" t="s"/>
      <c r="J1045" t="n">
        <v>-0.1027</v>
      </c>
      <c r="K1045" t="n">
        <v>0.06900000000000001</v>
      </c>
      <c r="L1045" t="n">
        <v>0.931</v>
      </c>
      <c r="M1045" t="n">
        <v>0</v>
      </c>
    </row>
    <row r="1046" spans="1:13">
      <c r="A1046" s="1">
        <f>HYPERLINK("http://www.twitter.com/NathanBLawrence/status/991184249314336768", "991184249314336768")</f>
        <v/>
      </c>
      <c r="B1046" s="2" t="n">
        <v>43221.21892361111</v>
      </c>
      <c r="C1046" t="n">
        <v>0</v>
      </c>
      <c r="D1046" t="n">
        <v>423</v>
      </c>
      <c r="E1046" t="s">
        <v>1049</v>
      </c>
      <c r="F1046" t="s"/>
      <c r="G1046" t="s"/>
      <c r="H1046" t="s"/>
      <c r="I1046" t="s"/>
      <c r="J1046" t="n">
        <v>-0.1511</v>
      </c>
      <c r="K1046" t="n">
        <v>0.074</v>
      </c>
      <c r="L1046" t="n">
        <v>0.926</v>
      </c>
      <c r="M1046" t="n">
        <v>0</v>
      </c>
    </row>
    <row r="1047" spans="1:13">
      <c r="A1047" s="1">
        <f>HYPERLINK("http://www.twitter.com/NathanBLawrence/status/991182471906643968", "991182471906643968")</f>
        <v/>
      </c>
      <c r="B1047" s="2" t="n">
        <v>43221.2140162037</v>
      </c>
      <c r="C1047" t="n">
        <v>0</v>
      </c>
      <c r="D1047" t="n">
        <v>141</v>
      </c>
      <c r="E1047" t="s">
        <v>1050</v>
      </c>
      <c r="F1047" t="s"/>
      <c r="G1047" t="s"/>
      <c r="H1047" t="s"/>
      <c r="I1047" t="s"/>
      <c r="J1047" t="n">
        <v>-0.296</v>
      </c>
      <c r="K1047" t="n">
        <v>0.091</v>
      </c>
      <c r="L1047" t="n">
        <v>0.909</v>
      </c>
      <c r="M1047" t="n">
        <v>0</v>
      </c>
    </row>
    <row r="1048" spans="1:13">
      <c r="A1048" s="1">
        <f>HYPERLINK("http://www.twitter.com/NathanBLawrence/status/991182374384951296", "991182374384951296")</f>
        <v/>
      </c>
      <c r="B1048" s="2" t="n">
        <v>43221.21373842593</v>
      </c>
      <c r="C1048" t="n">
        <v>0</v>
      </c>
      <c r="D1048" t="n">
        <v>1933</v>
      </c>
      <c r="E1048" t="s">
        <v>1051</v>
      </c>
      <c r="F1048" t="s"/>
      <c r="G1048" t="s"/>
      <c r="H1048" t="s"/>
      <c r="I1048" t="s"/>
      <c r="J1048" t="n">
        <v>0.85</v>
      </c>
      <c r="K1048" t="n">
        <v>0.08699999999999999</v>
      </c>
      <c r="L1048" t="n">
        <v>0.573</v>
      </c>
      <c r="M1048" t="n">
        <v>0.34</v>
      </c>
    </row>
    <row r="1049" spans="1:13">
      <c r="A1049" s="1">
        <f>HYPERLINK("http://www.twitter.com/NathanBLawrence/status/991182321196953600", "991182321196953600")</f>
        <v/>
      </c>
      <c r="B1049" s="2" t="n">
        <v>43221.21359953703</v>
      </c>
      <c r="C1049" t="n">
        <v>0</v>
      </c>
      <c r="D1049" t="n">
        <v>28</v>
      </c>
      <c r="E1049" t="s">
        <v>1052</v>
      </c>
      <c r="F1049" t="s"/>
      <c r="G1049" t="s"/>
      <c r="H1049" t="s"/>
      <c r="I1049" t="s"/>
      <c r="J1049" t="n">
        <v>0.7672</v>
      </c>
      <c r="K1049" t="n">
        <v>0</v>
      </c>
      <c r="L1049" t="n">
        <v>0.733</v>
      </c>
      <c r="M1049" t="n">
        <v>0.267</v>
      </c>
    </row>
    <row r="1050" spans="1:13">
      <c r="A1050" s="1">
        <f>HYPERLINK("http://www.twitter.com/NathanBLawrence/status/991182263827214337", "991182263827214337")</f>
        <v/>
      </c>
      <c r="B1050" s="2" t="n">
        <v>43221.2134375</v>
      </c>
      <c r="C1050" t="n">
        <v>0</v>
      </c>
      <c r="D1050" t="n">
        <v>5986</v>
      </c>
      <c r="E1050" t="s">
        <v>1053</v>
      </c>
      <c r="F1050">
        <f>HYPERLINK("http://pbs.twimg.com/media/DcB97aQXkAE2LI7.jpg", "http://pbs.twimg.com/media/DcB97aQXkAE2LI7.jpg")</f>
        <v/>
      </c>
      <c r="G1050" t="s"/>
      <c r="H1050" t="s"/>
      <c r="I1050" t="s"/>
      <c r="J1050" t="n">
        <v>0.3612</v>
      </c>
      <c r="K1050" t="n">
        <v>0</v>
      </c>
      <c r="L1050" t="n">
        <v>0.872</v>
      </c>
      <c r="M1050" t="n">
        <v>0.128</v>
      </c>
    </row>
    <row r="1051" spans="1:13">
      <c r="A1051" s="1">
        <f>HYPERLINK("http://www.twitter.com/NathanBLawrence/status/991182224400834561", "991182224400834561")</f>
        <v/>
      </c>
      <c r="B1051" s="2" t="n">
        <v>43221.21333333333</v>
      </c>
      <c r="C1051" t="n">
        <v>0</v>
      </c>
      <c r="D1051" t="n">
        <v>18</v>
      </c>
      <c r="E1051" t="s">
        <v>1054</v>
      </c>
      <c r="F1051" t="s"/>
      <c r="G1051" t="s"/>
      <c r="H1051" t="s"/>
      <c r="I1051" t="s"/>
      <c r="J1051" t="n">
        <v>-0.2263</v>
      </c>
      <c r="K1051" t="n">
        <v>0.128</v>
      </c>
      <c r="L1051" t="n">
        <v>0.872</v>
      </c>
      <c r="M1051" t="n">
        <v>0</v>
      </c>
    </row>
    <row r="1052" spans="1:13">
      <c r="A1052" s="1">
        <f>HYPERLINK("http://www.twitter.com/NathanBLawrence/status/991182153764532224", "991182153764532224")</f>
        <v/>
      </c>
      <c r="B1052" s="2" t="n">
        <v>43221.21313657407</v>
      </c>
      <c r="C1052" t="n">
        <v>0</v>
      </c>
      <c r="D1052" t="n">
        <v>3</v>
      </c>
      <c r="E1052" t="s">
        <v>1055</v>
      </c>
      <c r="F1052" t="s"/>
      <c r="G1052" t="s"/>
      <c r="H1052" t="s"/>
      <c r="I1052" t="s"/>
      <c r="J1052" t="n">
        <v>0.4796</v>
      </c>
      <c r="K1052" t="n">
        <v>0</v>
      </c>
      <c r="L1052" t="n">
        <v>0.845</v>
      </c>
      <c r="M1052" t="n">
        <v>0.155</v>
      </c>
    </row>
    <row r="1053" spans="1:13">
      <c r="A1053" s="1">
        <f>HYPERLINK("http://www.twitter.com/NathanBLawrence/status/991182117743755264", "991182117743755264")</f>
        <v/>
      </c>
      <c r="B1053" s="2" t="n">
        <v>43221.21303240741</v>
      </c>
      <c r="C1053" t="n">
        <v>0</v>
      </c>
      <c r="D1053" t="n">
        <v>3</v>
      </c>
      <c r="E1053" t="s">
        <v>1056</v>
      </c>
      <c r="F1053" t="s"/>
      <c r="G1053" t="s"/>
      <c r="H1053" t="s"/>
      <c r="I1053" t="s"/>
      <c r="J1053" t="n">
        <v>-0.7226</v>
      </c>
      <c r="K1053" t="n">
        <v>0.38</v>
      </c>
      <c r="L1053" t="n">
        <v>0.454</v>
      </c>
      <c r="M1053" t="n">
        <v>0.166</v>
      </c>
    </row>
    <row r="1054" spans="1:13">
      <c r="A1054" s="1">
        <f>HYPERLINK("http://www.twitter.com/NathanBLawrence/status/991182097191788545", "991182097191788545")</f>
        <v/>
      </c>
      <c r="B1054" s="2" t="n">
        <v>43221.21297453704</v>
      </c>
      <c r="C1054" t="n">
        <v>0</v>
      </c>
      <c r="D1054" t="n">
        <v>5</v>
      </c>
      <c r="E1054" t="s">
        <v>1057</v>
      </c>
      <c r="F1054" t="s"/>
      <c r="G1054" t="s"/>
      <c r="H1054" t="s"/>
      <c r="I1054" t="s"/>
      <c r="J1054" t="n">
        <v>0.34</v>
      </c>
      <c r="K1054" t="n">
        <v>0.098</v>
      </c>
      <c r="L1054" t="n">
        <v>0.709</v>
      </c>
      <c r="M1054" t="n">
        <v>0.193</v>
      </c>
    </row>
    <row r="1055" spans="1:13">
      <c r="A1055" s="1">
        <f>HYPERLINK("http://www.twitter.com/NathanBLawrence/status/991182079315664896", "991182079315664896")</f>
        <v/>
      </c>
      <c r="B1055" s="2" t="n">
        <v>43221.21292824074</v>
      </c>
      <c r="C1055" t="n">
        <v>0</v>
      </c>
      <c r="D1055" t="n">
        <v>4</v>
      </c>
      <c r="E1055" t="s">
        <v>1058</v>
      </c>
      <c r="F1055" t="s"/>
      <c r="G1055" t="s"/>
      <c r="H1055" t="s"/>
      <c r="I1055" t="s"/>
      <c r="J1055" t="n">
        <v>0.6588000000000001</v>
      </c>
      <c r="K1055" t="n">
        <v>0</v>
      </c>
      <c r="L1055" t="n">
        <v>0.532</v>
      </c>
      <c r="M1055" t="n">
        <v>0.468</v>
      </c>
    </row>
    <row r="1056" spans="1:13">
      <c r="A1056" s="1">
        <f>HYPERLINK("http://www.twitter.com/NathanBLawrence/status/991182065025585152", "991182065025585152")</f>
        <v/>
      </c>
      <c r="B1056" s="2" t="n">
        <v>43221.21289351852</v>
      </c>
      <c r="C1056" t="n">
        <v>1</v>
      </c>
      <c r="D1056" t="n">
        <v>1</v>
      </c>
      <c r="E1056" t="s">
        <v>1059</v>
      </c>
      <c r="F1056" t="s"/>
      <c r="G1056" t="s"/>
      <c r="H1056" t="s"/>
      <c r="I1056" t="s"/>
      <c r="J1056" t="n">
        <v>-0.5994</v>
      </c>
      <c r="K1056" t="n">
        <v>0.349</v>
      </c>
      <c r="L1056" t="n">
        <v>0.533</v>
      </c>
      <c r="M1056" t="n">
        <v>0.118</v>
      </c>
    </row>
    <row r="1057" spans="1:13">
      <c r="A1057" s="1">
        <f>HYPERLINK("http://www.twitter.com/NathanBLawrence/status/991181928161251328", "991181928161251328")</f>
        <v/>
      </c>
      <c r="B1057" s="2" t="n">
        <v>43221.21251157407</v>
      </c>
      <c r="C1057" t="n">
        <v>0</v>
      </c>
      <c r="D1057" t="n">
        <v>9</v>
      </c>
      <c r="E1057" t="s">
        <v>1060</v>
      </c>
      <c r="F1057" t="s"/>
      <c r="G1057" t="s"/>
      <c r="H1057" t="s"/>
      <c r="I1057" t="s"/>
      <c r="J1057" t="n">
        <v>0.2401</v>
      </c>
      <c r="K1057" t="n">
        <v>0</v>
      </c>
      <c r="L1057" t="n">
        <v>0.869</v>
      </c>
      <c r="M1057" t="n">
        <v>0.131</v>
      </c>
    </row>
    <row r="1058" spans="1:13">
      <c r="A1058" s="1">
        <f>HYPERLINK("http://www.twitter.com/NathanBLawrence/status/991181892740440065", "991181892740440065")</f>
        <v/>
      </c>
      <c r="B1058" s="2" t="n">
        <v>43221.21241898148</v>
      </c>
      <c r="C1058" t="n">
        <v>0</v>
      </c>
      <c r="D1058" t="n">
        <v>16</v>
      </c>
      <c r="E1058" t="s">
        <v>1061</v>
      </c>
      <c r="F1058" t="s"/>
      <c r="G1058" t="s"/>
      <c r="H1058" t="s"/>
      <c r="I1058" t="s"/>
      <c r="J1058" t="n">
        <v>-0.1027</v>
      </c>
      <c r="K1058" t="n">
        <v>0.062</v>
      </c>
      <c r="L1058" t="n">
        <v>0.9379999999999999</v>
      </c>
      <c r="M1058" t="n">
        <v>0</v>
      </c>
    </row>
    <row r="1059" spans="1:13">
      <c r="A1059" s="1">
        <f>HYPERLINK("http://www.twitter.com/NathanBLawrence/status/991181873392046080", "991181873392046080")</f>
        <v/>
      </c>
      <c r="B1059" s="2" t="n">
        <v>43221.21236111111</v>
      </c>
      <c r="C1059" t="n">
        <v>0</v>
      </c>
      <c r="D1059" t="n">
        <v>13</v>
      </c>
      <c r="E1059" t="s">
        <v>1062</v>
      </c>
      <c r="F1059">
        <f>HYPERLINK("http://pbs.twimg.com/media/DcFGPGdU8AE2Ugo.jpg", "http://pbs.twimg.com/media/DcFGPGdU8AE2Ugo.jpg")</f>
        <v/>
      </c>
      <c r="G1059" t="s"/>
      <c r="H1059" t="s"/>
      <c r="I1059" t="s"/>
      <c r="J1059" t="n">
        <v>0.4019</v>
      </c>
      <c r="K1059" t="n">
        <v>0</v>
      </c>
      <c r="L1059" t="n">
        <v>0.903</v>
      </c>
      <c r="M1059" t="n">
        <v>0.097</v>
      </c>
    </row>
    <row r="1060" spans="1:13">
      <c r="A1060" s="1">
        <f>HYPERLINK("http://www.twitter.com/NathanBLawrence/status/991181833994952704", "991181833994952704")</f>
        <v/>
      </c>
      <c r="B1060" s="2" t="n">
        <v>43221.21225694445</v>
      </c>
      <c r="C1060" t="n">
        <v>2</v>
      </c>
      <c r="D1060" t="n">
        <v>1</v>
      </c>
      <c r="E1060" t="s">
        <v>1063</v>
      </c>
      <c r="F1060" t="s"/>
      <c r="G1060" t="s"/>
      <c r="H1060" t="s"/>
      <c r="I1060" t="s"/>
      <c r="J1060" t="n">
        <v>0.4404</v>
      </c>
      <c r="K1060" t="n">
        <v>0</v>
      </c>
      <c r="L1060" t="n">
        <v>0.892</v>
      </c>
      <c r="M1060" t="n">
        <v>0.108</v>
      </c>
    </row>
    <row r="1061" spans="1:13">
      <c r="A1061" s="1">
        <f>HYPERLINK("http://www.twitter.com/NathanBLawrence/status/991181385351168000", "991181385351168000")</f>
        <v/>
      </c>
      <c r="B1061" s="2" t="n">
        <v>43221.21101851852</v>
      </c>
      <c r="C1061" t="n">
        <v>0</v>
      </c>
      <c r="D1061" t="n">
        <v>3</v>
      </c>
      <c r="E1061" t="s">
        <v>1064</v>
      </c>
      <c r="F1061">
        <f>HYPERLINK("http://pbs.twimg.com/media/DcFaXSSVwAAcXKn.jpg", "http://pbs.twimg.com/media/DcFaXSSVwAAcXKn.jpg")</f>
        <v/>
      </c>
      <c r="G1061" t="s"/>
      <c r="H1061" t="s"/>
      <c r="I1061" t="s"/>
      <c r="J1061" t="n">
        <v>0</v>
      </c>
      <c r="K1061" t="n">
        <v>0</v>
      </c>
      <c r="L1061" t="n">
        <v>1</v>
      </c>
      <c r="M1061" t="n">
        <v>0</v>
      </c>
    </row>
    <row r="1062" spans="1:13">
      <c r="A1062" s="1">
        <f>HYPERLINK("http://www.twitter.com/NathanBLawrence/status/991181349561208832", "991181349561208832")</f>
        <v/>
      </c>
      <c r="B1062" s="2" t="n">
        <v>43221.21091435185</v>
      </c>
      <c r="C1062" t="n">
        <v>0</v>
      </c>
      <c r="D1062" t="n">
        <v>28</v>
      </c>
      <c r="E1062" t="s">
        <v>1065</v>
      </c>
      <c r="F1062" t="s"/>
      <c r="G1062" t="s"/>
      <c r="H1062" t="s"/>
      <c r="I1062" t="s"/>
      <c r="J1062" t="n">
        <v>0.25</v>
      </c>
      <c r="K1062" t="n">
        <v>0.062</v>
      </c>
      <c r="L1062" t="n">
        <v>0.839</v>
      </c>
      <c r="M1062" t="n">
        <v>0.099</v>
      </c>
    </row>
    <row r="1063" spans="1:13">
      <c r="A1063" s="1">
        <f>HYPERLINK("http://www.twitter.com/NathanBLawrence/status/991175047460151296", "991175047460151296")</f>
        <v/>
      </c>
      <c r="B1063" s="2" t="n">
        <v>43221.19353009259</v>
      </c>
      <c r="C1063" t="n">
        <v>6</v>
      </c>
      <c r="D1063" t="n">
        <v>2</v>
      </c>
      <c r="E1063" t="s">
        <v>1066</v>
      </c>
      <c r="F1063" t="s"/>
      <c r="G1063" t="s"/>
      <c r="H1063" t="s"/>
      <c r="I1063" t="s"/>
      <c r="J1063" t="n">
        <v>-0.7579</v>
      </c>
      <c r="K1063" t="n">
        <v>0.208</v>
      </c>
      <c r="L1063" t="n">
        <v>0.728</v>
      </c>
      <c r="M1063" t="n">
        <v>0.064</v>
      </c>
    </row>
    <row r="1064" spans="1:13">
      <c r="A1064" s="1">
        <f>HYPERLINK("http://www.twitter.com/NathanBLawrence/status/991132184642715648", "991132184642715648")</f>
        <v/>
      </c>
      <c r="B1064" s="2" t="n">
        <v>43221.07524305556</v>
      </c>
      <c r="C1064" t="n">
        <v>0</v>
      </c>
      <c r="D1064" t="n">
        <v>4</v>
      </c>
      <c r="E1064" t="s">
        <v>1067</v>
      </c>
      <c r="F1064" t="s"/>
      <c r="G1064" t="s"/>
      <c r="H1064" t="s"/>
      <c r="I1064" t="s"/>
      <c r="J1064" t="n">
        <v>-0.5106000000000001</v>
      </c>
      <c r="K1064" t="n">
        <v>0.171</v>
      </c>
      <c r="L1064" t="n">
        <v>0.829</v>
      </c>
      <c r="M1064" t="n">
        <v>0</v>
      </c>
    </row>
    <row r="1065" spans="1:13">
      <c r="A1065" s="1">
        <f>HYPERLINK("http://www.twitter.com/NathanBLawrence/status/991132135254872064", "991132135254872064")</f>
        <v/>
      </c>
      <c r="B1065" s="2" t="n">
        <v>43221.07511574074</v>
      </c>
      <c r="C1065" t="n">
        <v>0</v>
      </c>
      <c r="D1065" t="n">
        <v>4</v>
      </c>
      <c r="E1065" t="s">
        <v>1068</v>
      </c>
      <c r="F1065" t="s"/>
      <c r="G1065" t="s"/>
      <c r="H1065" t="s"/>
      <c r="I1065" t="s"/>
      <c r="J1065" t="n">
        <v>0.2716</v>
      </c>
      <c r="K1065" t="n">
        <v>0.09</v>
      </c>
      <c r="L1065" t="n">
        <v>0.694</v>
      </c>
      <c r="M1065" t="n">
        <v>0.216</v>
      </c>
    </row>
    <row r="1066" spans="1:13">
      <c r="A1066" s="1">
        <f>HYPERLINK("http://www.twitter.com/NathanBLawrence/status/991127013707669505", "991127013707669505")</f>
        <v/>
      </c>
      <c r="B1066" s="2" t="n">
        <v>43221.06097222222</v>
      </c>
      <c r="C1066" t="n">
        <v>1</v>
      </c>
      <c r="D1066" t="n">
        <v>0</v>
      </c>
      <c r="E1066" t="s">
        <v>1069</v>
      </c>
      <c r="F1066">
        <f>HYPERLINK("http://pbs.twimg.com/media/DcEwwo8WkAIAqku.jpg", "http://pbs.twimg.com/media/DcEwwo8WkAIAqku.jpg")</f>
        <v/>
      </c>
      <c r="G1066" t="s"/>
      <c r="H1066" t="s"/>
      <c r="I1066" t="s"/>
      <c r="J1066" t="n">
        <v>0.4215</v>
      </c>
      <c r="K1066" t="n">
        <v>0</v>
      </c>
      <c r="L1066" t="n">
        <v>0.6820000000000001</v>
      </c>
      <c r="M1066" t="n">
        <v>0.318</v>
      </c>
    </row>
    <row r="1067" spans="1:13">
      <c r="A1067" s="1">
        <f>HYPERLINK("http://www.twitter.com/NathanBLawrence/status/991123423702192128", "991123423702192128")</f>
        <v/>
      </c>
      <c r="B1067" s="2" t="n">
        <v>43221.05107638889</v>
      </c>
      <c r="C1067" t="n">
        <v>6</v>
      </c>
      <c r="D1067" t="n">
        <v>0</v>
      </c>
      <c r="E1067" t="s">
        <v>1070</v>
      </c>
      <c r="F1067">
        <f>HYPERLINK("http://pbs.twimg.com/media/DcEtfnqV4AIpvET.jpg", "http://pbs.twimg.com/media/DcEtfnqV4AIpvET.jpg")</f>
        <v/>
      </c>
      <c r="G1067" t="s"/>
      <c r="H1067" t="s"/>
      <c r="I1067" t="s"/>
      <c r="J1067" t="n">
        <v>0.4389</v>
      </c>
      <c r="K1067" t="n">
        <v>0</v>
      </c>
      <c r="L1067" t="n">
        <v>0.739</v>
      </c>
      <c r="M1067" t="n">
        <v>0.261</v>
      </c>
    </row>
    <row r="1068" spans="1:13">
      <c r="A1068" s="1">
        <f>HYPERLINK("http://www.twitter.com/NathanBLawrence/status/991112030605205504", "991112030605205504")</f>
        <v/>
      </c>
      <c r="B1068" s="2" t="n">
        <v>43221.01962962963</v>
      </c>
      <c r="C1068" t="n">
        <v>0</v>
      </c>
      <c r="D1068" t="n">
        <v>5</v>
      </c>
      <c r="E1068" t="s">
        <v>1071</v>
      </c>
      <c r="F1068" t="s"/>
      <c r="G1068" t="s"/>
      <c r="H1068" t="s"/>
      <c r="I1068" t="s"/>
      <c r="J1068" t="n">
        <v>0.4404</v>
      </c>
      <c r="K1068" t="n">
        <v>0</v>
      </c>
      <c r="L1068" t="n">
        <v>0.868</v>
      </c>
      <c r="M1068" t="n">
        <v>0.132</v>
      </c>
    </row>
    <row r="1069" spans="1:13">
      <c r="A1069" s="1">
        <f>HYPERLINK("http://www.twitter.com/NathanBLawrence/status/991109125030457344", "991109125030457344")</f>
        <v/>
      </c>
      <c r="B1069" s="2" t="n">
        <v>43221.0116087963</v>
      </c>
      <c r="C1069" t="n">
        <v>0</v>
      </c>
      <c r="D1069" t="n">
        <v>2</v>
      </c>
      <c r="E1069" t="s">
        <v>1072</v>
      </c>
      <c r="F1069" t="s"/>
      <c r="G1069" t="s"/>
      <c r="H1069" t="s"/>
      <c r="I1069" t="s"/>
      <c r="J1069" t="n">
        <v>-0.6408</v>
      </c>
      <c r="K1069" t="n">
        <v>0.199</v>
      </c>
      <c r="L1069" t="n">
        <v>0.801</v>
      </c>
      <c r="M1069" t="n">
        <v>0</v>
      </c>
    </row>
    <row r="1070" spans="1:13">
      <c r="A1070" s="1">
        <f>HYPERLINK("http://www.twitter.com/NathanBLawrence/status/991106112828203010", "991106112828203010")</f>
        <v/>
      </c>
      <c r="B1070" s="2" t="n">
        <v>43221.00329861111</v>
      </c>
      <c r="C1070" t="n">
        <v>0</v>
      </c>
      <c r="D1070" t="n">
        <v>2</v>
      </c>
      <c r="E1070" t="s">
        <v>1073</v>
      </c>
      <c r="F1070" t="s"/>
      <c r="G1070" t="s"/>
      <c r="H1070" t="s"/>
      <c r="I1070" t="s"/>
      <c r="J1070" t="n">
        <v>0</v>
      </c>
      <c r="K1070" t="n">
        <v>0</v>
      </c>
      <c r="L1070" t="n">
        <v>1</v>
      </c>
      <c r="M1070" t="n">
        <v>0</v>
      </c>
    </row>
    <row r="1071" spans="1:13">
      <c r="A1071" s="1">
        <f>HYPERLINK("http://www.twitter.com/NathanBLawrence/status/991106038198829056", "991106038198829056")</f>
        <v/>
      </c>
      <c r="B1071" s="2" t="n">
        <v>43221.00310185185</v>
      </c>
      <c r="C1071" t="n">
        <v>0</v>
      </c>
      <c r="D1071" t="n">
        <v>0</v>
      </c>
      <c r="E1071" t="s">
        <v>1074</v>
      </c>
      <c r="F1071" t="s"/>
      <c r="G1071" t="s"/>
      <c r="H1071" t="s"/>
      <c r="I1071" t="s"/>
      <c r="J1071" t="n">
        <v>0</v>
      </c>
      <c r="K1071" t="n">
        <v>0</v>
      </c>
      <c r="L1071" t="n">
        <v>1</v>
      </c>
      <c r="M1071" t="n">
        <v>0</v>
      </c>
    </row>
    <row r="1072" spans="1:13">
      <c r="A1072" s="1">
        <f>HYPERLINK("http://www.twitter.com/NathanBLawrence/status/991105618411913221", "991105618411913221")</f>
        <v/>
      </c>
      <c r="B1072" s="2" t="n">
        <v>43221.00193287037</v>
      </c>
      <c r="C1072" t="n">
        <v>0</v>
      </c>
      <c r="D1072" t="n">
        <v>11</v>
      </c>
      <c r="E1072" t="s">
        <v>1075</v>
      </c>
      <c r="F1072" t="s"/>
      <c r="G1072" t="s"/>
      <c r="H1072" t="s"/>
      <c r="I1072" t="s"/>
      <c r="J1072" t="n">
        <v>-0.3182</v>
      </c>
      <c r="K1072" t="n">
        <v>0.145</v>
      </c>
      <c r="L1072" t="n">
        <v>0.766</v>
      </c>
      <c r="M1072" t="n">
        <v>0.089</v>
      </c>
    </row>
    <row r="1073" spans="1:13">
      <c r="A1073" s="1">
        <f>HYPERLINK("http://www.twitter.com/NathanBLawrence/status/991105528003792896", "991105528003792896")</f>
        <v/>
      </c>
      <c r="B1073" s="2" t="n">
        <v>43221.00168981482</v>
      </c>
      <c r="C1073" t="n">
        <v>1</v>
      </c>
      <c r="D1073" t="n">
        <v>0</v>
      </c>
      <c r="E1073" t="s">
        <v>1076</v>
      </c>
      <c r="F1073" t="s"/>
      <c r="G1073" t="s"/>
      <c r="H1073" t="s"/>
      <c r="I1073" t="s"/>
      <c r="J1073" t="n">
        <v>0.3595</v>
      </c>
      <c r="K1073" t="n">
        <v>0</v>
      </c>
      <c r="L1073" t="n">
        <v>0.839</v>
      </c>
      <c r="M1073" t="n">
        <v>0.161</v>
      </c>
    </row>
    <row r="1074" spans="1:13">
      <c r="A1074" s="1">
        <f>HYPERLINK("http://www.twitter.com/NathanBLawrence/status/991104008050937856", "991104008050937856")</f>
        <v/>
      </c>
      <c r="B1074" s="2" t="n">
        <v>43220.99748842593</v>
      </c>
      <c r="C1074" t="n">
        <v>12</v>
      </c>
      <c r="D1074" t="n">
        <v>11</v>
      </c>
      <c r="E1074" t="s">
        <v>1077</v>
      </c>
      <c r="F1074" t="s"/>
      <c r="G1074" t="s"/>
      <c r="H1074" t="s"/>
      <c r="I1074" t="s"/>
      <c r="J1074" t="n">
        <v>-0.6806</v>
      </c>
      <c r="K1074" t="n">
        <v>0.161</v>
      </c>
      <c r="L1074" t="n">
        <v>0.763</v>
      </c>
      <c r="M1074" t="n">
        <v>0.076</v>
      </c>
    </row>
    <row r="1075" spans="1:13">
      <c r="A1075" s="1">
        <f>HYPERLINK("http://www.twitter.com/NathanBLawrence/status/991101808964710400", "991101808964710400")</f>
        <v/>
      </c>
      <c r="B1075" s="2" t="n">
        <v>43220.99142361111</v>
      </c>
      <c r="C1075" t="n">
        <v>0</v>
      </c>
      <c r="D1075" t="n">
        <v>5150</v>
      </c>
      <c r="E1075" t="s">
        <v>1078</v>
      </c>
      <c r="F1075" t="s"/>
      <c r="G1075" t="s"/>
      <c r="H1075" t="s"/>
      <c r="I1075" t="s"/>
      <c r="J1075" t="n">
        <v>0.2023</v>
      </c>
      <c r="K1075" t="n">
        <v>0.067</v>
      </c>
      <c r="L1075" t="n">
        <v>0.833</v>
      </c>
      <c r="M1075" t="n">
        <v>0.099</v>
      </c>
    </row>
    <row r="1076" spans="1:13">
      <c r="A1076" s="1">
        <f>HYPERLINK("http://www.twitter.com/NathanBLawrence/status/991101789679300614", "991101789679300614")</f>
        <v/>
      </c>
      <c r="B1076" s="2" t="n">
        <v>43220.99137731481</v>
      </c>
      <c r="C1076" t="n">
        <v>0</v>
      </c>
      <c r="D1076" t="n">
        <v>11</v>
      </c>
      <c r="E1076" t="s">
        <v>1079</v>
      </c>
      <c r="F1076" t="s"/>
      <c r="G1076" t="s"/>
      <c r="H1076" t="s"/>
      <c r="I1076" t="s"/>
      <c r="J1076" t="n">
        <v>-0.6269</v>
      </c>
      <c r="K1076" t="n">
        <v>0.37</v>
      </c>
      <c r="L1076" t="n">
        <v>0.63</v>
      </c>
      <c r="M1076" t="n">
        <v>0</v>
      </c>
    </row>
    <row r="1077" spans="1:13">
      <c r="A1077" s="1">
        <f>HYPERLINK("http://www.twitter.com/NathanBLawrence/status/991101726345318401", "991101726345318401")</f>
        <v/>
      </c>
      <c r="B1077" s="2" t="n">
        <v>43220.99119212963</v>
      </c>
      <c r="C1077" t="n">
        <v>0</v>
      </c>
      <c r="D1077" t="n">
        <v>8</v>
      </c>
      <c r="E1077" t="s">
        <v>1080</v>
      </c>
      <c r="F1077" t="s"/>
      <c r="G1077" t="s"/>
      <c r="H1077" t="s"/>
      <c r="I1077" t="s"/>
      <c r="J1077" t="n">
        <v>0.2047</v>
      </c>
      <c r="K1077" t="n">
        <v>0.046</v>
      </c>
      <c r="L1077" t="n">
        <v>0.876</v>
      </c>
      <c r="M1077" t="n">
        <v>0.078</v>
      </c>
    </row>
    <row r="1078" spans="1:13">
      <c r="A1078" s="1">
        <f>HYPERLINK("http://www.twitter.com/NathanBLawrence/status/991101654018772992", "991101654018772992")</f>
        <v/>
      </c>
      <c r="B1078" s="2" t="n">
        <v>43220.99099537037</v>
      </c>
      <c r="C1078" t="n">
        <v>2</v>
      </c>
      <c r="D1078" t="n">
        <v>1</v>
      </c>
      <c r="E1078" t="s">
        <v>1081</v>
      </c>
      <c r="F1078" t="s"/>
      <c r="G1078" t="s"/>
      <c r="H1078" t="s"/>
      <c r="I1078" t="s"/>
      <c r="J1078" t="n">
        <v>0.6597</v>
      </c>
      <c r="K1078" t="n">
        <v>0</v>
      </c>
      <c r="L1078" t="n">
        <v>0.6899999999999999</v>
      </c>
      <c r="M1078" t="n">
        <v>0.31</v>
      </c>
    </row>
    <row r="1079" spans="1:13">
      <c r="A1079" s="1">
        <f>HYPERLINK("http://www.twitter.com/NathanBLawrence/status/991101451094183938", "991101451094183938")</f>
        <v/>
      </c>
      <c r="B1079" s="2" t="n">
        <v>43220.99043981481</v>
      </c>
      <c r="C1079" t="n">
        <v>0</v>
      </c>
      <c r="D1079" t="n">
        <v>11</v>
      </c>
      <c r="E1079" t="s">
        <v>1082</v>
      </c>
      <c r="F1079" t="s"/>
      <c r="G1079" t="s"/>
      <c r="H1079" t="s"/>
      <c r="I1079" t="s"/>
      <c r="J1079" t="n">
        <v>0.504</v>
      </c>
      <c r="K1079" t="n">
        <v>0</v>
      </c>
      <c r="L1079" t="n">
        <v>0.854</v>
      </c>
      <c r="M1079" t="n">
        <v>0.146</v>
      </c>
    </row>
    <row r="1080" spans="1:13">
      <c r="A1080" s="1">
        <f>HYPERLINK("http://www.twitter.com/NathanBLawrence/status/991101344269459457", "991101344269459457")</f>
        <v/>
      </c>
      <c r="B1080" s="2" t="n">
        <v>43220.99013888889</v>
      </c>
      <c r="C1080" t="n">
        <v>0</v>
      </c>
      <c r="D1080" t="n">
        <v>29</v>
      </c>
      <c r="E1080" t="s">
        <v>1083</v>
      </c>
      <c r="F1080" t="s"/>
      <c r="G1080" t="s"/>
      <c r="H1080" t="s"/>
      <c r="I1080" t="s"/>
      <c r="J1080" t="n">
        <v>0.3612</v>
      </c>
      <c r="K1080" t="n">
        <v>0</v>
      </c>
      <c r="L1080" t="n">
        <v>0.894</v>
      </c>
      <c r="M1080" t="n">
        <v>0.106</v>
      </c>
    </row>
    <row r="1081" spans="1:13">
      <c r="A1081" s="1">
        <f>HYPERLINK("http://www.twitter.com/NathanBLawrence/status/991101269967241216", "991101269967241216")</f>
        <v/>
      </c>
      <c r="B1081" s="2" t="n">
        <v>43220.98994212963</v>
      </c>
      <c r="C1081" t="n">
        <v>13</v>
      </c>
      <c r="D1081" t="n">
        <v>11</v>
      </c>
      <c r="E1081" t="s">
        <v>1084</v>
      </c>
      <c r="F1081" t="s"/>
      <c r="G1081" t="s"/>
      <c r="H1081" t="s"/>
      <c r="I1081" t="s"/>
      <c r="J1081" t="n">
        <v>0.5362</v>
      </c>
      <c r="K1081" t="n">
        <v>0</v>
      </c>
      <c r="L1081" t="n">
        <v>0.897</v>
      </c>
      <c r="M1081" t="n">
        <v>0.103</v>
      </c>
    </row>
    <row r="1082" spans="1:13">
      <c r="A1082" s="1">
        <f>HYPERLINK("http://www.twitter.com/NathanBLawrence/status/991100320355938304", "991100320355938304")</f>
        <v/>
      </c>
      <c r="B1082" s="2" t="n">
        <v>43220.98731481482</v>
      </c>
      <c r="C1082" t="n">
        <v>0</v>
      </c>
      <c r="D1082" t="n">
        <v>0</v>
      </c>
      <c r="E1082" t="s">
        <v>1085</v>
      </c>
      <c r="F1082" t="s"/>
      <c r="G1082" t="s"/>
      <c r="H1082" t="s"/>
      <c r="I1082" t="s"/>
      <c r="J1082" t="n">
        <v>-0.5719</v>
      </c>
      <c r="K1082" t="n">
        <v>0.209</v>
      </c>
      <c r="L1082" t="n">
        <v>0.791</v>
      </c>
      <c r="M1082" t="n">
        <v>0</v>
      </c>
    </row>
    <row r="1083" spans="1:13">
      <c r="A1083" s="1">
        <f>HYPERLINK("http://www.twitter.com/NathanBLawrence/status/991100096082268160", "991100096082268160")</f>
        <v/>
      </c>
      <c r="B1083" s="2" t="n">
        <v>43220.98670138889</v>
      </c>
      <c r="C1083" t="n">
        <v>0</v>
      </c>
      <c r="D1083" t="n">
        <v>3</v>
      </c>
      <c r="E1083" t="s">
        <v>1086</v>
      </c>
      <c r="F1083" t="s"/>
      <c r="G1083" t="s"/>
      <c r="H1083" t="s"/>
      <c r="I1083" t="s"/>
      <c r="J1083" t="n">
        <v>0.4588</v>
      </c>
      <c r="K1083" t="n">
        <v>0</v>
      </c>
      <c r="L1083" t="n">
        <v>0.833</v>
      </c>
      <c r="M1083" t="n">
        <v>0.167</v>
      </c>
    </row>
    <row r="1084" spans="1:13">
      <c r="A1084" s="1">
        <f>HYPERLINK("http://www.twitter.com/NathanBLawrence/status/991100011839705088", "991100011839705088")</f>
        <v/>
      </c>
      <c r="B1084" s="2" t="n">
        <v>43220.98646990741</v>
      </c>
      <c r="C1084" t="n">
        <v>11</v>
      </c>
      <c r="D1084" t="n">
        <v>8</v>
      </c>
      <c r="E1084" t="s">
        <v>1087</v>
      </c>
      <c r="F1084" t="s"/>
      <c r="G1084" t="s"/>
      <c r="H1084" t="s"/>
      <c r="I1084" t="s"/>
      <c r="J1084" t="n">
        <v>0.2047</v>
      </c>
      <c r="K1084" t="n">
        <v>0.038</v>
      </c>
      <c r="L1084" t="n">
        <v>0.897</v>
      </c>
      <c r="M1084" t="n">
        <v>0.065</v>
      </c>
    </row>
    <row r="1085" spans="1:13">
      <c r="A1085" s="1">
        <f>HYPERLINK("http://www.twitter.com/NathanBLawrence/status/991099119505682432", "991099119505682432")</f>
        <v/>
      </c>
      <c r="B1085" s="2" t="n">
        <v>43220.98400462963</v>
      </c>
      <c r="C1085" t="n">
        <v>0</v>
      </c>
      <c r="D1085" t="n">
        <v>1405</v>
      </c>
      <c r="E1085" t="s">
        <v>1088</v>
      </c>
      <c r="F1085" t="s"/>
      <c r="G1085" t="s"/>
      <c r="H1085" t="s"/>
      <c r="I1085" t="s"/>
      <c r="J1085" t="n">
        <v>0</v>
      </c>
      <c r="K1085" t="n">
        <v>0</v>
      </c>
      <c r="L1085" t="n">
        <v>1</v>
      </c>
      <c r="M1085" t="n">
        <v>0</v>
      </c>
    </row>
    <row r="1086" spans="1:13">
      <c r="A1086" s="1">
        <f>HYPERLINK("http://www.twitter.com/NathanBLawrence/status/991099104330702848", "991099104330702848")</f>
        <v/>
      </c>
      <c r="B1086" s="2" t="n">
        <v>43220.98395833333</v>
      </c>
      <c r="C1086" t="n">
        <v>0</v>
      </c>
      <c r="D1086" t="n">
        <v>1264</v>
      </c>
      <c r="E1086" t="s">
        <v>1089</v>
      </c>
      <c r="F1086" t="s"/>
      <c r="G1086" t="s"/>
      <c r="H1086" t="s"/>
      <c r="I1086" t="s"/>
      <c r="J1086" t="n">
        <v>-0.7506</v>
      </c>
      <c r="K1086" t="n">
        <v>0.268</v>
      </c>
      <c r="L1086" t="n">
        <v>0.68</v>
      </c>
      <c r="M1086" t="n">
        <v>0.052</v>
      </c>
    </row>
    <row r="1087" spans="1:13">
      <c r="A1087" s="1">
        <f>HYPERLINK("http://www.twitter.com/NathanBLawrence/status/991099035783172096", "991099035783172096")</f>
        <v/>
      </c>
      <c r="B1087" s="2" t="n">
        <v>43220.98377314815</v>
      </c>
      <c r="C1087" t="n">
        <v>0</v>
      </c>
      <c r="D1087" t="n">
        <v>5</v>
      </c>
      <c r="E1087" t="s">
        <v>1090</v>
      </c>
      <c r="F1087" t="s"/>
      <c r="G1087" t="s"/>
      <c r="H1087" t="s"/>
      <c r="I1087" t="s"/>
      <c r="J1087" t="n">
        <v>0.6597</v>
      </c>
      <c r="K1087" t="n">
        <v>0.066</v>
      </c>
      <c r="L1087" t="n">
        <v>0.698</v>
      </c>
      <c r="M1087" t="n">
        <v>0.236</v>
      </c>
    </row>
    <row r="1088" spans="1:13">
      <c r="A1088" s="1">
        <f>HYPERLINK("http://www.twitter.com/NathanBLawrence/status/991098665006706688", "991098665006706688")</f>
        <v/>
      </c>
      <c r="B1088" s="2" t="n">
        <v>43220.98275462963</v>
      </c>
      <c r="C1088" t="n">
        <v>0</v>
      </c>
      <c r="D1088" t="n">
        <v>13</v>
      </c>
      <c r="E1088" t="s">
        <v>1091</v>
      </c>
      <c r="F1088" t="s"/>
      <c r="G1088" t="s"/>
      <c r="H1088" t="s"/>
      <c r="I1088" t="s"/>
      <c r="J1088" t="n">
        <v>-0.1027</v>
      </c>
      <c r="K1088" t="n">
        <v>0.08</v>
      </c>
      <c r="L1088" t="n">
        <v>0.92</v>
      </c>
      <c r="M1088" t="n">
        <v>0</v>
      </c>
    </row>
    <row r="1089" spans="1:13">
      <c r="A1089" s="1">
        <f>HYPERLINK("http://www.twitter.com/NathanBLawrence/status/991098657280876544", "991098657280876544")</f>
        <v/>
      </c>
      <c r="B1089" s="2" t="n">
        <v>43220.98273148148</v>
      </c>
      <c r="C1089" t="n">
        <v>0</v>
      </c>
      <c r="D1089" t="n">
        <v>5</v>
      </c>
      <c r="E1089" t="s">
        <v>1092</v>
      </c>
      <c r="F1089" t="s"/>
      <c r="G1089" t="s"/>
      <c r="H1089" t="s"/>
      <c r="I1089" t="s"/>
      <c r="J1089" t="n">
        <v>0.4776</v>
      </c>
      <c r="K1089" t="n">
        <v>0</v>
      </c>
      <c r="L1089" t="n">
        <v>0.871</v>
      </c>
      <c r="M1089" t="n">
        <v>0.129</v>
      </c>
    </row>
    <row r="1090" spans="1:13">
      <c r="A1090" s="1">
        <f>HYPERLINK("http://www.twitter.com/NathanBLawrence/status/991098562875482113", "991098562875482113")</f>
        <v/>
      </c>
      <c r="B1090" s="2" t="n">
        <v>43220.98246527778</v>
      </c>
      <c r="C1090" t="n">
        <v>0</v>
      </c>
      <c r="D1090" t="n">
        <v>3</v>
      </c>
      <c r="E1090" t="s">
        <v>1093</v>
      </c>
      <c r="F1090" t="s"/>
      <c r="G1090" t="s"/>
      <c r="H1090" t="s"/>
      <c r="I1090" t="s"/>
      <c r="J1090" t="n">
        <v>0</v>
      </c>
      <c r="K1090" t="n">
        <v>0</v>
      </c>
      <c r="L1090" t="n">
        <v>1</v>
      </c>
      <c r="M1090" t="n">
        <v>0</v>
      </c>
    </row>
    <row r="1091" spans="1:13">
      <c r="A1091" s="1">
        <f>HYPERLINK("http://www.twitter.com/NathanBLawrence/status/991098531049017351", "991098531049017351")</f>
        <v/>
      </c>
      <c r="B1091" s="2" t="n">
        <v>43220.98238425926</v>
      </c>
      <c r="C1091" t="n">
        <v>0</v>
      </c>
      <c r="D1091" t="n">
        <v>5</v>
      </c>
      <c r="E1091" t="s">
        <v>1094</v>
      </c>
      <c r="F1091">
        <f>HYPERLINK("http://pbs.twimg.com/media/DcEF9s1WAAEyQ3E.jpg", "http://pbs.twimg.com/media/DcEF9s1WAAEyQ3E.jpg")</f>
        <v/>
      </c>
      <c r="G1091" t="s"/>
      <c r="H1091" t="s"/>
      <c r="I1091" t="s"/>
      <c r="J1091" t="n">
        <v>-0.3818</v>
      </c>
      <c r="K1091" t="n">
        <v>0.12</v>
      </c>
      <c r="L1091" t="n">
        <v>0.88</v>
      </c>
      <c r="M1091" t="n">
        <v>0</v>
      </c>
    </row>
    <row r="1092" spans="1:13">
      <c r="A1092" s="1">
        <f>HYPERLINK("http://www.twitter.com/NathanBLawrence/status/991098478729334784", "991098478729334784")</f>
        <v/>
      </c>
      <c r="B1092" s="2" t="n">
        <v>43220.9822337963</v>
      </c>
      <c r="C1092" t="n">
        <v>0</v>
      </c>
      <c r="D1092" t="n">
        <v>4</v>
      </c>
      <c r="E1092" t="s">
        <v>1095</v>
      </c>
      <c r="F1092" t="s"/>
      <c r="G1092" t="s"/>
      <c r="H1092" t="s"/>
      <c r="I1092" t="s"/>
      <c r="J1092" t="n">
        <v>0</v>
      </c>
      <c r="K1092" t="n">
        <v>0</v>
      </c>
      <c r="L1092" t="n">
        <v>1</v>
      </c>
      <c r="M1092" t="n">
        <v>0</v>
      </c>
    </row>
    <row r="1093" spans="1:13">
      <c r="A1093" s="1">
        <f>HYPERLINK("http://www.twitter.com/NathanBLawrence/status/991098397942800384", "991098397942800384")</f>
        <v/>
      </c>
      <c r="B1093" s="2" t="n">
        <v>43220.98201388889</v>
      </c>
      <c r="C1093" t="n">
        <v>0</v>
      </c>
      <c r="D1093" t="n">
        <v>3</v>
      </c>
      <c r="E1093" t="s">
        <v>1096</v>
      </c>
      <c r="F1093">
        <f>HYPERLINK("http://pbs.twimg.com/media/DcEHk8DUwAAQHpc.jpg", "http://pbs.twimg.com/media/DcEHk8DUwAAQHpc.jpg")</f>
        <v/>
      </c>
      <c r="G1093" t="s"/>
      <c r="H1093" t="s"/>
      <c r="I1093" t="s"/>
      <c r="J1093" t="n">
        <v>0</v>
      </c>
      <c r="K1093" t="n">
        <v>0</v>
      </c>
      <c r="L1093" t="n">
        <v>1</v>
      </c>
      <c r="M1093" t="n">
        <v>0</v>
      </c>
    </row>
    <row r="1094" spans="1:13">
      <c r="A1094" s="1">
        <f>HYPERLINK("http://www.twitter.com/NathanBLawrence/status/991098281206927360", "991098281206927360")</f>
        <v/>
      </c>
      <c r="B1094" s="2" t="n">
        <v>43220.98168981481</v>
      </c>
      <c r="C1094" t="n">
        <v>0</v>
      </c>
      <c r="D1094" t="n">
        <v>9</v>
      </c>
      <c r="E1094" t="s">
        <v>1097</v>
      </c>
      <c r="F1094" t="s"/>
      <c r="G1094" t="s"/>
      <c r="H1094" t="s"/>
      <c r="I1094" t="s"/>
      <c r="J1094" t="n">
        <v>-0.6369</v>
      </c>
      <c r="K1094" t="n">
        <v>0.229</v>
      </c>
      <c r="L1094" t="n">
        <v>0.6850000000000001</v>
      </c>
      <c r="M1094" t="n">
        <v>0.08599999999999999</v>
      </c>
    </row>
    <row r="1095" spans="1:13">
      <c r="A1095" s="1">
        <f>HYPERLINK("http://www.twitter.com/NathanBLawrence/status/991098246771695616", "991098246771695616")</f>
        <v/>
      </c>
      <c r="B1095" s="2" t="n">
        <v>43220.98159722222</v>
      </c>
      <c r="C1095" t="n">
        <v>0</v>
      </c>
      <c r="D1095" t="n">
        <v>7</v>
      </c>
      <c r="E1095" t="s">
        <v>1098</v>
      </c>
      <c r="F1095" t="s"/>
      <c r="G1095" t="s"/>
      <c r="H1095" t="s"/>
      <c r="I1095" t="s"/>
      <c r="J1095" t="n">
        <v>-0.5574</v>
      </c>
      <c r="K1095" t="n">
        <v>0.173</v>
      </c>
      <c r="L1095" t="n">
        <v>0.827</v>
      </c>
      <c r="M1095" t="n">
        <v>0</v>
      </c>
    </row>
    <row r="1096" spans="1:13">
      <c r="A1096" s="1">
        <f>HYPERLINK("http://www.twitter.com/NathanBLawrence/status/991098220079190019", "991098220079190019")</f>
        <v/>
      </c>
      <c r="B1096" s="2" t="n">
        <v>43220.98152777777</v>
      </c>
      <c r="C1096" t="n">
        <v>0</v>
      </c>
      <c r="D1096" t="n">
        <v>5</v>
      </c>
      <c r="E1096" t="s">
        <v>1099</v>
      </c>
      <c r="F1096" t="s"/>
      <c r="G1096" t="s"/>
      <c r="H1096" t="s"/>
      <c r="I1096" t="s"/>
      <c r="J1096" t="n">
        <v>-0.3182</v>
      </c>
      <c r="K1096" t="n">
        <v>0.091</v>
      </c>
      <c r="L1096" t="n">
        <v>0.909</v>
      </c>
      <c r="M1096" t="n">
        <v>0</v>
      </c>
    </row>
    <row r="1097" spans="1:13">
      <c r="A1097" s="1">
        <f>HYPERLINK("http://www.twitter.com/NathanBLawrence/status/991098202286944256", "991098202286944256")</f>
        <v/>
      </c>
      <c r="B1097" s="2" t="n">
        <v>43220.9814699074</v>
      </c>
      <c r="C1097" t="n">
        <v>0</v>
      </c>
      <c r="D1097" t="n">
        <v>5</v>
      </c>
      <c r="E1097" t="s">
        <v>1100</v>
      </c>
      <c r="F1097">
        <f>HYPERLINK("http://pbs.twimg.com/media/DcEMHPkVAAA5ZHf.jpg", "http://pbs.twimg.com/media/DcEMHPkVAAA5ZHf.jpg")</f>
        <v/>
      </c>
      <c r="G1097" t="s"/>
      <c r="H1097" t="s"/>
      <c r="I1097" t="s"/>
      <c r="J1097" t="n">
        <v>-0.541</v>
      </c>
      <c r="K1097" t="n">
        <v>0.17</v>
      </c>
      <c r="L1097" t="n">
        <v>0.83</v>
      </c>
      <c r="M1097" t="n">
        <v>0</v>
      </c>
    </row>
    <row r="1098" spans="1:13">
      <c r="A1098" s="1">
        <f>HYPERLINK("http://www.twitter.com/NathanBLawrence/status/991098163711959040", "991098163711959040")</f>
        <v/>
      </c>
      <c r="B1098" s="2" t="n">
        <v>43220.98136574074</v>
      </c>
      <c r="C1098" t="n">
        <v>0</v>
      </c>
      <c r="D1098" t="n">
        <v>24</v>
      </c>
      <c r="E1098" t="s">
        <v>1101</v>
      </c>
      <c r="F1098">
        <f>HYPERLINK("http://pbs.twimg.com/media/DcEMswAXcA0fD3j.jpg", "http://pbs.twimg.com/media/DcEMswAXcA0fD3j.jpg")</f>
        <v/>
      </c>
      <c r="G1098" t="s"/>
      <c r="H1098" t="s"/>
      <c r="I1098" t="s"/>
      <c r="J1098" t="n">
        <v>0</v>
      </c>
      <c r="K1098" t="n">
        <v>0</v>
      </c>
      <c r="L1098" t="n">
        <v>1</v>
      </c>
      <c r="M1098" t="n">
        <v>0</v>
      </c>
    </row>
    <row r="1099" spans="1:13">
      <c r="A1099" s="1">
        <f>HYPERLINK("http://www.twitter.com/NathanBLawrence/status/991098147924520961", "991098147924520961")</f>
        <v/>
      </c>
      <c r="B1099" s="2" t="n">
        <v>43220.98131944444</v>
      </c>
      <c r="C1099" t="n">
        <v>0</v>
      </c>
      <c r="D1099" t="n">
        <v>8</v>
      </c>
      <c r="E1099" t="s">
        <v>1102</v>
      </c>
      <c r="F1099" t="s"/>
      <c r="G1099" t="s"/>
      <c r="H1099" t="s"/>
      <c r="I1099" t="s"/>
      <c r="J1099" t="n">
        <v>0</v>
      </c>
      <c r="K1099" t="n">
        <v>0</v>
      </c>
      <c r="L1099" t="n">
        <v>1</v>
      </c>
      <c r="M1099" t="n">
        <v>0</v>
      </c>
    </row>
    <row r="1100" spans="1:13">
      <c r="A1100" s="1">
        <f>HYPERLINK("http://www.twitter.com/NathanBLawrence/status/991098134070747136", "991098134070747136")</f>
        <v/>
      </c>
      <c r="B1100" s="2" t="n">
        <v>43220.98128472222</v>
      </c>
      <c r="C1100" t="n">
        <v>0</v>
      </c>
      <c r="D1100" t="n">
        <v>5</v>
      </c>
      <c r="E1100" t="s">
        <v>1103</v>
      </c>
      <c r="F1100" t="s"/>
      <c r="G1100" t="s"/>
      <c r="H1100" t="s"/>
      <c r="I1100" t="s"/>
      <c r="J1100" t="n">
        <v>0.2401</v>
      </c>
      <c r="K1100" t="n">
        <v>0</v>
      </c>
      <c r="L1100" t="n">
        <v>0.885</v>
      </c>
      <c r="M1100" t="n">
        <v>0.115</v>
      </c>
    </row>
    <row r="1101" spans="1:13">
      <c r="A1101" s="1">
        <f>HYPERLINK("http://www.twitter.com/NathanBLawrence/status/991098102093352960", "991098102093352960")</f>
        <v/>
      </c>
      <c r="B1101" s="2" t="n">
        <v>43220.98119212963</v>
      </c>
      <c r="C1101" t="n">
        <v>0</v>
      </c>
      <c r="D1101" t="n">
        <v>7</v>
      </c>
      <c r="E1101" t="s">
        <v>1104</v>
      </c>
      <c r="F1101" t="s"/>
      <c r="G1101" t="s"/>
      <c r="H1101" t="s"/>
      <c r="I1101" t="s"/>
      <c r="J1101" t="n">
        <v>0.6588000000000001</v>
      </c>
      <c r="K1101" t="n">
        <v>0</v>
      </c>
      <c r="L1101" t="n">
        <v>0.614</v>
      </c>
      <c r="M1101" t="n">
        <v>0.386</v>
      </c>
    </row>
    <row r="1102" spans="1:13">
      <c r="A1102" s="1">
        <f>HYPERLINK("http://www.twitter.com/NathanBLawrence/status/991098045084459009", "991098045084459009")</f>
        <v/>
      </c>
      <c r="B1102" s="2" t="n">
        <v>43220.98104166667</v>
      </c>
      <c r="C1102" t="n">
        <v>0</v>
      </c>
      <c r="D1102" t="n">
        <v>4</v>
      </c>
      <c r="E1102" t="s">
        <v>1105</v>
      </c>
      <c r="F1102" t="s"/>
      <c r="G1102" t="s"/>
      <c r="H1102" t="s"/>
      <c r="I1102" t="s"/>
      <c r="J1102" t="n">
        <v>0</v>
      </c>
      <c r="K1102" t="n">
        <v>0</v>
      </c>
      <c r="L1102" t="n">
        <v>1</v>
      </c>
      <c r="M1102" t="n">
        <v>0</v>
      </c>
    </row>
    <row r="1103" spans="1:13">
      <c r="A1103" s="1">
        <f>HYPERLINK("http://www.twitter.com/NathanBLawrence/status/991097958346231809", "991097958346231809")</f>
        <v/>
      </c>
      <c r="B1103" s="2" t="n">
        <v>43220.98079861111</v>
      </c>
      <c r="C1103" t="n">
        <v>0</v>
      </c>
      <c r="D1103" t="n">
        <v>3</v>
      </c>
      <c r="E1103" t="s">
        <v>1106</v>
      </c>
      <c r="F1103" t="s"/>
      <c r="G1103" t="s"/>
      <c r="H1103" t="s"/>
      <c r="I1103" t="s"/>
      <c r="J1103" t="n">
        <v>0.5837</v>
      </c>
      <c r="K1103" t="n">
        <v>0</v>
      </c>
      <c r="L1103" t="n">
        <v>0.8139999999999999</v>
      </c>
      <c r="M1103" t="n">
        <v>0.186</v>
      </c>
    </row>
    <row r="1104" spans="1:13">
      <c r="A1104" s="1">
        <f>HYPERLINK("http://www.twitter.com/NathanBLawrence/status/991097932567937024", "991097932567937024")</f>
        <v/>
      </c>
      <c r="B1104" s="2" t="n">
        <v>43220.98072916667</v>
      </c>
      <c r="C1104" t="n">
        <v>0</v>
      </c>
      <c r="D1104" t="n">
        <v>3</v>
      </c>
      <c r="E1104" t="s">
        <v>1107</v>
      </c>
      <c r="F1104" t="s"/>
      <c r="G1104" t="s"/>
      <c r="H1104" t="s"/>
      <c r="I1104" t="s"/>
      <c r="J1104" t="n">
        <v>0</v>
      </c>
      <c r="K1104" t="n">
        <v>0</v>
      </c>
      <c r="L1104" t="n">
        <v>1</v>
      </c>
      <c r="M1104" t="n">
        <v>0</v>
      </c>
    </row>
    <row r="1105" spans="1:13">
      <c r="A1105" s="1">
        <f>HYPERLINK("http://www.twitter.com/NathanBLawrence/status/991097701696704514", "991097701696704514")</f>
        <v/>
      </c>
      <c r="B1105" s="2" t="n">
        <v>43220.9800925926</v>
      </c>
      <c r="C1105" t="n">
        <v>0</v>
      </c>
      <c r="D1105" t="n">
        <v>10</v>
      </c>
      <c r="E1105" t="s">
        <v>1108</v>
      </c>
      <c r="F1105" t="s"/>
      <c r="G1105" t="s"/>
      <c r="H1105" t="s"/>
      <c r="I1105" t="s"/>
      <c r="J1105" t="n">
        <v>0.3182</v>
      </c>
      <c r="K1105" t="n">
        <v>0</v>
      </c>
      <c r="L1105" t="n">
        <v>0.913</v>
      </c>
      <c r="M1105" t="n">
        <v>0.08699999999999999</v>
      </c>
    </row>
    <row r="1106" spans="1:13">
      <c r="A1106" s="1">
        <f>HYPERLINK("http://www.twitter.com/NathanBLawrence/status/991097660466704384", "991097660466704384")</f>
        <v/>
      </c>
      <c r="B1106" s="2" t="n">
        <v>43220.97997685185</v>
      </c>
      <c r="C1106" t="n">
        <v>6</v>
      </c>
      <c r="D1106" t="n">
        <v>5</v>
      </c>
      <c r="E1106" t="s">
        <v>1109</v>
      </c>
      <c r="F1106" t="s"/>
      <c r="G1106" t="s"/>
      <c r="H1106" t="s"/>
      <c r="I1106" t="s"/>
      <c r="J1106" t="n">
        <v>0.5255</v>
      </c>
      <c r="K1106" t="n">
        <v>0.104</v>
      </c>
      <c r="L1106" t="n">
        <v>0.729</v>
      </c>
      <c r="M1106" t="n">
        <v>0.166</v>
      </c>
    </row>
    <row r="1107" spans="1:13">
      <c r="A1107" s="1">
        <f>HYPERLINK("http://www.twitter.com/NathanBLawrence/status/991097356165812225", "991097356165812225")</f>
        <v/>
      </c>
      <c r="B1107" s="2" t="n">
        <v>43220.97914351852</v>
      </c>
      <c r="C1107" t="n">
        <v>0</v>
      </c>
      <c r="D1107" t="n">
        <v>11</v>
      </c>
      <c r="E1107" t="s">
        <v>1110</v>
      </c>
      <c r="F1107" t="s"/>
      <c r="G1107" t="s"/>
      <c r="H1107" t="s"/>
      <c r="I1107" t="s"/>
      <c r="J1107" t="n">
        <v>-0.296</v>
      </c>
      <c r="K1107" t="n">
        <v>0.104</v>
      </c>
      <c r="L1107" t="n">
        <v>0.896</v>
      </c>
      <c r="M1107" t="n">
        <v>0</v>
      </c>
    </row>
    <row r="1108" spans="1:13">
      <c r="A1108" s="1">
        <f>HYPERLINK("http://www.twitter.com/NathanBLawrence/status/991097257658286080", "991097257658286080")</f>
        <v/>
      </c>
      <c r="B1108" s="2" t="n">
        <v>43220.97886574074</v>
      </c>
      <c r="C1108" t="n">
        <v>0</v>
      </c>
      <c r="D1108" t="n">
        <v>34</v>
      </c>
      <c r="E1108" t="s">
        <v>1111</v>
      </c>
      <c r="F1108" t="s"/>
      <c r="G1108" t="s"/>
      <c r="H1108" t="s"/>
      <c r="I1108" t="s"/>
      <c r="J1108" t="n">
        <v>-0.6908</v>
      </c>
      <c r="K1108" t="n">
        <v>0.213</v>
      </c>
      <c r="L1108" t="n">
        <v>0.787</v>
      </c>
      <c r="M1108" t="n">
        <v>0</v>
      </c>
    </row>
    <row r="1109" spans="1:13">
      <c r="A1109" s="1">
        <f>HYPERLINK("http://www.twitter.com/NathanBLawrence/status/991097237525626881", "991097237525626881")</f>
        <v/>
      </c>
      <c r="B1109" s="2" t="n">
        <v>43220.97880787037</v>
      </c>
      <c r="C1109" t="n">
        <v>0</v>
      </c>
      <c r="D1109" t="n">
        <v>11</v>
      </c>
      <c r="E1109" t="s">
        <v>1112</v>
      </c>
      <c r="F1109" t="s"/>
      <c r="G1109" t="s"/>
      <c r="H1109" t="s"/>
      <c r="I1109" t="s"/>
      <c r="J1109" t="n">
        <v>-0.5106000000000001</v>
      </c>
      <c r="K1109" t="n">
        <v>0.121</v>
      </c>
      <c r="L1109" t="n">
        <v>0.879</v>
      </c>
      <c r="M1109" t="n">
        <v>0</v>
      </c>
    </row>
    <row r="1110" spans="1:13">
      <c r="A1110" s="1">
        <f>HYPERLINK("http://www.twitter.com/NathanBLawrence/status/991097222770102278", "991097222770102278")</f>
        <v/>
      </c>
      <c r="B1110" s="2" t="n">
        <v>43220.97877314815</v>
      </c>
      <c r="C1110" t="n">
        <v>0</v>
      </c>
      <c r="D1110" t="n">
        <v>9</v>
      </c>
      <c r="E1110" t="s">
        <v>1113</v>
      </c>
      <c r="F1110" t="s"/>
      <c r="G1110" t="s"/>
      <c r="H1110" t="s"/>
      <c r="I1110" t="s"/>
      <c r="J1110" t="n">
        <v>-0.8807</v>
      </c>
      <c r="K1110" t="n">
        <v>0.327</v>
      </c>
      <c r="L1110" t="n">
        <v>0.673</v>
      </c>
      <c r="M1110" t="n">
        <v>0</v>
      </c>
    </row>
    <row r="1111" spans="1:13">
      <c r="A1111" s="1">
        <f>HYPERLINK("http://www.twitter.com/NathanBLawrence/status/991097203358945282", "991097203358945282")</f>
        <v/>
      </c>
      <c r="B1111" s="2" t="n">
        <v>43220.97871527778</v>
      </c>
      <c r="C1111" t="n">
        <v>0</v>
      </c>
      <c r="D1111" t="n">
        <v>6</v>
      </c>
      <c r="E1111" t="s">
        <v>1114</v>
      </c>
      <c r="F1111" t="s"/>
      <c r="G1111" t="s"/>
      <c r="H1111" t="s"/>
      <c r="I1111" t="s"/>
      <c r="J1111" t="n">
        <v>0</v>
      </c>
      <c r="K1111" t="n">
        <v>0</v>
      </c>
      <c r="L1111" t="n">
        <v>1</v>
      </c>
      <c r="M1111" t="n">
        <v>0</v>
      </c>
    </row>
    <row r="1112" spans="1:13">
      <c r="A1112" s="1">
        <f>HYPERLINK("http://www.twitter.com/NathanBLawrence/status/991097184803319808", "991097184803319808")</f>
        <v/>
      </c>
      <c r="B1112" s="2" t="n">
        <v>43220.97866898148</v>
      </c>
      <c r="C1112" t="n">
        <v>2</v>
      </c>
      <c r="D1112" t="n">
        <v>0</v>
      </c>
      <c r="E1112" t="s">
        <v>1115</v>
      </c>
      <c r="F1112" t="s"/>
      <c r="G1112" t="s"/>
      <c r="H1112" t="s"/>
      <c r="I1112" t="s"/>
      <c r="J1112" t="n">
        <v>0.1027</v>
      </c>
      <c r="K1112" t="n">
        <v>0.261</v>
      </c>
      <c r="L1112" t="n">
        <v>0.435</v>
      </c>
      <c r="M1112" t="n">
        <v>0.304</v>
      </c>
    </row>
    <row r="1113" spans="1:13">
      <c r="A1113" s="1">
        <f>HYPERLINK("http://www.twitter.com/NathanBLawrence/status/991097152624562178", "991097152624562178")</f>
        <v/>
      </c>
      <c r="B1113" s="2" t="n">
        <v>43220.97857638889</v>
      </c>
      <c r="C1113" t="n">
        <v>0</v>
      </c>
      <c r="D1113" t="n">
        <v>9</v>
      </c>
      <c r="E1113" t="s">
        <v>1116</v>
      </c>
      <c r="F1113" t="s"/>
      <c r="G1113" t="s"/>
      <c r="H1113" t="s"/>
      <c r="I1113" t="s"/>
      <c r="J1113" t="n">
        <v>0</v>
      </c>
      <c r="K1113" t="n">
        <v>0</v>
      </c>
      <c r="L1113" t="n">
        <v>1</v>
      </c>
      <c r="M1113" t="n">
        <v>0</v>
      </c>
    </row>
    <row r="1114" spans="1:13">
      <c r="A1114" s="1">
        <f>HYPERLINK("http://www.twitter.com/NathanBLawrence/status/991097142050787328", "991097142050787328")</f>
        <v/>
      </c>
      <c r="B1114" s="2" t="n">
        <v>43220.97855324074</v>
      </c>
      <c r="C1114" t="n">
        <v>0</v>
      </c>
      <c r="D1114" t="n">
        <v>17</v>
      </c>
      <c r="E1114" t="s">
        <v>1117</v>
      </c>
      <c r="F1114" t="s"/>
      <c r="G1114" t="s"/>
      <c r="H1114" t="s"/>
      <c r="I1114" t="s"/>
      <c r="J1114" t="n">
        <v>0</v>
      </c>
      <c r="K1114" t="n">
        <v>0</v>
      </c>
      <c r="L1114" t="n">
        <v>1</v>
      </c>
      <c r="M1114" t="n">
        <v>0</v>
      </c>
    </row>
    <row r="1115" spans="1:13">
      <c r="A1115" s="1">
        <f>HYPERLINK("http://www.twitter.com/NathanBLawrence/status/991097125520990215", "991097125520990215")</f>
        <v/>
      </c>
      <c r="B1115" s="2" t="n">
        <v>43220.97850694445</v>
      </c>
      <c r="C1115" t="n">
        <v>0</v>
      </c>
      <c r="D1115" t="n">
        <v>72</v>
      </c>
      <c r="E1115" t="s">
        <v>1118</v>
      </c>
      <c r="F1115" t="s"/>
      <c r="G1115" t="s"/>
      <c r="H1115" t="s"/>
      <c r="I1115" t="s"/>
      <c r="J1115" t="n">
        <v>-0.5423</v>
      </c>
      <c r="K1115" t="n">
        <v>0.204</v>
      </c>
      <c r="L1115" t="n">
        <v>0.735</v>
      </c>
      <c r="M1115" t="n">
        <v>0.061</v>
      </c>
    </row>
    <row r="1116" spans="1:13">
      <c r="A1116" s="1">
        <f>HYPERLINK("http://www.twitter.com/NathanBLawrence/status/991097109662392320", "991097109662392320")</f>
        <v/>
      </c>
      <c r="B1116" s="2" t="n">
        <v>43220.97846064815</v>
      </c>
      <c r="C1116" t="n">
        <v>0</v>
      </c>
      <c r="D1116" t="n">
        <v>18</v>
      </c>
      <c r="E1116" t="s">
        <v>1119</v>
      </c>
      <c r="F1116" t="s"/>
      <c r="G1116" t="s"/>
      <c r="H1116" t="s"/>
      <c r="I1116" t="s"/>
      <c r="J1116" t="n">
        <v>0.264</v>
      </c>
      <c r="K1116" t="n">
        <v>0.08599999999999999</v>
      </c>
      <c r="L1116" t="n">
        <v>0.788</v>
      </c>
      <c r="M1116" t="n">
        <v>0.126</v>
      </c>
    </row>
    <row r="1117" spans="1:13">
      <c r="A1117" s="1">
        <f>HYPERLINK("http://www.twitter.com/NathanBLawrence/status/991097098098692096", "991097098098692096")</f>
        <v/>
      </c>
      <c r="B1117" s="2" t="n">
        <v>43220.97842592592</v>
      </c>
      <c r="C1117" t="n">
        <v>0</v>
      </c>
      <c r="D1117" t="n">
        <v>47</v>
      </c>
      <c r="E1117" t="s">
        <v>1120</v>
      </c>
      <c r="F1117" t="s"/>
      <c r="G1117" t="s"/>
      <c r="H1117" t="s"/>
      <c r="I1117" t="s"/>
      <c r="J1117" t="n">
        <v>0</v>
      </c>
      <c r="K1117" t="n">
        <v>0</v>
      </c>
      <c r="L1117" t="n">
        <v>1</v>
      </c>
      <c r="M1117" t="n">
        <v>0</v>
      </c>
    </row>
    <row r="1118" spans="1:13">
      <c r="A1118" s="1">
        <f>HYPERLINK("http://www.twitter.com/NathanBLawrence/status/991097017471520773", "991097017471520773")</f>
        <v/>
      </c>
      <c r="B1118" s="2" t="n">
        <v>43220.97820601852</v>
      </c>
      <c r="C1118" t="n">
        <v>0</v>
      </c>
      <c r="D1118" t="n">
        <v>18</v>
      </c>
      <c r="E1118" t="s">
        <v>1121</v>
      </c>
      <c r="F1118">
        <f>HYPERLINK("http://pbs.twimg.com/media/DcEVYnTX4AAwnac.jpg", "http://pbs.twimg.com/media/DcEVYnTX4AAwnac.jpg")</f>
        <v/>
      </c>
      <c r="G1118" t="s"/>
      <c r="H1118" t="s"/>
      <c r="I1118" t="s"/>
      <c r="J1118" t="n">
        <v>0</v>
      </c>
      <c r="K1118" t="n">
        <v>0</v>
      </c>
      <c r="L1118" t="n">
        <v>1</v>
      </c>
      <c r="M1118" t="n">
        <v>0</v>
      </c>
    </row>
    <row r="1119" spans="1:13">
      <c r="A1119" s="1">
        <f>HYPERLINK("http://www.twitter.com/NathanBLawrence/status/991096940455751681", "991096940455751681")</f>
        <v/>
      </c>
      <c r="B1119" s="2" t="n">
        <v>43220.97798611111</v>
      </c>
      <c r="C1119" t="n">
        <v>0</v>
      </c>
      <c r="D1119" t="n">
        <v>3039</v>
      </c>
      <c r="E1119" t="s">
        <v>1122</v>
      </c>
      <c r="F1119" t="s"/>
      <c r="G1119" t="s"/>
      <c r="H1119" t="s"/>
      <c r="I1119" t="s"/>
      <c r="J1119" t="n">
        <v>0</v>
      </c>
      <c r="K1119" t="n">
        <v>0</v>
      </c>
      <c r="L1119" t="n">
        <v>1</v>
      </c>
      <c r="M1119" t="n">
        <v>0</v>
      </c>
    </row>
    <row r="1120" spans="1:13">
      <c r="A1120" s="1">
        <f>HYPERLINK("http://www.twitter.com/NathanBLawrence/status/991096913725476864", "991096913725476864")</f>
        <v/>
      </c>
      <c r="B1120" s="2" t="n">
        <v>43220.97791666666</v>
      </c>
      <c r="C1120" t="n">
        <v>29</v>
      </c>
      <c r="D1120" t="n">
        <v>18</v>
      </c>
      <c r="E1120" t="s">
        <v>1123</v>
      </c>
      <c r="F1120">
        <f>HYPERLINK("http://pbs.twimg.com/media/DcEVYnTX4AAwnac.jpg", "http://pbs.twimg.com/media/DcEVYnTX4AAwnac.jpg")</f>
        <v/>
      </c>
      <c r="G1120" t="s"/>
      <c r="H1120" t="s"/>
      <c r="I1120" t="s"/>
      <c r="J1120" t="n">
        <v>0.5411</v>
      </c>
      <c r="K1120" t="n">
        <v>0.062</v>
      </c>
      <c r="L1120" t="n">
        <v>0.797</v>
      </c>
      <c r="M1120" t="n">
        <v>0.14</v>
      </c>
    </row>
    <row r="1121" spans="1:13">
      <c r="A1121" s="1">
        <f>HYPERLINK("http://www.twitter.com/NathanBLawrence/status/991092310170619904", "991092310170619904")</f>
        <v/>
      </c>
      <c r="B1121" s="2" t="n">
        <v>43220.9652199074</v>
      </c>
      <c r="C1121" t="n">
        <v>0</v>
      </c>
      <c r="D1121" t="n">
        <v>40</v>
      </c>
      <c r="E1121" t="s">
        <v>1124</v>
      </c>
      <c r="F1121">
        <f>HYPERLINK("http://pbs.twimg.com/media/DcEP1EyVAAAAJtl.jpg", "http://pbs.twimg.com/media/DcEP1EyVAAAAJtl.jpg")</f>
        <v/>
      </c>
      <c r="G1121" t="s"/>
      <c r="H1121" t="s"/>
      <c r="I1121" t="s"/>
      <c r="J1121" t="n">
        <v>0</v>
      </c>
      <c r="K1121" t="n">
        <v>0</v>
      </c>
      <c r="L1121" t="n">
        <v>1</v>
      </c>
      <c r="M1121" t="n">
        <v>0</v>
      </c>
    </row>
    <row r="1122" spans="1:13">
      <c r="A1122" s="1">
        <f>HYPERLINK("http://www.twitter.com/NathanBLawrence/status/991092299517087744", "991092299517087744")</f>
        <v/>
      </c>
      <c r="B1122" s="2" t="n">
        <v>43220.96518518519</v>
      </c>
      <c r="C1122" t="n">
        <v>2</v>
      </c>
      <c r="D1122" t="n">
        <v>0</v>
      </c>
      <c r="E1122" t="s">
        <v>1125</v>
      </c>
      <c r="F1122" t="s"/>
      <c r="G1122" t="s"/>
      <c r="H1122" t="s"/>
      <c r="I1122" t="s"/>
      <c r="J1122" t="n">
        <v>0.4215</v>
      </c>
      <c r="K1122" t="n">
        <v>0</v>
      </c>
      <c r="L1122" t="n">
        <v>0.263</v>
      </c>
      <c r="M1122" t="n">
        <v>0.737</v>
      </c>
    </row>
    <row r="1123" spans="1:13">
      <c r="A1123" s="1">
        <f>HYPERLINK("http://www.twitter.com/NathanBLawrence/status/991032025854435329", "991032025854435329")</f>
        <v/>
      </c>
      <c r="B1123" s="2" t="n">
        <v>43220.79886574074</v>
      </c>
      <c r="C1123" t="n">
        <v>0</v>
      </c>
      <c r="D1123" t="n">
        <v>7552</v>
      </c>
      <c r="E1123" t="s">
        <v>1126</v>
      </c>
      <c r="F1123" t="s"/>
      <c r="G1123" t="s"/>
      <c r="H1123" t="s"/>
      <c r="I1123" t="s"/>
      <c r="J1123" t="n">
        <v>0.2342</v>
      </c>
      <c r="K1123" t="n">
        <v>0.188</v>
      </c>
      <c r="L1123" t="n">
        <v>0.592</v>
      </c>
      <c r="M1123" t="n">
        <v>0.22</v>
      </c>
    </row>
    <row r="1124" spans="1:13">
      <c r="A1124" s="1">
        <f>HYPERLINK("http://www.twitter.com/NathanBLawrence/status/991031939456032772", "991031939456032772")</f>
        <v/>
      </c>
      <c r="B1124" s="2" t="n">
        <v>43220.79862268519</v>
      </c>
      <c r="C1124" t="n">
        <v>0</v>
      </c>
      <c r="D1124" t="n">
        <v>4</v>
      </c>
      <c r="E1124" t="s">
        <v>1127</v>
      </c>
      <c r="F1124" t="s"/>
      <c r="G1124" t="s"/>
      <c r="H1124" t="s"/>
      <c r="I1124" t="s"/>
      <c r="J1124" t="n">
        <v>0.2023</v>
      </c>
      <c r="K1124" t="n">
        <v>0.123</v>
      </c>
      <c r="L1124" t="n">
        <v>0.678</v>
      </c>
      <c r="M1124" t="n">
        <v>0.199</v>
      </c>
    </row>
    <row r="1125" spans="1:13">
      <c r="A1125" s="1">
        <f>HYPERLINK("http://www.twitter.com/NathanBLawrence/status/991031926747168769", "991031926747168769")</f>
        <v/>
      </c>
      <c r="B1125" s="2" t="n">
        <v>43220.79858796296</v>
      </c>
      <c r="C1125" t="n">
        <v>0</v>
      </c>
      <c r="D1125" t="n">
        <v>8</v>
      </c>
      <c r="E1125" t="s">
        <v>1127</v>
      </c>
      <c r="F1125">
        <f>HYPERLINK("http://pbs.twimg.com/media/DcDJlchXUAAFwDh.jpg", "http://pbs.twimg.com/media/DcDJlchXUAAFwDh.jpg")</f>
        <v/>
      </c>
      <c r="G1125" t="s"/>
      <c r="H1125" t="s"/>
      <c r="I1125" t="s"/>
      <c r="J1125" t="n">
        <v>0.2023</v>
      </c>
      <c r="K1125" t="n">
        <v>0.123</v>
      </c>
      <c r="L1125" t="n">
        <v>0.678</v>
      </c>
      <c r="M1125" t="n">
        <v>0.199</v>
      </c>
    </row>
    <row r="1126" spans="1:13">
      <c r="A1126" s="1">
        <f>HYPERLINK("http://www.twitter.com/NathanBLawrence/status/991031912276865025", "991031912276865025")</f>
        <v/>
      </c>
      <c r="B1126" s="2" t="n">
        <v>43220.79855324074</v>
      </c>
      <c r="C1126" t="n">
        <v>0</v>
      </c>
      <c r="D1126" t="n">
        <v>5</v>
      </c>
      <c r="E1126" t="s">
        <v>1128</v>
      </c>
      <c r="F1126" t="s"/>
      <c r="G1126" t="s"/>
      <c r="H1126" t="s"/>
      <c r="I1126" t="s"/>
      <c r="J1126" t="n">
        <v>-0.5411</v>
      </c>
      <c r="K1126" t="n">
        <v>0.149</v>
      </c>
      <c r="L1126" t="n">
        <v>0.851</v>
      </c>
      <c r="M1126" t="n">
        <v>0</v>
      </c>
    </row>
    <row r="1127" spans="1:13">
      <c r="A1127" s="1">
        <f>HYPERLINK("http://www.twitter.com/NathanBLawrence/status/991031892744065027", "991031892744065027")</f>
        <v/>
      </c>
      <c r="B1127" s="2" t="n">
        <v>43220.79849537037</v>
      </c>
      <c r="C1127" t="n">
        <v>0</v>
      </c>
      <c r="D1127" t="n">
        <v>4</v>
      </c>
      <c r="E1127" t="s">
        <v>1129</v>
      </c>
      <c r="F1127" t="s"/>
      <c r="G1127" t="s"/>
      <c r="H1127" t="s"/>
      <c r="I1127" t="s"/>
      <c r="J1127" t="n">
        <v>-0.2732</v>
      </c>
      <c r="K1127" t="n">
        <v>0.1</v>
      </c>
      <c r="L1127" t="n">
        <v>0.9</v>
      </c>
      <c r="M1127" t="n">
        <v>0</v>
      </c>
    </row>
    <row r="1128" spans="1:13">
      <c r="A1128" s="1">
        <f>HYPERLINK("http://www.twitter.com/NathanBLawrence/status/991031827556196352", "991031827556196352")</f>
        <v/>
      </c>
      <c r="B1128" s="2" t="n">
        <v>43220.79831018519</v>
      </c>
      <c r="C1128" t="n">
        <v>0</v>
      </c>
      <c r="D1128" t="n">
        <v>3</v>
      </c>
      <c r="E1128" t="s">
        <v>1130</v>
      </c>
      <c r="F1128" t="s"/>
      <c r="G1128" t="s"/>
      <c r="H1128" t="s"/>
      <c r="I1128" t="s"/>
      <c r="J1128" t="n">
        <v>0</v>
      </c>
      <c r="K1128" t="n">
        <v>0</v>
      </c>
      <c r="L1128" t="n">
        <v>1</v>
      </c>
      <c r="M1128" t="n">
        <v>0</v>
      </c>
    </row>
    <row r="1129" spans="1:13">
      <c r="A1129" s="1">
        <f>HYPERLINK("http://www.twitter.com/NathanBLawrence/status/991031695242678272", "991031695242678272")</f>
        <v/>
      </c>
      <c r="B1129" s="2" t="n">
        <v>43220.79795138889</v>
      </c>
      <c r="C1129" t="n">
        <v>0</v>
      </c>
      <c r="D1129" t="n">
        <v>4</v>
      </c>
      <c r="E1129" t="s">
        <v>1131</v>
      </c>
      <c r="F1129">
        <f>HYPERLINK("http://pbs.twimg.com/media/DcDTtFrWkAAnA8R.jpg", "http://pbs.twimg.com/media/DcDTtFrWkAAnA8R.jpg")</f>
        <v/>
      </c>
      <c r="G1129" t="s"/>
      <c r="H1129" t="s"/>
      <c r="I1129" t="s"/>
      <c r="J1129" t="n">
        <v>0</v>
      </c>
      <c r="K1129" t="n">
        <v>0</v>
      </c>
      <c r="L1129" t="n">
        <v>1</v>
      </c>
      <c r="M1129" t="n">
        <v>0</v>
      </c>
    </row>
    <row r="1130" spans="1:13">
      <c r="A1130" s="1">
        <f>HYPERLINK("http://www.twitter.com/NathanBLawrence/status/991031667631456256", "991031667631456256")</f>
        <v/>
      </c>
      <c r="B1130" s="2" t="n">
        <v>43220.79787037037</v>
      </c>
      <c r="C1130" t="n">
        <v>0</v>
      </c>
      <c r="D1130" t="n">
        <v>8</v>
      </c>
      <c r="E1130" t="s">
        <v>1132</v>
      </c>
      <c r="F1130" t="s"/>
      <c r="G1130" t="s"/>
      <c r="H1130" t="s"/>
      <c r="I1130" t="s"/>
      <c r="J1130" t="n">
        <v>0.4939</v>
      </c>
      <c r="K1130" t="n">
        <v>0</v>
      </c>
      <c r="L1130" t="n">
        <v>0.802</v>
      </c>
      <c r="M1130" t="n">
        <v>0.198</v>
      </c>
    </row>
    <row r="1131" spans="1:13">
      <c r="A1131" s="1">
        <f>HYPERLINK("http://www.twitter.com/NathanBLawrence/status/991031579140153345", "991031579140153345")</f>
        <v/>
      </c>
      <c r="B1131" s="2" t="n">
        <v>43220.79762731482</v>
      </c>
      <c r="C1131" t="n">
        <v>0</v>
      </c>
      <c r="D1131" t="n">
        <v>18</v>
      </c>
      <c r="E1131" t="s">
        <v>1133</v>
      </c>
      <c r="F1131">
        <f>HYPERLINK("http://pbs.twimg.com/media/DcDMyHgWkAAABwq.jpg", "http://pbs.twimg.com/media/DcDMyHgWkAAABwq.jpg")</f>
        <v/>
      </c>
      <c r="G1131" t="s"/>
      <c r="H1131" t="s"/>
      <c r="I1131" t="s"/>
      <c r="J1131" t="n">
        <v>0</v>
      </c>
      <c r="K1131" t="n">
        <v>0</v>
      </c>
      <c r="L1131" t="n">
        <v>1</v>
      </c>
      <c r="M1131" t="n">
        <v>0</v>
      </c>
    </row>
    <row r="1132" spans="1:13">
      <c r="A1132" s="1">
        <f>HYPERLINK("http://www.twitter.com/NathanBLawrence/status/991012779443277824", "991012779443277824")</f>
        <v/>
      </c>
      <c r="B1132" s="2" t="n">
        <v>43220.74575231481</v>
      </c>
      <c r="C1132" t="n">
        <v>0</v>
      </c>
      <c r="D1132" t="n">
        <v>571</v>
      </c>
      <c r="E1132" t="s">
        <v>1134</v>
      </c>
      <c r="F1132" t="s"/>
      <c r="G1132" t="s"/>
      <c r="H1132" t="s"/>
      <c r="I1132" t="s"/>
      <c r="J1132" t="n">
        <v>0</v>
      </c>
      <c r="K1132" t="n">
        <v>0</v>
      </c>
      <c r="L1132" t="n">
        <v>1</v>
      </c>
      <c r="M1132" t="n">
        <v>0</v>
      </c>
    </row>
    <row r="1133" spans="1:13">
      <c r="A1133" s="1">
        <f>HYPERLINK("http://www.twitter.com/NathanBLawrence/status/991012756588556293", "991012756588556293")</f>
        <v/>
      </c>
      <c r="B1133" s="2" t="n">
        <v>43220.74568287037</v>
      </c>
      <c r="C1133" t="n">
        <v>0</v>
      </c>
      <c r="D1133" t="n">
        <v>246</v>
      </c>
      <c r="E1133" t="s">
        <v>1135</v>
      </c>
      <c r="F1133" t="s"/>
      <c r="G1133" t="s"/>
      <c r="H1133" t="s"/>
      <c r="I1133" t="s"/>
      <c r="J1133" t="n">
        <v>0</v>
      </c>
      <c r="K1133" t="n">
        <v>0</v>
      </c>
      <c r="L1133" t="n">
        <v>1</v>
      </c>
      <c r="M1133" t="n">
        <v>0</v>
      </c>
    </row>
    <row r="1134" spans="1:13">
      <c r="A1134" s="1">
        <f>HYPERLINK("http://www.twitter.com/NathanBLawrence/status/991012718500032512", "991012718500032512")</f>
        <v/>
      </c>
      <c r="B1134" s="2" t="n">
        <v>43220.7455787037</v>
      </c>
      <c r="C1134" t="n">
        <v>0</v>
      </c>
      <c r="D1134" t="n">
        <v>29</v>
      </c>
      <c r="E1134" t="s">
        <v>1136</v>
      </c>
      <c r="F1134" t="s"/>
      <c r="G1134" t="s"/>
      <c r="H1134" t="s"/>
      <c r="I1134" t="s"/>
      <c r="J1134" t="n">
        <v>-0.3804</v>
      </c>
      <c r="K1134" t="n">
        <v>0.11</v>
      </c>
      <c r="L1134" t="n">
        <v>0.89</v>
      </c>
      <c r="M1134" t="n">
        <v>0</v>
      </c>
    </row>
    <row r="1135" spans="1:13">
      <c r="A1135" s="1">
        <f>HYPERLINK("http://www.twitter.com/NathanBLawrence/status/991012687277682688", "991012687277682688")</f>
        <v/>
      </c>
      <c r="B1135" s="2" t="n">
        <v>43220.74549768519</v>
      </c>
      <c r="C1135" t="n">
        <v>0</v>
      </c>
      <c r="D1135" t="n">
        <v>129</v>
      </c>
      <c r="E1135" t="s">
        <v>1137</v>
      </c>
      <c r="F1135">
        <f>HYPERLINK("http://pbs.twimg.com/media/Db_i67HVMAUJ6FR.jpg", "http://pbs.twimg.com/media/Db_i67HVMAUJ6FR.jpg")</f>
        <v/>
      </c>
      <c r="G1135" t="s"/>
      <c r="H1135" t="s"/>
      <c r="I1135" t="s"/>
      <c r="J1135" t="n">
        <v>0.4404</v>
      </c>
      <c r="K1135" t="n">
        <v>0</v>
      </c>
      <c r="L1135" t="n">
        <v>0.828</v>
      </c>
      <c r="M1135" t="n">
        <v>0.172</v>
      </c>
    </row>
    <row r="1136" spans="1:13">
      <c r="A1136" s="1">
        <f>HYPERLINK("http://www.twitter.com/NathanBLawrence/status/991012666008395778", "991012666008395778")</f>
        <v/>
      </c>
      <c r="B1136" s="2" t="n">
        <v>43220.74543981482</v>
      </c>
      <c r="C1136" t="n">
        <v>0</v>
      </c>
      <c r="D1136" t="n">
        <v>426</v>
      </c>
      <c r="E1136" t="s">
        <v>1138</v>
      </c>
      <c r="F1136">
        <f>HYPERLINK("http://pbs.twimg.com/media/Db-m0LJW0AY-pCa.jpg", "http://pbs.twimg.com/media/Db-m0LJW0AY-pCa.jpg")</f>
        <v/>
      </c>
      <c r="G1136" t="s"/>
      <c r="H1136" t="s"/>
      <c r="I1136" t="s"/>
      <c r="J1136" t="n">
        <v>0.3818</v>
      </c>
      <c r="K1136" t="n">
        <v>0</v>
      </c>
      <c r="L1136" t="n">
        <v>0.714</v>
      </c>
      <c r="M1136" t="n">
        <v>0.286</v>
      </c>
    </row>
    <row r="1137" spans="1:13">
      <c r="A1137" s="1">
        <f>HYPERLINK("http://www.twitter.com/NathanBLawrence/status/991012618809815044", "991012618809815044")</f>
        <v/>
      </c>
      <c r="B1137" s="2" t="n">
        <v>43220.7453125</v>
      </c>
      <c r="C1137" t="n">
        <v>0</v>
      </c>
      <c r="D1137" t="n">
        <v>267</v>
      </c>
      <c r="E1137" t="s">
        <v>1139</v>
      </c>
      <c r="F1137" t="s"/>
      <c r="G1137" t="s"/>
      <c r="H1137" t="s"/>
      <c r="I1137" t="s"/>
      <c r="J1137" t="n">
        <v>-0.5719</v>
      </c>
      <c r="K1137" t="n">
        <v>0.282</v>
      </c>
      <c r="L1137" t="n">
        <v>0.618</v>
      </c>
      <c r="M1137" t="n">
        <v>0.1</v>
      </c>
    </row>
    <row r="1138" spans="1:13">
      <c r="A1138" s="1">
        <f>HYPERLINK("http://www.twitter.com/NathanBLawrence/status/991012568855646208", "991012568855646208")</f>
        <v/>
      </c>
      <c r="B1138" s="2" t="n">
        <v>43220.74517361111</v>
      </c>
      <c r="C1138" t="n">
        <v>0</v>
      </c>
      <c r="D1138" t="n">
        <v>178</v>
      </c>
      <c r="E1138" t="s">
        <v>1140</v>
      </c>
      <c r="F1138" t="s"/>
      <c r="G1138" t="s"/>
      <c r="H1138" t="s"/>
      <c r="I1138" t="s"/>
      <c r="J1138" t="n">
        <v>0.128</v>
      </c>
      <c r="K1138" t="n">
        <v>0</v>
      </c>
      <c r="L1138" t="n">
        <v>0.9330000000000001</v>
      </c>
      <c r="M1138" t="n">
        <v>0.067</v>
      </c>
    </row>
    <row r="1139" spans="1:13">
      <c r="A1139" s="1">
        <f>HYPERLINK("http://www.twitter.com/NathanBLawrence/status/991012542821617664", "991012542821617664")</f>
        <v/>
      </c>
      <c r="B1139" s="2" t="n">
        <v>43220.7450925926</v>
      </c>
      <c r="C1139" t="n">
        <v>0</v>
      </c>
      <c r="D1139" t="n">
        <v>195</v>
      </c>
      <c r="E1139" t="s">
        <v>1141</v>
      </c>
      <c r="F1139" t="s"/>
      <c r="G1139" t="s"/>
      <c r="H1139" t="s"/>
      <c r="I1139" t="s"/>
      <c r="J1139" t="n">
        <v>0.3612</v>
      </c>
      <c r="K1139" t="n">
        <v>0</v>
      </c>
      <c r="L1139" t="n">
        <v>0.889</v>
      </c>
      <c r="M1139" t="n">
        <v>0.111</v>
      </c>
    </row>
    <row r="1140" spans="1:13">
      <c r="A1140" s="1">
        <f>HYPERLINK("http://www.twitter.com/NathanBLawrence/status/991012405936177152", "991012405936177152")</f>
        <v/>
      </c>
      <c r="B1140" s="2" t="n">
        <v>43220.74472222223</v>
      </c>
      <c r="C1140" t="n">
        <v>0</v>
      </c>
      <c r="D1140" t="n">
        <v>235</v>
      </c>
      <c r="E1140" t="s">
        <v>1142</v>
      </c>
      <c r="F1140" t="s"/>
      <c r="G1140" t="s"/>
      <c r="H1140" t="s"/>
      <c r="I1140" t="s"/>
      <c r="J1140" t="n">
        <v>0</v>
      </c>
      <c r="K1140" t="n">
        <v>0</v>
      </c>
      <c r="L1140" t="n">
        <v>1</v>
      </c>
      <c r="M1140" t="n">
        <v>0</v>
      </c>
    </row>
    <row r="1141" spans="1:13">
      <c r="A1141" s="1">
        <f>HYPERLINK("http://www.twitter.com/NathanBLawrence/status/991012388198547457", "991012388198547457")</f>
        <v/>
      </c>
      <c r="B1141" s="2" t="n">
        <v>43220.74467592593</v>
      </c>
      <c r="C1141" t="n">
        <v>0</v>
      </c>
      <c r="D1141" t="n">
        <v>432</v>
      </c>
      <c r="E1141" t="s">
        <v>1143</v>
      </c>
      <c r="F1141" t="s"/>
      <c r="G1141" t="s"/>
      <c r="H1141" t="s"/>
      <c r="I1141" t="s"/>
      <c r="J1141" t="n">
        <v>0</v>
      </c>
      <c r="K1141" t="n">
        <v>0</v>
      </c>
      <c r="L1141" t="n">
        <v>1</v>
      </c>
      <c r="M1141" t="n">
        <v>0</v>
      </c>
    </row>
    <row r="1142" spans="1:13">
      <c r="A1142" s="1">
        <f>HYPERLINK("http://www.twitter.com/NathanBLawrence/status/991012365234827265", "991012365234827265")</f>
        <v/>
      </c>
      <c r="B1142" s="2" t="n">
        <v>43220.74460648148</v>
      </c>
      <c r="C1142" t="n">
        <v>0</v>
      </c>
      <c r="D1142" t="n">
        <v>645</v>
      </c>
      <c r="E1142" t="s">
        <v>1144</v>
      </c>
      <c r="F1142" t="s"/>
      <c r="G1142" t="s"/>
      <c r="H1142" t="s"/>
      <c r="I1142" t="s"/>
      <c r="J1142" t="n">
        <v>0.4404</v>
      </c>
      <c r="K1142" t="n">
        <v>0</v>
      </c>
      <c r="L1142" t="n">
        <v>0.879</v>
      </c>
      <c r="M1142" t="n">
        <v>0.121</v>
      </c>
    </row>
    <row r="1143" spans="1:13">
      <c r="A1143" s="1">
        <f>HYPERLINK("http://www.twitter.com/NathanBLawrence/status/991012335803338753", "991012335803338753")</f>
        <v/>
      </c>
      <c r="B1143" s="2" t="n">
        <v>43220.74452546296</v>
      </c>
      <c r="C1143" t="n">
        <v>0</v>
      </c>
      <c r="D1143" t="n">
        <v>221</v>
      </c>
      <c r="E1143" t="s">
        <v>1145</v>
      </c>
      <c r="F1143" t="s"/>
      <c r="G1143" t="s"/>
      <c r="H1143" t="s"/>
      <c r="I1143" t="s"/>
      <c r="J1143" t="n">
        <v>-0.4767</v>
      </c>
      <c r="K1143" t="n">
        <v>0.114</v>
      </c>
      <c r="L1143" t="n">
        <v>0.886</v>
      </c>
      <c r="M1143" t="n">
        <v>0</v>
      </c>
    </row>
    <row r="1144" spans="1:13">
      <c r="A1144" s="1">
        <f>HYPERLINK("http://www.twitter.com/NathanBLawrence/status/991012324898148353", "991012324898148353")</f>
        <v/>
      </c>
      <c r="B1144" s="2" t="n">
        <v>43220.74450231482</v>
      </c>
      <c r="C1144" t="n">
        <v>0</v>
      </c>
      <c r="D1144" t="n">
        <v>230</v>
      </c>
      <c r="E1144" t="s">
        <v>1146</v>
      </c>
      <c r="F1144" t="s"/>
      <c r="G1144" t="s"/>
      <c r="H1144" t="s"/>
      <c r="I1144" t="s"/>
      <c r="J1144" t="n">
        <v>-0.8222</v>
      </c>
      <c r="K1144" t="n">
        <v>0.34</v>
      </c>
      <c r="L1144" t="n">
        <v>0.578</v>
      </c>
      <c r="M1144" t="n">
        <v>0.082</v>
      </c>
    </row>
    <row r="1145" spans="1:13">
      <c r="A1145" s="1">
        <f>HYPERLINK("http://www.twitter.com/NathanBLawrence/status/991012282082656257", "991012282082656257")</f>
        <v/>
      </c>
      <c r="B1145" s="2" t="n">
        <v>43220.744375</v>
      </c>
      <c r="C1145" t="n">
        <v>0</v>
      </c>
      <c r="D1145" t="n">
        <v>216</v>
      </c>
      <c r="E1145" t="s">
        <v>1147</v>
      </c>
      <c r="F1145" t="s"/>
      <c r="G1145" t="s"/>
      <c r="H1145" t="s"/>
      <c r="I1145" t="s"/>
      <c r="J1145" t="n">
        <v>-0.7443</v>
      </c>
      <c r="K1145" t="n">
        <v>0.249</v>
      </c>
      <c r="L1145" t="n">
        <v>0.751</v>
      </c>
      <c r="M1145" t="n">
        <v>0</v>
      </c>
    </row>
    <row r="1146" spans="1:13">
      <c r="A1146" s="1">
        <f>HYPERLINK("http://www.twitter.com/NathanBLawrence/status/991012257671909376", "991012257671909376")</f>
        <v/>
      </c>
      <c r="B1146" s="2" t="n">
        <v>43220.74431712963</v>
      </c>
      <c r="C1146" t="n">
        <v>0</v>
      </c>
      <c r="D1146" t="n">
        <v>200</v>
      </c>
      <c r="E1146" t="s">
        <v>1148</v>
      </c>
      <c r="F1146" t="s"/>
      <c r="G1146" t="s"/>
      <c r="H1146" t="s"/>
      <c r="I1146" t="s"/>
      <c r="J1146" t="n">
        <v>-0.6908</v>
      </c>
      <c r="K1146" t="n">
        <v>0.318</v>
      </c>
      <c r="L1146" t="n">
        <v>0.588</v>
      </c>
      <c r="M1146" t="n">
        <v>0.094</v>
      </c>
    </row>
    <row r="1147" spans="1:13">
      <c r="A1147" s="1">
        <f>HYPERLINK("http://www.twitter.com/NathanBLawrence/status/991006138769592320", "991006138769592320")</f>
        <v/>
      </c>
      <c r="B1147" s="2" t="n">
        <v>43220.72743055555</v>
      </c>
      <c r="C1147" t="n">
        <v>0</v>
      </c>
      <c r="D1147" t="n">
        <v>113</v>
      </c>
      <c r="E1147" t="s">
        <v>1149</v>
      </c>
      <c r="F1147" t="s"/>
      <c r="G1147" t="s"/>
      <c r="H1147" t="s"/>
      <c r="I1147" t="s"/>
      <c r="J1147" t="n">
        <v>0</v>
      </c>
      <c r="K1147" t="n">
        <v>0</v>
      </c>
      <c r="L1147" t="n">
        <v>1</v>
      </c>
      <c r="M1147" t="n">
        <v>0</v>
      </c>
    </row>
    <row r="1148" spans="1:13">
      <c r="A1148" s="1">
        <f>HYPERLINK("http://www.twitter.com/NathanBLawrence/status/991006121560346624", "991006121560346624")</f>
        <v/>
      </c>
      <c r="B1148" s="2" t="n">
        <v>43220.72738425926</v>
      </c>
      <c r="C1148" t="n">
        <v>0</v>
      </c>
      <c r="D1148" t="n">
        <v>9</v>
      </c>
      <c r="E1148" t="s">
        <v>1150</v>
      </c>
      <c r="F1148" t="s"/>
      <c r="G1148" t="s"/>
      <c r="H1148" t="s"/>
      <c r="I1148" t="s"/>
      <c r="J1148" t="n">
        <v>-0.7632</v>
      </c>
      <c r="K1148" t="n">
        <v>0.484</v>
      </c>
      <c r="L1148" t="n">
        <v>0.516</v>
      </c>
      <c r="M1148" t="n">
        <v>0</v>
      </c>
    </row>
    <row r="1149" spans="1:13">
      <c r="A1149" s="1">
        <f>HYPERLINK("http://www.twitter.com/NathanBLawrence/status/991006103017263109", "991006103017263109")</f>
        <v/>
      </c>
      <c r="B1149" s="2" t="n">
        <v>43220.72732638889</v>
      </c>
      <c r="C1149" t="n">
        <v>0</v>
      </c>
      <c r="D1149" t="n">
        <v>3</v>
      </c>
      <c r="E1149" t="s">
        <v>1151</v>
      </c>
      <c r="F1149" t="s"/>
      <c r="G1149" t="s"/>
      <c r="H1149" t="s"/>
      <c r="I1149" t="s"/>
      <c r="J1149" t="n">
        <v>-0.4404</v>
      </c>
      <c r="K1149" t="n">
        <v>0.195</v>
      </c>
      <c r="L1149" t="n">
        <v>0.805</v>
      </c>
      <c r="M1149" t="n">
        <v>0</v>
      </c>
    </row>
    <row r="1150" spans="1:13">
      <c r="A1150" s="1">
        <f>HYPERLINK("http://www.twitter.com/NathanBLawrence/status/991006087640944642", "991006087640944642")</f>
        <v/>
      </c>
      <c r="B1150" s="2" t="n">
        <v>43220.72728009259</v>
      </c>
      <c r="C1150" t="n">
        <v>0</v>
      </c>
      <c r="D1150" t="n">
        <v>174</v>
      </c>
      <c r="E1150" t="s">
        <v>1152</v>
      </c>
      <c r="F1150" t="s"/>
      <c r="G1150" t="s"/>
      <c r="H1150" t="s"/>
      <c r="I1150" t="s"/>
      <c r="J1150" t="n">
        <v>0</v>
      </c>
      <c r="K1150" t="n">
        <v>0</v>
      </c>
      <c r="L1150" t="n">
        <v>1</v>
      </c>
      <c r="M1150" t="n">
        <v>0</v>
      </c>
    </row>
    <row r="1151" spans="1:13">
      <c r="A1151" s="1">
        <f>HYPERLINK("http://www.twitter.com/NathanBLawrence/status/991005951170838529", "991005951170838529")</f>
        <v/>
      </c>
      <c r="B1151" s="2" t="n">
        <v>43220.72690972222</v>
      </c>
      <c r="C1151" t="n">
        <v>0</v>
      </c>
      <c r="D1151" t="n">
        <v>321</v>
      </c>
      <c r="E1151" t="s">
        <v>1153</v>
      </c>
      <c r="F1151" t="s"/>
      <c r="G1151" t="s"/>
      <c r="H1151" t="s"/>
      <c r="I1151" t="s"/>
      <c r="J1151" t="n">
        <v>0.7783</v>
      </c>
      <c r="K1151" t="n">
        <v>0</v>
      </c>
      <c r="L1151" t="n">
        <v>0.746</v>
      </c>
      <c r="M1151" t="n">
        <v>0.254</v>
      </c>
    </row>
    <row r="1152" spans="1:13">
      <c r="A1152" s="1">
        <f>HYPERLINK("http://www.twitter.com/NathanBLawrence/status/991005932137205760", "991005932137205760")</f>
        <v/>
      </c>
      <c r="B1152" s="2" t="n">
        <v>43220.72685185185</v>
      </c>
      <c r="C1152" t="n">
        <v>0</v>
      </c>
      <c r="D1152" t="n">
        <v>524</v>
      </c>
      <c r="E1152" t="s">
        <v>1154</v>
      </c>
      <c r="F1152" t="s"/>
      <c r="G1152" t="s"/>
      <c r="H1152" t="s"/>
      <c r="I1152" t="s"/>
      <c r="J1152" t="n">
        <v>0.3182</v>
      </c>
      <c r="K1152" t="n">
        <v>0</v>
      </c>
      <c r="L1152" t="n">
        <v>0.859</v>
      </c>
      <c r="M1152" t="n">
        <v>0.141</v>
      </c>
    </row>
    <row r="1153" spans="1:13">
      <c r="A1153" s="1">
        <f>HYPERLINK("http://www.twitter.com/NathanBLawrence/status/991005920636358659", "991005920636358659")</f>
        <v/>
      </c>
      <c r="B1153" s="2" t="n">
        <v>43220.7268287037</v>
      </c>
      <c r="C1153" t="n">
        <v>0</v>
      </c>
      <c r="D1153" t="n">
        <v>50</v>
      </c>
      <c r="E1153" t="s">
        <v>1155</v>
      </c>
      <c r="F1153" t="s"/>
      <c r="G1153" t="s"/>
      <c r="H1153" t="s"/>
      <c r="I1153" t="s"/>
      <c r="J1153" t="n">
        <v>0.5213</v>
      </c>
      <c r="K1153" t="n">
        <v>0</v>
      </c>
      <c r="L1153" t="n">
        <v>0.828</v>
      </c>
      <c r="M1153" t="n">
        <v>0.172</v>
      </c>
    </row>
    <row r="1154" spans="1:13">
      <c r="A1154" s="1">
        <f>HYPERLINK("http://www.twitter.com/NathanBLawrence/status/991005854420881408", "991005854420881408")</f>
        <v/>
      </c>
      <c r="B1154" s="2" t="n">
        <v>43220.72664351852</v>
      </c>
      <c r="C1154" t="n">
        <v>0</v>
      </c>
      <c r="D1154" t="n">
        <v>75</v>
      </c>
      <c r="E1154" t="s">
        <v>1156</v>
      </c>
      <c r="F1154" t="s"/>
      <c r="G1154" t="s"/>
      <c r="H1154" t="s"/>
      <c r="I1154" t="s"/>
      <c r="J1154" t="n">
        <v>0</v>
      </c>
      <c r="K1154" t="n">
        <v>0</v>
      </c>
      <c r="L1154" t="n">
        <v>1</v>
      </c>
      <c r="M1154" t="n">
        <v>0</v>
      </c>
    </row>
    <row r="1155" spans="1:13">
      <c r="A1155" s="1">
        <f>HYPERLINK("http://www.twitter.com/NathanBLawrence/status/991005613667897344", "991005613667897344")</f>
        <v/>
      </c>
      <c r="B1155" s="2" t="n">
        <v>43220.72597222222</v>
      </c>
      <c r="C1155" t="n">
        <v>1</v>
      </c>
      <c r="D1155" t="n">
        <v>0</v>
      </c>
      <c r="E1155" t="s">
        <v>1157</v>
      </c>
      <c r="F1155" t="s"/>
      <c r="G1155" t="s"/>
      <c r="H1155" t="s"/>
      <c r="I1155" t="s"/>
      <c r="J1155" t="n">
        <v>0.0314</v>
      </c>
      <c r="K1155" t="n">
        <v>0.141</v>
      </c>
      <c r="L1155" t="n">
        <v>0.711</v>
      </c>
      <c r="M1155" t="n">
        <v>0.147</v>
      </c>
    </row>
    <row r="1156" spans="1:13">
      <c r="A1156" s="1">
        <f>HYPERLINK("http://www.twitter.com/NathanBLawrence/status/991005387292856320", "991005387292856320")</f>
        <v/>
      </c>
      <c r="B1156" s="2" t="n">
        <v>43220.72534722222</v>
      </c>
      <c r="C1156" t="n">
        <v>0</v>
      </c>
      <c r="D1156" t="n">
        <v>2</v>
      </c>
      <c r="E1156" t="s">
        <v>1158</v>
      </c>
      <c r="F1156" t="s"/>
      <c r="G1156" t="s"/>
      <c r="H1156" t="s"/>
      <c r="I1156" t="s"/>
      <c r="J1156" t="n">
        <v>0.0258</v>
      </c>
      <c r="K1156" t="n">
        <v>0.111</v>
      </c>
      <c r="L1156" t="n">
        <v>0.775</v>
      </c>
      <c r="M1156" t="n">
        <v>0.114</v>
      </c>
    </row>
    <row r="1157" spans="1:13">
      <c r="A1157" s="1">
        <f>HYPERLINK("http://www.twitter.com/NathanBLawrence/status/991005127946403840", "991005127946403840")</f>
        <v/>
      </c>
      <c r="B1157" s="2" t="n">
        <v>43220.72464120371</v>
      </c>
      <c r="C1157" t="n">
        <v>0</v>
      </c>
      <c r="D1157" t="n">
        <v>2</v>
      </c>
      <c r="E1157" t="s">
        <v>1159</v>
      </c>
      <c r="F1157" t="s"/>
      <c r="G1157" t="s"/>
      <c r="H1157" t="s"/>
      <c r="I1157" t="s"/>
      <c r="J1157" t="n">
        <v>0.2584</v>
      </c>
      <c r="K1157" t="n">
        <v>0</v>
      </c>
      <c r="L1157" t="n">
        <v>0.855</v>
      </c>
      <c r="M1157" t="n">
        <v>0.145</v>
      </c>
    </row>
    <row r="1158" spans="1:13">
      <c r="A1158" s="1">
        <f>HYPERLINK("http://www.twitter.com/NathanBLawrence/status/991005104282234881", "991005104282234881")</f>
        <v/>
      </c>
      <c r="B1158" s="2" t="n">
        <v>43220.72457175926</v>
      </c>
      <c r="C1158" t="n">
        <v>0</v>
      </c>
      <c r="D1158" t="n">
        <v>8</v>
      </c>
      <c r="E1158" t="s">
        <v>1160</v>
      </c>
      <c r="F1158" t="s"/>
      <c r="G1158" t="s"/>
      <c r="H1158" t="s"/>
      <c r="I1158" t="s"/>
      <c r="J1158" t="n">
        <v>-0.7106</v>
      </c>
      <c r="K1158" t="n">
        <v>0.257</v>
      </c>
      <c r="L1158" t="n">
        <v>0.743</v>
      </c>
      <c r="M1158" t="n">
        <v>0</v>
      </c>
    </row>
    <row r="1159" spans="1:13">
      <c r="A1159" s="1">
        <f>HYPERLINK("http://www.twitter.com/NathanBLawrence/status/991005046488825856", "991005046488825856")</f>
        <v/>
      </c>
      <c r="B1159" s="2" t="n">
        <v>43220.72440972222</v>
      </c>
      <c r="C1159" t="n">
        <v>0</v>
      </c>
      <c r="D1159" t="n">
        <v>28</v>
      </c>
      <c r="E1159" t="s">
        <v>1161</v>
      </c>
      <c r="F1159" t="s"/>
      <c r="G1159" t="s"/>
      <c r="H1159" t="s"/>
      <c r="I1159" t="s"/>
      <c r="J1159" t="n">
        <v>0</v>
      </c>
      <c r="K1159" t="n">
        <v>0</v>
      </c>
      <c r="L1159" t="n">
        <v>1</v>
      </c>
      <c r="M1159" t="n">
        <v>0</v>
      </c>
    </row>
    <row r="1160" spans="1:13">
      <c r="A1160" s="1">
        <f>HYPERLINK("http://www.twitter.com/NathanBLawrence/status/991004970207064064", "991004970207064064")</f>
        <v/>
      </c>
      <c r="B1160" s="2" t="n">
        <v>43220.72420138889</v>
      </c>
      <c r="C1160" t="n">
        <v>0</v>
      </c>
      <c r="D1160" t="n">
        <v>11</v>
      </c>
      <c r="E1160" t="s">
        <v>1162</v>
      </c>
      <c r="F1160" t="s"/>
      <c r="G1160" t="s"/>
      <c r="H1160" t="s"/>
      <c r="I1160" t="s"/>
      <c r="J1160" t="n">
        <v>0</v>
      </c>
      <c r="K1160" t="n">
        <v>0</v>
      </c>
      <c r="L1160" t="n">
        <v>1</v>
      </c>
      <c r="M1160" t="n">
        <v>0</v>
      </c>
    </row>
    <row r="1161" spans="1:13">
      <c r="A1161" s="1">
        <f>HYPERLINK("http://www.twitter.com/NathanBLawrence/status/991004946203111425", "991004946203111425")</f>
        <v/>
      </c>
      <c r="B1161" s="2" t="n">
        <v>43220.72413194444</v>
      </c>
      <c r="C1161" t="n">
        <v>0</v>
      </c>
      <c r="D1161" t="n">
        <v>10</v>
      </c>
      <c r="E1161" t="s">
        <v>1163</v>
      </c>
      <c r="F1161" t="s"/>
      <c r="G1161" t="s"/>
      <c r="H1161" t="s"/>
      <c r="I1161" t="s"/>
      <c r="J1161" t="n">
        <v>0</v>
      </c>
      <c r="K1161" t="n">
        <v>0</v>
      </c>
      <c r="L1161" t="n">
        <v>1</v>
      </c>
      <c r="M1161" t="n">
        <v>0</v>
      </c>
    </row>
    <row r="1162" spans="1:13">
      <c r="A1162" s="1">
        <f>HYPERLINK("http://www.twitter.com/NathanBLawrence/status/991004927014195200", "991004927014195200")</f>
        <v/>
      </c>
      <c r="B1162" s="2" t="n">
        <v>43220.72408564815</v>
      </c>
      <c r="C1162" t="n">
        <v>0</v>
      </c>
      <c r="D1162" t="n">
        <v>8</v>
      </c>
      <c r="E1162" t="s">
        <v>1164</v>
      </c>
      <c r="F1162" t="s"/>
      <c r="G1162" t="s"/>
      <c r="H1162" t="s"/>
      <c r="I1162" t="s"/>
      <c r="J1162" t="n">
        <v>-0.6705</v>
      </c>
      <c r="K1162" t="n">
        <v>0.208</v>
      </c>
      <c r="L1162" t="n">
        <v>0.792</v>
      </c>
      <c r="M1162" t="n">
        <v>0</v>
      </c>
    </row>
    <row r="1163" spans="1:13">
      <c r="A1163" s="1">
        <f>HYPERLINK("http://www.twitter.com/NathanBLawrence/status/991004914070507521", "991004914070507521")</f>
        <v/>
      </c>
      <c r="B1163" s="2" t="n">
        <v>43220.72405092593</v>
      </c>
      <c r="C1163" t="n">
        <v>0</v>
      </c>
      <c r="D1163" t="n">
        <v>15</v>
      </c>
      <c r="E1163" t="s">
        <v>1165</v>
      </c>
      <c r="F1163">
        <f>HYPERLINK("https://video.twimg.com/ext_tw_video/990716019965595649/pu/vid/1280x720/QZ-gh-7kTDJccVv-.mp4?tag=3", "https://video.twimg.com/ext_tw_video/990716019965595649/pu/vid/1280x720/QZ-gh-7kTDJccVv-.mp4?tag=3")</f>
        <v/>
      </c>
      <c r="G1163" t="s"/>
      <c r="H1163" t="s"/>
      <c r="I1163" t="s"/>
      <c r="J1163" t="n">
        <v>-0.2649</v>
      </c>
      <c r="K1163" t="n">
        <v>0.128</v>
      </c>
      <c r="L1163" t="n">
        <v>0.787</v>
      </c>
      <c r="M1163" t="n">
        <v>0.08400000000000001</v>
      </c>
    </row>
    <row r="1164" spans="1:13">
      <c r="A1164" s="1">
        <f>HYPERLINK("http://www.twitter.com/NathanBLawrence/status/991004897939279872", "991004897939279872")</f>
        <v/>
      </c>
      <c r="B1164" s="2" t="n">
        <v>43220.72400462963</v>
      </c>
      <c r="C1164" t="n">
        <v>0</v>
      </c>
      <c r="D1164" t="n">
        <v>4</v>
      </c>
      <c r="E1164" t="s">
        <v>1166</v>
      </c>
      <c r="F1164" t="s"/>
      <c r="G1164" t="s"/>
      <c r="H1164" t="s"/>
      <c r="I1164" t="s"/>
      <c r="J1164" t="n">
        <v>-0.0258</v>
      </c>
      <c r="K1164" t="n">
        <v>0.08400000000000001</v>
      </c>
      <c r="L1164" t="n">
        <v>0.837</v>
      </c>
      <c r="M1164" t="n">
        <v>0.079</v>
      </c>
    </row>
    <row r="1165" spans="1:13">
      <c r="A1165" s="1">
        <f>HYPERLINK("http://www.twitter.com/NathanBLawrence/status/991004880620998662", "991004880620998662")</f>
        <v/>
      </c>
      <c r="B1165" s="2" t="n">
        <v>43220.72395833334</v>
      </c>
      <c r="C1165" t="n">
        <v>0</v>
      </c>
      <c r="D1165" t="n">
        <v>7</v>
      </c>
      <c r="E1165" t="s">
        <v>1167</v>
      </c>
      <c r="F1165" t="s"/>
      <c r="G1165" t="s"/>
      <c r="H1165" t="s"/>
      <c r="I1165" t="s"/>
      <c r="J1165" t="n">
        <v>0.7776999999999999</v>
      </c>
      <c r="K1165" t="n">
        <v>0</v>
      </c>
      <c r="L1165" t="n">
        <v>0.6860000000000001</v>
      </c>
      <c r="M1165" t="n">
        <v>0.314</v>
      </c>
    </row>
    <row r="1166" spans="1:13">
      <c r="A1166" s="1">
        <f>HYPERLINK("http://www.twitter.com/NathanBLawrence/status/991004861687910402", "991004861687910402")</f>
        <v/>
      </c>
      <c r="B1166" s="2" t="n">
        <v>43220.72390046297</v>
      </c>
      <c r="C1166" t="n">
        <v>0</v>
      </c>
      <c r="D1166" t="n">
        <v>3</v>
      </c>
      <c r="E1166" t="s">
        <v>1168</v>
      </c>
      <c r="F1166" t="s"/>
      <c r="G1166" t="s"/>
      <c r="H1166" t="s"/>
      <c r="I1166" t="s"/>
      <c r="J1166" t="n">
        <v>-0.1779</v>
      </c>
      <c r="K1166" t="n">
        <v>0.078</v>
      </c>
      <c r="L1166" t="n">
        <v>0.922</v>
      </c>
      <c r="M1166" t="n">
        <v>0</v>
      </c>
    </row>
    <row r="1167" spans="1:13">
      <c r="A1167" s="1">
        <f>HYPERLINK("http://www.twitter.com/NathanBLawrence/status/991004826631843840", "991004826631843840")</f>
        <v/>
      </c>
      <c r="B1167" s="2" t="n">
        <v>43220.72380787037</v>
      </c>
      <c r="C1167" t="n">
        <v>0</v>
      </c>
      <c r="D1167" t="n">
        <v>9</v>
      </c>
      <c r="E1167" t="s">
        <v>1169</v>
      </c>
      <c r="F1167" t="s"/>
      <c r="G1167" t="s"/>
      <c r="H1167" t="s"/>
      <c r="I1167" t="s"/>
      <c r="J1167" t="n">
        <v>0</v>
      </c>
      <c r="K1167" t="n">
        <v>0</v>
      </c>
      <c r="L1167" t="n">
        <v>1</v>
      </c>
      <c r="M1167" t="n">
        <v>0</v>
      </c>
    </row>
    <row r="1168" spans="1:13">
      <c r="A1168" s="1">
        <f>HYPERLINK("http://www.twitter.com/NathanBLawrence/status/991004812048326661", "991004812048326661")</f>
        <v/>
      </c>
      <c r="B1168" s="2" t="n">
        <v>43220.72376157407</v>
      </c>
      <c r="C1168" t="n">
        <v>0</v>
      </c>
      <c r="D1168" t="n">
        <v>6</v>
      </c>
      <c r="E1168" t="s">
        <v>1170</v>
      </c>
      <c r="F1168">
        <f>HYPERLINK("http://pbs.twimg.com/media/DcAJPGHVAAAq1xH.jpg", "http://pbs.twimg.com/media/DcAJPGHVAAAq1xH.jpg")</f>
        <v/>
      </c>
      <c r="G1168" t="s"/>
      <c r="H1168" t="s"/>
      <c r="I1168" t="s"/>
      <c r="J1168" t="n">
        <v>0.516</v>
      </c>
      <c r="K1168" t="n">
        <v>0</v>
      </c>
      <c r="L1168" t="n">
        <v>0.878</v>
      </c>
      <c r="M1168" t="n">
        <v>0.122</v>
      </c>
    </row>
    <row r="1169" spans="1:13">
      <c r="A1169" s="1">
        <f>HYPERLINK("http://www.twitter.com/NathanBLawrence/status/991004794293837827", "991004794293837827")</f>
        <v/>
      </c>
      <c r="B1169" s="2" t="n">
        <v>43220.72371527777</v>
      </c>
      <c r="C1169" t="n">
        <v>0</v>
      </c>
      <c r="D1169" t="n">
        <v>12</v>
      </c>
      <c r="E1169" t="s">
        <v>1171</v>
      </c>
      <c r="F1169" t="s"/>
      <c r="G1169" t="s"/>
      <c r="H1169" t="s"/>
      <c r="I1169" t="s"/>
      <c r="J1169" t="n">
        <v>-0.296</v>
      </c>
      <c r="K1169" t="n">
        <v>0.095</v>
      </c>
      <c r="L1169" t="n">
        <v>0.905</v>
      </c>
      <c r="M1169" t="n">
        <v>0</v>
      </c>
    </row>
    <row r="1170" spans="1:13">
      <c r="A1170" s="1">
        <f>HYPERLINK("http://www.twitter.com/NathanBLawrence/status/991004771279654912", "991004771279654912")</f>
        <v/>
      </c>
      <c r="B1170" s="2" t="n">
        <v>43220.7236574074</v>
      </c>
      <c r="C1170" t="n">
        <v>0</v>
      </c>
      <c r="D1170" t="n">
        <v>10</v>
      </c>
      <c r="E1170" t="s">
        <v>1172</v>
      </c>
      <c r="F1170">
        <f>HYPERLINK("http://pbs.twimg.com/media/DcCIsxnVMAAMdME.jpg", "http://pbs.twimg.com/media/DcCIsxnVMAAMdME.jpg")</f>
        <v/>
      </c>
      <c r="G1170" t="s"/>
      <c r="H1170" t="s"/>
      <c r="I1170" t="s"/>
      <c r="J1170" t="n">
        <v>0</v>
      </c>
      <c r="K1170" t="n">
        <v>0</v>
      </c>
      <c r="L1170" t="n">
        <v>1</v>
      </c>
      <c r="M1170" t="n">
        <v>0</v>
      </c>
    </row>
    <row r="1171" spans="1:13">
      <c r="A1171" s="1">
        <f>HYPERLINK("http://www.twitter.com/NathanBLawrence/status/991004759153872896", "991004759153872896")</f>
        <v/>
      </c>
      <c r="B1171" s="2" t="n">
        <v>43220.72362268518</v>
      </c>
      <c r="C1171" t="n">
        <v>0</v>
      </c>
      <c r="D1171" t="n">
        <v>10</v>
      </c>
      <c r="E1171" t="s">
        <v>844</v>
      </c>
      <c r="F1171">
        <f>HYPERLINK("http://pbs.twimg.com/media/Db_DTweUQAA-AMl.jpg", "http://pbs.twimg.com/media/Db_DTweUQAA-AMl.jpg")</f>
        <v/>
      </c>
      <c r="G1171" t="s"/>
      <c r="H1171" t="s"/>
      <c r="I1171" t="s"/>
      <c r="J1171" t="n">
        <v>-0.2103</v>
      </c>
      <c r="K1171" t="n">
        <v>0.233</v>
      </c>
      <c r="L1171" t="n">
        <v>0.5629999999999999</v>
      </c>
      <c r="M1171" t="n">
        <v>0.204</v>
      </c>
    </row>
    <row r="1172" spans="1:13">
      <c r="A1172" s="1">
        <f>HYPERLINK("http://www.twitter.com/NathanBLawrence/status/991004743110660096", "991004743110660096")</f>
        <v/>
      </c>
      <c r="B1172" s="2" t="n">
        <v>43220.72357638889</v>
      </c>
      <c r="C1172" t="n">
        <v>0</v>
      </c>
      <c r="D1172" t="n">
        <v>19</v>
      </c>
      <c r="E1172" t="s">
        <v>1173</v>
      </c>
      <c r="F1172">
        <f>HYPERLINK("http://pbs.twimg.com/media/DcCCRMnWAAApJ09.jpg", "http://pbs.twimg.com/media/DcCCRMnWAAApJ09.jpg")</f>
        <v/>
      </c>
      <c r="G1172" t="s"/>
      <c r="H1172" t="s"/>
      <c r="I1172" t="s"/>
      <c r="J1172" t="n">
        <v>0</v>
      </c>
      <c r="K1172" t="n">
        <v>0</v>
      </c>
      <c r="L1172" t="n">
        <v>1</v>
      </c>
      <c r="M1172" t="n">
        <v>0</v>
      </c>
    </row>
    <row r="1173" spans="1:13">
      <c r="A1173" s="1">
        <f>HYPERLINK("http://www.twitter.com/NathanBLawrence/status/991001822306369536", "991001822306369536")</f>
        <v/>
      </c>
      <c r="B1173" s="2" t="n">
        <v>43220.71552083334</v>
      </c>
      <c r="C1173" t="n">
        <v>0</v>
      </c>
      <c r="D1173" t="n">
        <v>7</v>
      </c>
      <c r="E1173" t="s">
        <v>1174</v>
      </c>
      <c r="F1173" t="s"/>
      <c r="G1173" t="s"/>
      <c r="H1173" t="s"/>
      <c r="I1173" t="s"/>
      <c r="J1173" t="n">
        <v>0</v>
      </c>
      <c r="K1173" t="n">
        <v>0</v>
      </c>
      <c r="L1173" t="n">
        <v>1</v>
      </c>
      <c r="M1173" t="n">
        <v>0</v>
      </c>
    </row>
    <row r="1174" spans="1:13">
      <c r="A1174" s="1">
        <f>HYPERLINK("http://www.twitter.com/NathanBLawrence/status/991001023711010818", "991001023711010818")</f>
        <v/>
      </c>
      <c r="B1174" s="2" t="n">
        <v>43220.71331018519</v>
      </c>
      <c r="C1174" t="n">
        <v>0</v>
      </c>
      <c r="D1174" t="n">
        <v>20290</v>
      </c>
      <c r="E1174" t="s">
        <v>1175</v>
      </c>
      <c r="F1174" t="s"/>
      <c r="G1174" t="s"/>
      <c r="H1174" t="s"/>
      <c r="I1174" t="s"/>
      <c r="J1174" t="n">
        <v>0.6956</v>
      </c>
      <c r="K1174" t="n">
        <v>0</v>
      </c>
      <c r="L1174" t="n">
        <v>0.8080000000000001</v>
      </c>
      <c r="M1174" t="n">
        <v>0.192</v>
      </c>
    </row>
    <row r="1175" spans="1:13">
      <c r="A1175" s="1">
        <f>HYPERLINK("http://www.twitter.com/NathanBLawrence/status/991001002911391746", "991001002911391746")</f>
        <v/>
      </c>
      <c r="B1175" s="2" t="n">
        <v>43220.71325231482</v>
      </c>
      <c r="C1175" t="n">
        <v>0</v>
      </c>
      <c r="D1175" t="n">
        <v>1289</v>
      </c>
      <c r="E1175" t="s">
        <v>1176</v>
      </c>
      <c r="F1175" t="s"/>
      <c r="G1175" t="s"/>
      <c r="H1175" t="s"/>
      <c r="I1175" t="s"/>
      <c r="J1175" t="n">
        <v>0.3612</v>
      </c>
      <c r="K1175" t="n">
        <v>0.097</v>
      </c>
      <c r="L1175" t="n">
        <v>0.745</v>
      </c>
      <c r="M1175" t="n">
        <v>0.159</v>
      </c>
    </row>
    <row r="1176" spans="1:13">
      <c r="A1176" s="1">
        <f>HYPERLINK("http://www.twitter.com/NathanBLawrence/status/991000917343383553", "991000917343383553")</f>
        <v/>
      </c>
      <c r="B1176" s="2" t="n">
        <v>43220.71302083333</v>
      </c>
      <c r="C1176" t="n">
        <v>0</v>
      </c>
      <c r="D1176" t="n">
        <v>525</v>
      </c>
      <c r="E1176" t="s">
        <v>1177</v>
      </c>
      <c r="F1176">
        <f>HYPERLINK("http://pbs.twimg.com/media/Db-Sbg2V4AEQr8m.jpg", "http://pbs.twimg.com/media/Db-Sbg2V4AEQr8m.jpg")</f>
        <v/>
      </c>
      <c r="G1176" t="s"/>
      <c r="H1176" t="s"/>
      <c r="I1176" t="s"/>
      <c r="J1176" t="n">
        <v>0.3612</v>
      </c>
      <c r="K1176" t="n">
        <v>0</v>
      </c>
      <c r="L1176" t="n">
        <v>0.898</v>
      </c>
      <c r="M1176" t="n">
        <v>0.102</v>
      </c>
    </row>
    <row r="1177" spans="1:13">
      <c r="A1177" s="1">
        <f>HYPERLINK("http://www.twitter.com/NathanBLawrence/status/991000392585662464", "991000392585662464")</f>
        <v/>
      </c>
      <c r="B1177" s="2" t="n">
        <v>43220.71157407408</v>
      </c>
      <c r="C1177" t="n">
        <v>0</v>
      </c>
      <c r="D1177" t="n">
        <v>335</v>
      </c>
      <c r="E1177" t="s">
        <v>1178</v>
      </c>
      <c r="F1177" t="s"/>
      <c r="G1177" t="s"/>
      <c r="H1177" t="s"/>
      <c r="I1177" t="s"/>
      <c r="J1177" t="n">
        <v>0.1655</v>
      </c>
      <c r="K1177" t="n">
        <v>0</v>
      </c>
      <c r="L1177" t="n">
        <v>0.93</v>
      </c>
      <c r="M1177" t="n">
        <v>0.07000000000000001</v>
      </c>
    </row>
    <row r="1178" spans="1:13">
      <c r="A1178" s="1">
        <f>HYPERLINK("http://www.twitter.com/NathanBLawrence/status/991000358502662144", "991000358502662144")</f>
        <v/>
      </c>
      <c r="B1178" s="2" t="n">
        <v>43220.71148148148</v>
      </c>
      <c r="C1178" t="n">
        <v>0</v>
      </c>
      <c r="D1178" t="n">
        <v>0</v>
      </c>
      <c r="E1178" t="s">
        <v>1179</v>
      </c>
      <c r="F1178" t="s"/>
      <c r="G1178" t="s"/>
      <c r="H1178" t="s"/>
      <c r="I1178" t="s"/>
      <c r="J1178" t="n">
        <v>-0.3197</v>
      </c>
      <c r="K1178" t="n">
        <v>0.119</v>
      </c>
      <c r="L1178" t="n">
        <v>0.881</v>
      </c>
      <c r="M1178" t="n">
        <v>0</v>
      </c>
    </row>
    <row r="1179" spans="1:13">
      <c r="A1179" s="1">
        <f>HYPERLINK("http://www.twitter.com/NathanBLawrence/status/990835769873924096", "990835769873924096")</f>
        <v/>
      </c>
      <c r="B1179" s="2" t="n">
        <v>43220.25730324074</v>
      </c>
      <c r="C1179" t="n">
        <v>0</v>
      </c>
      <c r="D1179" t="n">
        <v>0</v>
      </c>
      <c r="E1179" t="s">
        <v>1180</v>
      </c>
      <c r="F1179">
        <f>HYPERLINK("http://pbs.twimg.com/media/DcAn4LKVwAEID8g.jpg", "http://pbs.twimg.com/media/DcAn4LKVwAEID8g.jpg")</f>
        <v/>
      </c>
      <c r="G1179" t="s"/>
      <c r="H1179" t="s"/>
      <c r="I1179" t="s"/>
      <c r="J1179" t="n">
        <v>-0.5255</v>
      </c>
      <c r="K1179" t="n">
        <v>0.531</v>
      </c>
      <c r="L1179" t="n">
        <v>0.469</v>
      </c>
      <c r="M1179" t="n">
        <v>0</v>
      </c>
    </row>
    <row r="1180" spans="1:13">
      <c r="A1180" s="1">
        <f>HYPERLINK("http://www.twitter.com/NathanBLawrence/status/990831742641721344", "990831742641721344")</f>
        <v/>
      </c>
      <c r="B1180" s="2" t="n">
        <v>43220.24618055556</v>
      </c>
      <c r="C1180" t="n">
        <v>0</v>
      </c>
      <c r="D1180" t="n">
        <v>12083</v>
      </c>
      <c r="E1180" t="s">
        <v>1181</v>
      </c>
      <c r="F1180">
        <f>HYPERLINK("https://video.twimg.com/amplify_video/971892435805601792/vid/1280x720/lBOLtODVS7gQHRcg.mp4", "https://video.twimg.com/amplify_video/971892435805601792/vid/1280x720/lBOLtODVS7gQHRcg.mp4")</f>
        <v/>
      </c>
      <c r="G1180" t="s"/>
      <c r="H1180" t="s"/>
      <c r="I1180" t="s"/>
      <c r="J1180" t="n">
        <v>-0.0516</v>
      </c>
      <c r="K1180" t="n">
        <v>0.189</v>
      </c>
      <c r="L1180" t="n">
        <v>0.629</v>
      </c>
      <c r="M1180" t="n">
        <v>0.182</v>
      </c>
    </row>
    <row r="1181" spans="1:13">
      <c r="A1181" s="1">
        <f>HYPERLINK("http://www.twitter.com/NathanBLawrence/status/990797222529945600", "990797222529945600")</f>
        <v/>
      </c>
      <c r="B1181" s="2" t="n">
        <v>43220.15092592593</v>
      </c>
      <c r="C1181" t="n">
        <v>1</v>
      </c>
      <c r="D1181" t="n">
        <v>0</v>
      </c>
      <c r="E1181" t="s">
        <v>1182</v>
      </c>
      <c r="F1181" t="s"/>
      <c r="G1181" t="s"/>
      <c r="H1181" t="s"/>
      <c r="I1181" t="s"/>
      <c r="J1181" t="n">
        <v>0.34</v>
      </c>
      <c r="K1181" t="n">
        <v>0.08699999999999999</v>
      </c>
      <c r="L1181" t="n">
        <v>0.733</v>
      </c>
      <c r="M1181" t="n">
        <v>0.18</v>
      </c>
    </row>
    <row r="1182" spans="1:13">
      <c r="A1182" s="1">
        <f>HYPERLINK("http://www.twitter.com/NathanBLawrence/status/990797015935344641", "990797015935344641")</f>
        <v/>
      </c>
      <c r="B1182" s="2" t="n">
        <v>43220.15035879629</v>
      </c>
      <c r="C1182" t="n">
        <v>0</v>
      </c>
      <c r="D1182" t="n">
        <v>227</v>
      </c>
      <c r="E1182" t="s">
        <v>1183</v>
      </c>
      <c r="F1182">
        <f>HYPERLINK("http://pbs.twimg.com/media/Db_LJXsUQAE7XkY.jpg", "http://pbs.twimg.com/media/Db_LJXsUQAE7XkY.jpg")</f>
        <v/>
      </c>
      <c r="G1182" t="s"/>
      <c r="H1182" t="s"/>
      <c r="I1182" t="s"/>
      <c r="J1182" t="n">
        <v>-0.3818</v>
      </c>
      <c r="K1182" t="n">
        <v>0.12</v>
      </c>
      <c r="L1182" t="n">
        <v>0.88</v>
      </c>
      <c r="M1182" t="n">
        <v>0</v>
      </c>
    </row>
    <row r="1183" spans="1:13">
      <c r="A1183" s="1">
        <f>HYPERLINK("http://www.twitter.com/NathanBLawrence/status/990368889501618181", "990368889501618181")</f>
        <v/>
      </c>
      <c r="B1183" s="2" t="n">
        <v>43218.96895833333</v>
      </c>
      <c r="C1183" t="n">
        <v>0</v>
      </c>
      <c r="D1183" t="n">
        <v>2210</v>
      </c>
      <c r="E1183" t="s">
        <v>1184</v>
      </c>
      <c r="F1183" t="s"/>
      <c r="G1183" t="s"/>
      <c r="H1183" t="s"/>
      <c r="I1183" t="s"/>
      <c r="J1183" t="n">
        <v>0.5574</v>
      </c>
      <c r="K1183" t="n">
        <v>0.105</v>
      </c>
      <c r="L1183" t="n">
        <v>0.648</v>
      </c>
      <c r="M1183" t="n">
        <v>0.247</v>
      </c>
    </row>
    <row r="1184" spans="1:13">
      <c r="A1184" s="1">
        <f>HYPERLINK("http://www.twitter.com/NathanBLawrence/status/990368858673500160", "990368858673500160")</f>
        <v/>
      </c>
      <c r="B1184" s="2" t="n">
        <v>43218.96886574074</v>
      </c>
      <c r="C1184" t="n">
        <v>0</v>
      </c>
      <c r="D1184" t="n">
        <v>3664</v>
      </c>
      <c r="E1184" t="s">
        <v>1185</v>
      </c>
      <c r="F1184" t="s"/>
      <c r="G1184" t="s"/>
      <c r="H1184" t="s"/>
      <c r="I1184" t="s"/>
      <c r="J1184" t="n">
        <v>0.2023</v>
      </c>
      <c r="K1184" t="n">
        <v>0.112</v>
      </c>
      <c r="L1184" t="n">
        <v>0.746</v>
      </c>
      <c r="M1184" t="n">
        <v>0.142</v>
      </c>
    </row>
    <row r="1185" spans="1:13">
      <c r="A1185" s="1">
        <f>HYPERLINK("http://www.twitter.com/NathanBLawrence/status/990368524207099904", "990368524207099904")</f>
        <v/>
      </c>
      <c r="B1185" s="2" t="n">
        <v>43218.96793981481</v>
      </c>
      <c r="C1185" t="n">
        <v>0</v>
      </c>
      <c r="D1185" t="n">
        <v>15</v>
      </c>
      <c r="E1185" t="s">
        <v>1186</v>
      </c>
      <c r="F1185" t="s"/>
      <c r="G1185" t="s"/>
      <c r="H1185" t="s"/>
      <c r="I1185" t="s"/>
      <c r="J1185" t="n">
        <v>0</v>
      </c>
      <c r="K1185" t="n">
        <v>0</v>
      </c>
      <c r="L1185" t="n">
        <v>1</v>
      </c>
      <c r="M1185" t="n">
        <v>0</v>
      </c>
    </row>
    <row r="1186" spans="1:13">
      <c r="A1186" s="1">
        <f>HYPERLINK("http://www.twitter.com/NathanBLawrence/status/990368423916994560", "990368423916994560")</f>
        <v/>
      </c>
      <c r="B1186" s="2" t="n">
        <v>43218.96767361111</v>
      </c>
      <c r="C1186" t="n">
        <v>0</v>
      </c>
      <c r="D1186" t="n">
        <v>6392</v>
      </c>
      <c r="E1186" t="s">
        <v>1187</v>
      </c>
      <c r="F1186">
        <f>HYPERLINK("http://pbs.twimg.com/media/Db0aeREU8AANaX6.jpg", "http://pbs.twimg.com/media/Db0aeREU8AANaX6.jpg")</f>
        <v/>
      </c>
      <c r="G1186" t="s"/>
      <c r="H1186" t="s"/>
      <c r="I1186" t="s"/>
      <c r="J1186" t="n">
        <v>-0.2263</v>
      </c>
      <c r="K1186" t="n">
        <v>0.128</v>
      </c>
      <c r="L1186" t="n">
        <v>0.872</v>
      </c>
      <c r="M1186" t="n">
        <v>0</v>
      </c>
    </row>
    <row r="1187" spans="1:13">
      <c r="A1187" s="1">
        <f>HYPERLINK("http://www.twitter.com/NathanBLawrence/status/990368386092814342", "990368386092814342")</f>
        <v/>
      </c>
      <c r="B1187" s="2" t="n">
        <v>43218.96756944444</v>
      </c>
      <c r="C1187" t="n">
        <v>0</v>
      </c>
      <c r="D1187" t="n">
        <v>5</v>
      </c>
      <c r="E1187" t="s">
        <v>1188</v>
      </c>
      <c r="F1187" t="s"/>
      <c r="G1187" t="s"/>
      <c r="H1187" t="s"/>
      <c r="I1187" t="s"/>
      <c r="J1187" t="n">
        <v>0.4404</v>
      </c>
      <c r="K1187" t="n">
        <v>0</v>
      </c>
      <c r="L1187" t="n">
        <v>0.838</v>
      </c>
      <c r="M1187" t="n">
        <v>0.162</v>
      </c>
    </row>
    <row r="1188" spans="1:13">
      <c r="A1188" s="1">
        <f>HYPERLINK("http://www.twitter.com/NathanBLawrence/status/990368332401512448", "990368332401512448")</f>
        <v/>
      </c>
      <c r="B1188" s="2" t="n">
        <v>43218.96741898148</v>
      </c>
      <c r="C1188" t="n">
        <v>0</v>
      </c>
      <c r="D1188" t="n">
        <v>5</v>
      </c>
      <c r="E1188" t="s">
        <v>1189</v>
      </c>
      <c r="F1188">
        <f>HYPERLINK("http://pbs.twimg.com/media/Db5U2CAXUAA9QIp.jpg", "http://pbs.twimg.com/media/Db5U2CAXUAA9QIp.jpg")</f>
        <v/>
      </c>
      <c r="G1188" t="s"/>
      <c r="H1188" t="s"/>
      <c r="I1188" t="s"/>
      <c r="J1188" t="n">
        <v>0</v>
      </c>
      <c r="K1188" t="n">
        <v>0</v>
      </c>
      <c r="L1188" t="n">
        <v>1</v>
      </c>
      <c r="M1188" t="n">
        <v>0</v>
      </c>
    </row>
    <row r="1189" spans="1:13">
      <c r="A1189" s="1">
        <f>HYPERLINK("http://www.twitter.com/NathanBLawrence/status/990368266840354818", "990368266840354818")</f>
        <v/>
      </c>
      <c r="B1189" s="2" t="n">
        <v>43218.9672337963</v>
      </c>
      <c r="C1189" t="n">
        <v>0</v>
      </c>
      <c r="D1189" t="n">
        <v>1</v>
      </c>
      <c r="E1189" t="s">
        <v>1190</v>
      </c>
      <c r="F1189">
        <f>HYPERLINK("http://pbs.twimg.com/media/Db1O1s9W4AACaOQ.jpg", "http://pbs.twimg.com/media/Db1O1s9W4AACaOQ.jpg")</f>
        <v/>
      </c>
      <c r="G1189" t="s"/>
      <c r="H1189" t="s"/>
      <c r="I1189" t="s"/>
      <c r="J1189" t="n">
        <v>0</v>
      </c>
      <c r="K1189" t="n">
        <v>0</v>
      </c>
      <c r="L1189" t="n">
        <v>1</v>
      </c>
      <c r="M1189" t="n">
        <v>0</v>
      </c>
    </row>
    <row r="1190" spans="1:13">
      <c r="A1190" s="1">
        <f>HYPERLINK("http://www.twitter.com/NathanBLawrence/status/990368256362938373", "990368256362938373")</f>
        <v/>
      </c>
      <c r="B1190" s="2" t="n">
        <v>43218.96721064814</v>
      </c>
      <c r="C1190" t="n">
        <v>0</v>
      </c>
      <c r="D1190" t="n">
        <v>1</v>
      </c>
      <c r="E1190" t="s">
        <v>1191</v>
      </c>
      <c r="F1190">
        <f>HYPERLINK("http://pbs.twimg.com/media/Db1PA_cWsAAUysB.jpg", "http://pbs.twimg.com/media/Db1PA_cWsAAUysB.jpg")</f>
        <v/>
      </c>
      <c r="G1190" t="s"/>
      <c r="H1190" t="s"/>
      <c r="I1190" t="s"/>
      <c r="J1190" t="n">
        <v>0</v>
      </c>
      <c r="K1190" t="n">
        <v>0</v>
      </c>
      <c r="L1190" t="n">
        <v>1</v>
      </c>
      <c r="M1190" t="n">
        <v>0</v>
      </c>
    </row>
    <row r="1191" spans="1:13">
      <c r="A1191" s="1">
        <f>HYPERLINK("http://www.twitter.com/NathanBLawrence/status/990368243658510336", "990368243658510336")</f>
        <v/>
      </c>
      <c r="B1191" s="2" t="n">
        <v>43218.96717592593</v>
      </c>
      <c r="C1191" t="n">
        <v>0</v>
      </c>
      <c r="D1191" t="n">
        <v>4</v>
      </c>
      <c r="E1191" t="s">
        <v>1192</v>
      </c>
      <c r="F1191" t="s"/>
      <c r="G1191" t="s"/>
      <c r="H1191" t="s"/>
      <c r="I1191" t="s"/>
      <c r="J1191" t="n">
        <v>0</v>
      </c>
      <c r="K1191" t="n">
        <v>0</v>
      </c>
      <c r="L1191" t="n">
        <v>1</v>
      </c>
      <c r="M1191" t="n">
        <v>0</v>
      </c>
    </row>
    <row r="1192" spans="1:13">
      <c r="A1192" s="1">
        <f>HYPERLINK("http://www.twitter.com/NathanBLawrence/status/990368208350834690", "990368208350834690")</f>
        <v/>
      </c>
      <c r="B1192" s="2" t="n">
        <v>43218.96707175926</v>
      </c>
      <c r="C1192" t="n">
        <v>0</v>
      </c>
      <c r="D1192" t="n">
        <v>3</v>
      </c>
      <c r="E1192" t="s">
        <v>1193</v>
      </c>
      <c r="F1192" t="s"/>
      <c r="G1192" t="s"/>
      <c r="H1192" t="s"/>
      <c r="I1192" t="s"/>
      <c r="J1192" t="n">
        <v>0</v>
      </c>
      <c r="K1192" t="n">
        <v>0</v>
      </c>
      <c r="L1192" t="n">
        <v>1</v>
      </c>
      <c r="M1192" t="n">
        <v>0</v>
      </c>
    </row>
    <row r="1193" spans="1:13">
      <c r="A1193" s="1">
        <f>HYPERLINK("http://www.twitter.com/NathanBLawrence/status/990368196485156865", "990368196485156865")</f>
        <v/>
      </c>
      <c r="B1193" s="2" t="n">
        <v>43218.96703703704</v>
      </c>
      <c r="C1193" t="n">
        <v>0</v>
      </c>
      <c r="D1193" t="n">
        <v>4</v>
      </c>
      <c r="E1193" t="s">
        <v>1194</v>
      </c>
      <c r="F1193" t="s"/>
      <c r="G1193" t="s"/>
      <c r="H1193" t="s"/>
      <c r="I1193" t="s"/>
      <c r="J1193" t="n">
        <v>-0.4939</v>
      </c>
      <c r="K1193" t="n">
        <v>0.24</v>
      </c>
      <c r="L1193" t="n">
        <v>0.65</v>
      </c>
      <c r="M1193" t="n">
        <v>0.11</v>
      </c>
    </row>
    <row r="1194" spans="1:13">
      <c r="A1194" s="1">
        <f>HYPERLINK("http://www.twitter.com/NathanBLawrence/status/990368178122485761", "990368178122485761")</f>
        <v/>
      </c>
      <c r="B1194" s="2" t="n">
        <v>43218.96699074074</v>
      </c>
      <c r="C1194" t="n">
        <v>0</v>
      </c>
      <c r="D1194" t="n">
        <v>11</v>
      </c>
      <c r="E1194" t="s">
        <v>1195</v>
      </c>
      <c r="F1194" t="s"/>
      <c r="G1194" t="s"/>
      <c r="H1194" t="s"/>
      <c r="I1194" t="s"/>
      <c r="J1194" t="n">
        <v>0</v>
      </c>
      <c r="K1194" t="n">
        <v>0</v>
      </c>
      <c r="L1194" t="n">
        <v>1</v>
      </c>
      <c r="M1194" t="n">
        <v>0</v>
      </c>
    </row>
    <row r="1195" spans="1:13">
      <c r="A1195" s="1">
        <f>HYPERLINK("http://www.twitter.com/NathanBLawrence/status/990368081536053248", "990368081536053248")</f>
        <v/>
      </c>
      <c r="B1195" s="2" t="n">
        <v>43218.96672453704</v>
      </c>
      <c r="C1195" t="n">
        <v>0</v>
      </c>
      <c r="D1195" t="n">
        <v>25766</v>
      </c>
      <c r="E1195" t="s">
        <v>1196</v>
      </c>
      <c r="F1195" t="s"/>
      <c r="G1195" t="s"/>
      <c r="H1195" t="s"/>
      <c r="I1195" t="s"/>
      <c r="J1195" t="n">
        <v>0</v>
      </c>
      <c r="K1195" t="n">
        <v>0</v>
      </c>
      <c r="L1195" t="n">
        <v>1</v>
      </c>
      <c r="M1195" t="n">
        <v>0</v>
      </c>
    </row>
    <row r="1196" spans="1:13">
      <c r="A1196" s="1">
        <f>HYPERLINK("http://www.twitter.com/NathanBLawrence/status/990350231068954624", "990350231068954624")</f>
        <v/>
      </c>
      <c r="B1196" s="2" t="n">
        <v>43218.91746527778</v>
      </c>
      <c r="C1196" t="n">
        <v>0</v>
      </c>
      <c r="D1196" t="n">
        <v>10</v>
      </c>
      <c r="E1196" t="s">
        <v>1197</v>
      </c>
      <c r="F1196">
        <f>HYPERLINK("http://pbs.twimg.com/media/Db5UeepWsAEtn7b.jpg", "http://pbs.twimg.com/media/Db5UeepWsAEtn7b.jpg")</f>
        <v/>
      </c>
      <c r="G1196" t="s"/>
      <c r="H1196" t="s"/>
      <c r="I1196" t="s"/>
      <c r="J1196" t="n">
        <v>-0.5719</v>
      </c>
      <c r="K1196" t="n">
        <v>0.209</v>
      </c>
      <c r="L1196" t="n">
        <v>0.791</v>
      </c>
      <c r="M1196" t="n">
        <v>0</v>
      </c>
    </row>
    <row r="1197" spans="1:13">
      <c r="A1197" s="1">
        <f>HYPERLINK("http://www.twitter.com/NathanBLawrence/status/990350092040368128", "990350092040368128")</f>
        <v/>
      </c>
      <c r="B1197" s="2" t="n">
        <v>43218.91708333333</v>
      </c>
      <c r="C1197" t="n">
        <v>0</v>
      </c>
      <c r="D1197" t="n">
        <v>18</v>
      </c>
      <c r="E1197" t="s">
        <v>1198</v>
      </c>
      <c r="F1197" t="s"/>
      <c r="G1197" t="s"/>
      <c r="H1197" t="s"/>
      <c r="I1197" t="s"/>
      <c r="J1197" t="n">
        <v>0.5574</v>
      </c>
      <c r="K1197" t="n">
        <v>0</v>
      </c>
      <c r="L1197" t="n">
        <v>0.825</v>
      </c>
      <c r="M1197" t="n">
        <v>0.175</v>
      </c>
    </row>
    <row r="1198" spans="1:13">
      <c r="A1198" s="1">
        <f>HYPERLINK("http://www.twitter.com/NathanBLawrence/status/990290281718341639", "990290281718341639")</f>
        <v/>
      </c>
      <c r="B1198" s="2" t="n">
        <v>43218.75203703704</v>
      </c>
      <c r="C1198" t="n">
        <v>0</v>
      </c>
      <c r="D1198" t="n">
        <v>4</v>
      </c>
      <c r="E1198" t="s">
        <v>1199</v>
      </c>
      <c r="F1198" t="s"/>
      <c r="G1198" t="s"/>
      <c r="H1198" t="s"/>
      <c r="I1198" t="s"/>
      <c r="J1198" t="n">
        <v>0.25</v>
      </c>
      <c r="K1198" t="n">
        <v>0.121</v>
      </c>
      <c r="L1198" t="n">
        <v>0.6820000000000001</v>
      </c>
      <c r="M1198" t="n">
        <v>0.197</v>
      </c>
    </row>
    <row r="1199" spans="1:13">
      <c r="A1199" s="1">
        <f>HYPERLINK("http://www.twitter.com/NathanBLawrence/status/990290218556289024", "990290218556289024")</f>
        <v/>
      </c>
      <c r="B1199" s="2" t="n">
        <v>43218.75186342592</v>
      </c>
      <c r="C1199" t="n">
        <v>0</v>
      </c>
      <c r="D1199" t="n">
        <v>173</v>
      </c>
      <c r="E1199" t="s">
        <v>1200</v>
      </c>
      <c r="F1199" t="s"/>
      <c r="G1199" t="s"/>
      <c r="H1199" t="s"/>
      <c r="I1199" t="s"/>
      <c r="J1199" t="n">
        <v>0.4939</v>
      </c>
      <c r="K1199" t="n">
        <v>0</v>
      </c>
      <c r="L1199" t="n">
        <v>0.8139999999999999</v>
      </c>
      <c r="M1199" t="n">
        <v>0.186</v>
      </c>
    </row>
    <row r="1200" spans="1:13">
      <c r="A1200" s="1">
        <f>HYPERLINK("http://www.twitter.com/NathanBLawrence/status/990290185559642123", "990290185559642123")</f>
        <v/>
      </c>
      <c r="B1200" s="2" t="n">
        <v>43218.75177083333</v>
      </c>
      <c r="C1200" t="n">
        <v>0</v>
      </c>
      <c r="D1200" t="n">
        <v>116</v>
      </c>
      <c r="E1200" t="s">
        <v>1201</v>
      </c>
      <c r="F1200" t="s"/>
      <c r="G1200" t="s"/>
      <c r="H1200" t="s"/>
      <c r="I1200" t="s"/>
      <c r="J1200" t="n">
        <v>0</v>
      </c>
      <c r="K1200" t="n">
        <v>0</v>
      </c>
      <c r="L1200" t="n">
        <v>1</v>
      </c>
      <c r="M1200" t="n">
        <v>0</v>
      </c>
    </row>
    <row r="1201" spans="1:13">
      <c r="A1201" s="1">
        <f>HYPERLINK("http://www.twitter.com/NathanBLawrence/status/990290153204862977", "990290153204862977")</f>
        <v/>
      </c>
      <c r="B1201" s="2" t="n">
        <v>43218.75167824074</v>
      </c>
      <c r="C1201" t="n">
        <v>0</v>
      </c>
      <c r="D1201" t="n">
        <v>0</v>
      </c>
      <c r="E1201" t="s">
        <v>1202</v>
      </c>
      <c r="F1201" t="s"/>
      <c r="G1201" t="s"/>
      <c r="H1201" t="s"/>
      <c r="I1201" t="s"/>
      <c r="J1201" t="n">
        <v>-0.4515</v>
      </c>
      <c r="K1201" t="n">
        <v>0.281</v>
      </c>
      <c r="L1201" t="n">
        <v>0.488</v>
      </c>
      <c r="M1201" t="n">
        <v>0.231</v>
      </c>
    </row>
    <row r="1202" spans="1:13">
      <c r="A1202" s="1">
        <f>HYPERLINK("http://www.twitter.com/NathanBLawrence/status/990289990516133888", "990289990516133888")</f>
        <v/>
      </c>
      <c r="B1202" s="2" t="n">
        <v>43218.75123842592</v>
      </c>
      <c r="C1202" t="n">
        <v>0</v>
      </c>
      <c r="D1202" t="n">
        <v>391</v>
      </c>
      <c r="E1202" t="s">
        <v>1203</v>
      </c>
      <c r="F1202" t="s"/>
      <c r="G1202" t="s"/>
      <c r="H1202" t="s"/>
      <c r="I1202" t="s"/>
      <c r="J1202" t="n">
        <v>0</v>
      </c>
      <c r="K1202" t="n">
        <v>0</v>
      </c>
      <c r="L1202" t="n">
        <v>1</v>
      </c>
      <c r="M1202" t="n">
        <v>0</v>
      </c>
    </row>
    <row r="1203" spans="1:13">
      <c r="A1203" s="1">
        <f>HYPERLINK("http://www.twitter.com/NathanBLawrence/status/990289893443231744", "990289893443231744")</f>
        <v/>
      </c>
      <c r="B1203" s="2" t="n">
        <v>43218.75096064815</v>
      </c>
      <c r="C1203" t="n">
        <v>0</v>
      </c>
      <c r="D1203" t="n">
        <v>288</v>
      </c>
      <c r="E1203" t="s">
        <v>1204</v>
      </c>
      <c r="F1203" t="s"/>
      <c r="G1203" t="s"/>
      <c r="H1203" t="s"/>
      <c r="I1203" t="s"/>
      <c r="J1203" t="n">
        <v>-0.5859</v>
      </c>
      <c r="K1203" t="n">
        <v>0.186</v>
      </c>
      <c r="L1203" t="n">
        <v>0.8139999999999999</v>
      </c>
      <c r="M1203" t="n">
        <v>0</v>
      </c>
    </row>
    <row r="1204" spans="1:13">
      <c r="A1204" s="1">
        <f>HYPERLINK("http://www.twitter.com/NathanBLawrence/status/990289636462419970", "990289636462419970")</f>
        <v/>
      </c>
      <c r="B1204" s="2" t="n">
        <v>43218.75025462963</v>
      </c>
      <c r="C1204" t="n">
        <v>0</v>
      </c>
      <c r="D1204" t="n">
        <v>672</v>
      </c>
      <c r="E1204" t="s">
        <v>1205</v>
      </c>
      <c r="F1204">
        <f>HYPERLINK("https://video.twimg.com/ext_tw_video/990232987412254723/pu/vid/1280x720/akLdaGK8XtNMXXUz.mp4?tag=3", "https://video.twimg.com/ext_tw_video/990232987412254723/pu/vid/1280x720/akLdaGK8XtNMXXUz.mp4?tag=3")</f>
        <v/>
      </c>
      <c r="G1204" t="s"/>
      <c r="H1204" t="s"/>
      <c r="I1204" t="s"/>
      <c r="J1204" t="n">
        <v>-0.1027</v>
      </c>
      <c r="K1204" t="n">
        <v>0.113</v>
      </c>
      <c r="L1204" t="n">
        <v>0.792</v>
      </c>
      <c r="M1204" t="n">
        <v>0.096</v>
      </c>
    </row>
    <row r="1205" spans="1:13">
      <c r="A1205" s="1">
        <f>HYPERLINK("http://www.twitter.com/NathanBLawrence/status/990288855600427013", "990288855600427013")</f>
        <v/>
      </c>
      <c r="B1205" s="2" t="n">
        <v>43218.74810185185</v>
      </c>
      <c r="C1205" t="n">
        <v>0</v>
      </c>
      <c r="D1205" t="n">
        <v>4</v>
      </c>
      <c r="E1205" t="s">
        <v>1206</v>
      </c>
      <c r="F1205" t="s"/>
      <c r="G1205" t="s"/>
      <c r="H1205" t="s"/>
      <c r="I1205" t="s"/>
      <c r="J1205" t="n">
        <v>-0.2533</v>
      </c>
      <c r="K1205" t="n">
        <v>0.135</v>
      </c>
      <c r="L1205" t="n">
        <v>0.803</v>
      </c>
      <c r="M1205" t="n">
        <v>0.062</v>
      </c>
    </row>
    <row r="1206" spans="1:13">
      <c r="A1206" s="1">
        <f>HYPERLINK("http://www.twitter.com/NathanBLawrence/status/990288767666806784", "990288767666806784")</f>
        <v/>
      </c>
      <c r="B1206" s="2" t="n">
        <v>43218.7478587963</v>
      </c>
      <c r="C1206" t="n">
        <v>0</v>
      </c>
      <c r="D1206" t="n">
        <v>7</v>
      </c>
      <c r="E1206" t="s">
        <v>1207</v>
      </c>
      <c r="F1206" t="s"/>
      <c r="G1206" t="s"/>
      <c r="H1206" t="s"/>
      <c r="I1206" t="s"/>
      <c r="J1206" t="n">
        <v>0.2732</v>
      </c>
      <c r="K1206" t="n">
        <v>0.064</v>
      </c>
      <c r="L1206" t="n">
        <v>0.822</v>
      </c>
      <c r="M1206" t="n">
        <v>0.114</v>
      </c>
    </row>
    <row r="1207" spans="1:13">
      <c r="A1207" s="1">
        <f>HYPERLINK("http://www.twitter.com/NathanBLawrence/status/990288719352619008", "990288719352619008")</f>
        <v/>
      </c>
      <c r="B1207" s="2" t="n">
        <v>43218.74773148148</v>
      </c>
      <c r="C1207" t="n">
        <v>0</v>
      </c>
      <c r="D1207" t="n">
        <v>9</v>
      </c>
      <c r="E1207" t="s">
        <v>1208</v>
      </c>
      <c r="F1207">
        <f>HYPERLINK("http://pbs.twimg.com/media/Db1ZDqEXkAEBRK9.jpg", "http://pbs.twimg.com/media/Db1ZDqEXkAEBRK9.jpg")</f>
        <v/>
      </c>
      <c r="G1207" t="s"/>
      <c r="H1207" t="s"/>
      <c r="I1207" t="s"/>
      <c r="J1207" t="n">
        <v>-0.6114000000000001</v>
      </c>
      <c r="K1207" t="n">
        <v>0.235</v>
      </c>
      <c r="L1207" t="n">
        <v>0.765</v>
      </c>
      <c r="M1207" t="n">
        <v>0</v>
      </c>
    </row>
    <row r="1208" spans="1:13">
      <c r="A1208" s="1">
        <f>HYPERLINK("http://www.twitter.com/NathanBLawrence/status/990288703611392000", "990288703611392000")</f>
        <v/>
      </c>
      <c r="B1208" s="2" t="n">
        <v>43218.74768518518</v>
      </c>
      <c r="C1208" t="n">
        <v>0</v>
      </c>
      <c r="D1208" t="n">
        <v>6</v>
      </c>
      <c r="E1208" t="s">
        <v>1209</v>
      </c>
      <c r="F1208" t="s"/>
      <c r="G1208" t="s"/>
      <c r="H1208" t="s"/>
      <c r="I1208" t="s"/>
      <c r="J1208" t="n">
        <v>-0.6908</v>
      </c>
      <c r="K1208" t="n">
        <v>0.213</v>
      </c>
      <c r="L1208" t="n">
        <v>0.787</v>
      </c>
      <c r="M1208" t="n">
        <v>0</v>
      </c>
    </row>
    <row r="1209" spans="1:13">
      <c r="A1209" s="1">
        <f>HYPERLINK("http://www.twitter.com/NathanBLawrence/status/990288673492041729", "990288673492041729")</f>
        <v/>
      </c>
      <c r="B1209" s="2" t="n">
        <v>43218.74760416667</v>
      </c>
      <c r="C1209" t="n">
        <v>0</v>
      </c>
      <c r="D1209" t="n">
        <v>4</v>
      </c>
      <c r="E1209" t="s">
        <v>1210</v>
      </c>
      <c r="F1209" t="s"/>
      <c r="G1209" t="s"/>
      <c r="H1209" t="s"/>
      <c r="I1209" t="s"/>
      <c r="J1209" t="n">
        <v>0.1179</v>
      </c>
      <c r="K1209" t="n">
        <v>0.091</v>
      </c>
      <c r="L1209" t="n">
        <v>0.8</v>
      </c>
      <c r="M1209" t="n">
        <v>0.109</v>
      </c>
    </row>
    <row r="1210" spans="1:13">
      <c r="A1210" s="1">
        <f>HYPERLINK("http://www.twitter.com/NathanBLawrence/status/990288654101893120", "990288654101893120")</f>
        <v/>
      </c>
      <c r="B1210" s="2" t="n">
        <v>43218.7475462963</v>
      </c>
      <c r="C1210" t="n">
        <v>0</v>
      </c>
      <c r="D1210" t="n">
        <v>6</v>
      </c>
      <c r="E1210" t="s">
        <v>1211</v>
      </c>
      <c r="F1210" t="s"/>
      <c r="G1210" t="s"/>
      <c r="H1210" t="s"/>
      <c r="I1210" t="s"/>
      <c r="J1210" t="n">
        <v>-0.4588</v>
      </c>
      <c r="K1210" t="n">
        <v>0.12</v>
      </c>
      <c r="L1210" t="n">
        <v>0.88</v>
      </c>
      <c r="M1210" t="n">
        <v>0</v>
      </c>
    </row>
    <row r="1211" spans="1:13">
      <c r="A1211" s="1">
        <f>HYPERLINK("http://www.twitter.com/NathanBLawrence/status/990288630324359168", "990288630324359168")</f>
        <v/>
      </c>
      <c r="B1211" s="2" t="n">
        <v>43218.74747685185</v>
      </c>
      <c r="C1211" t="n">
        <v>0</v>
      </c>
      <c r="D1211" t="n">
        <v>3</v>
      </c>
      <c r="E1211" t="s">
        <v>1212</v>
      </c>
      <c r="F1211" t="s"/>
      <c r="G1211" t="s"/>
      <c r="H1211" t="s"/>
      <c r="I1211" t="s"/>
      <c r="J1211" t="n">
        <v>0</v>
      </c>
      <c r="K1211" t="n">
        <v>0</v>
      </c>
      <c r="L1211" t="n">
        <v>1</v>
      </c>
      <c r="M1211" t="n">
        <v>0</v>
      </c>
    </row>
    <row r="1212" spans="1:13">
      <c r="A1212" s="1">
        <f>HYPERLINK("http://www.twitter.com/NathanBLawrence/status/990288616177000448", "990288616177000448")</f>
        <v/>
      </c>
      <c r="B1212" s="2" t="n">
        <v>43218.74744212963</v>
      </c>
      <c r="C1212" t="n">
        <v>0</v>
      </c>
      <c r="D1212" t="n">
        <v>11</v>
      </c>
      <c r="E1212" t="s">
        <v>1189</v>
      </c>
      <c r="F1212">
        <f>HYPERLINK("http://pbs.twimg.com/media/Db4PSB-VwAEYNJQ.jpg", "http://pbs.twimg.com/media/Db4PSB-VwAEYNJQ.jpg")</f>
        <v/>
      </c>
      <c r="G1212" t="s"/>
      <c r="H1212" t="s"/>
      <c r="I1212" t="s"/>
      <c r="J1212" t="n">
        <v>0</v>
      </c>
      <c r="K1212" t="n">
        <v>0</v>
      </c>
      <c r="L1212" t="n">
        <v>1</v>
      </c>
      <c r="M1212" t="n">
        <v>0</v>
      </c>
    </row>
    <row r="1213" spans="1:13">
      <c r="A1213" s="1">
        <f>HYPERLINK("http://www.twitter.com/NathanBLawrence/status/990288588993679362", "990288588993679362")</f>
        <v/>
      </c>
      <c r="B1213" s="2" t="n">
        <v>43218.74736111111</v>
      </c>
      <c r="C1213" t="n">
        <v>0</v>
      </c>
      <c r="D1213" t="n">
        <v>7</v>
      </c>
      <c r="E1213" t="s">
        <v>1213</v>
      </c>
      <c r="F1213" t="s"/>
      <c r="G1213" t="s"/>
      <c r="H1213" t="s"/>
      <c r="I1213" t="s"/>
      <c r="J1213" t="n">
        <v>0</v>
      </c>
      <c r="K1213" t="n">
        <v>0</v>
      </c>
      <c r="L1213" t="n">
        <v>1</v>
      </c>
      <c r="M1213" t="n">
        <v>0</v>
      </c>
    </row>
    <row r="1214" spans="1:13">
      <c r="A1214" s="1">
        <f>HYPERLINK("http://www.twitter.com/NathanBLawrence/status/990288539345702912", "990288539345702912")</f>
        <v/>
      </c>
      <c r="B1214" s="2" t="n">
        <v>43218.7472337963</v>
      </c>
      <c r="C1214" t="n">
        <v>0</v>
      </c>
      <c r="D1214" t="n">
        <v>6</v>
      </c>
      <c r="E1214" t="s">
        <v>1214</v>
      </c>
      <c r="F1214">
        <f>HYPERLINK("http://pbs.twimg.com/media/Db4P_5dWsAAyVMC.jpg", "http://pbs.twimg.com/media/Db4P_5dWsAAyVMC.jpg")</f>
        <v/>
      </c>
      <c r="G1214" t="s"/>
      <c r="H1214" t="s"/>
      <c r="I1214" t="s"/>
      <c r="J1214" t="n">
        <v>-0.25</v>
      </c>
      <c r="K1214" t="n">
        <v>0.201</v>
      </c>
      <c r="L1214" t="n">
        <v>0.652</v>
      </c>
      <c r="M1214" t="n">
        <v>0.147</v>
      </c>
    </row>
    <row r="1215" spans="1:13">
      <c r="A1215" s="1">
        <f>HYPERLINK("http://www.twitter.com/NathanBLawrence/status/990288505606688768", "990288505606688768")</f>
        <v/>
      </c>
      <c r="B1215" s="2" t="n">
        <v>43218.7471412037</v>
      </c>
      <c r="C1215" t="n">
        <v>0</v>
      </c>
      <c r="D1215" t="n">
        <v>5</v>
      </c>
      <c r="E1215" t="s">
        <v>1215</v>
      </c>
      <c r="F1215" t="s"/>
      <c r="G1215" t="s"/>
      <c r="H1215" t="s"/>
      <c r="I1215" t="s"/>
      <c r="J1215" t="n">
        <v>-0.5266999999999999</v>
      </c>
      <c r="K1215" t="n">
        <v>0.242</v>
      </c>
      <c r="L1215" t="n">
        <v>0.606</v>
      </c>
      <c r="M1215" t="n">
        <v>0.152</v>
      </c>
    </row>
    <row r="1216" spans="1:13">
      <c r="A1216" s="1">
        <f>HYPERLINK("http://www.twitter.com/NathanBLawrence/status/990288480948314113", "990288480948314113")</f>
        <v/>
      </c>
      <c r="B1216" s="2" t="n">
        <v>43218.74707175926</v>
      </c>
      <c r="C1216" t="n">
        <v>0</v>
      </c>
      <c r="D1216" t="n">
        <v>11</v>
      </c>
      <c r="E1216" t="s">
        <v>1216</v>
      </c>
      <c r="F1216" t="s"/>
      <c r="G1216" t="s"/>
      <c r="H1216" t="s"/>
      <c r="I1216" t="s"/>
      <c r="J1216" t="n">
        <v>0</v>
      </c>
      <c r="K1216" t="n">
        <v>0</v>
      </c>
      <c r="L1216" t="n">
        <v>1</v>
      </c>
      <c r="M1216" t="n">
        <v>0</v>
      </c>
    </row>
    <row r="1217" spans="1:13">
      <c r="A1217" s="1">
        <f>HYPERLINK("http://www.twitter.com/NathanBLawrence/status/990288459976921089", "990288459976921089")</f>
        <v/>
      </c>
      <c r="B1217" s="2" t="n">
        <v>43218.74701388889</v>
      </c>
      <c r="C1217" t="n">
        <v>0</v>
      </c>
      <c r="D1217" t="n">
        <v>12</v>
      </c>
      <c r="E1217" t="s">
        <v>1217</v>
      </c>
      <c r="F1217" t="s"/>
      <c r="G1217" t="s"/>
      <c r="H1217" t="s"/>
      <c r="I1217" t="s"/>
      <c r="J1217" t="n">
        <v>0.4199</v>
      </c>
      <c r="K1217" t="n">
        <v>0</v>
      </c>
      <c r="L1217" t="n">
        <v>0.878</v>
      </c>
      <c r="M1217" t="n">
        <v>0.122</v>
      </c>
    </row>
    <row r="1218" spans="1:13">
      <c r="A1218" s="1">
        <f>HYPERLINK("http://www.twitter.com/NathanBLawrence/status/990288441853214720", "990288441853214720")</f>
        <v/>
      </c>
      <c r="B1218" s="2" t="n">
        <v>43218.74695601852</v>
      </c>
      <c r="C1218" t="n">
        <v>0</v>
      </c>
      <c r="D1218" t="n">
        <v>4</v>
      </c>
      <c r="E1218" t="s">
        <v>1218</v>
      </c>
      <c r="F1218" t="s"/>
      <c r="G1218" t="s"/>
      <c r="H1218" t="s"/>
      <c r="I1218" t="s"/>
      <c r="J1218" t="n">
        <v>0</v>
      </c>
      <c r="K1218" t="n">
        <v>0</v>
      </c>
      <c r="L1218" t="n">
        <v>1</v>
      </c>
      <c r="M1218" t="n">
        <v>0</v>
      </c>
    </row>
    <row r="1219" spans="1:13">
      <c r="A1219" s="1">
        <f>HYPERLINK("http://www.twitter.com/NathanBLawrence/status/990288412329603072", "990288412329603072")</f>
        <v/>
      </c>
      <c r="B1219" s="2" t="n">
        <v>43218.746875</v>
      </c>
      <c r="C1219" t="n">
        <v>0</v>
      </c>
      <c r="D1219" t="n">
        <v>6</v>
      </c>
      <c r="E1219" t="s">
        <v>1219</v>
      </c>
      <c r="F1219" t="s"/>
      <c r="G1219" t="s"/>
      <c r="H1219" t="s"/>
      <c r="I1219" t="s"/>
      <c r="J1219" t="n">
        <v>-0.6597</v>
      </c>
      <c r="K1219" t="n">
        <v>0.221</v>
      </c>
      <c r="L1219" t="n">
        <v>0.779</v>
      </c>
      <c r="M1219" t="n">
        <v>0</v>
      </c>
    </row>
    <row r="1220" spans="1:13">
      <c r="A1220" s="1">
        <f>HYPERLINK("http://www.twitter.com/NathanBLawrence/status/990288358805995521", "990288358805995521")</f>
        <v/>
      </c>
      <c r="B1220" s="2" t="n">
        <v>43218.74673611111</v>
      </c>
      <c r="C1220" t="n">
        <v>0</v>
      </c>
      <c r="D1220" t="n">
        <v>12</v>
      </c>
      <c r="E1220" t="s">
        <v>1220</v>
      </c>
      <c r="F1220">
        <f>HYPERLINK("http://pbs.twimg.com/media/Db0-bBPWkAAroey.jpg", "http://pbs.twimg.com/media/Db0-bBPWkAAroey.jpg")</f>
        <v/>
      </c>
      <c r="G1220" t="s"/>
      <c r="H1220" t="s"/>
      <c r="I1220" t="s"/>
      <c r="J1220" t="n">
        <v>0.7985</v>
      </c>
      <c r="K1220" t="n">
        <v>0.118</v>
      </c>
      <c r="L1220" t="n">
        <v>0.577</v>
      </c>
      <c r="M1220" t="n">
        <v>0.305</v>
      </c>
    </row>
    <row r="1221" spans="1:13">
      <c r="A1221" s="1">
        <f>HYPERLINK("http://www.twitter.com/NathanBLawrence/status/990288335204683781", "990288335204683781")</f>
        <v/>
      </c>
      <c r="B1221" s="2" t="n">
        <v>43218.74666666667</v>
      </c>
      <c r="C1221" t="n">
        <v>0</v>
      </c>
      <c r="D1221" t="n">
        <v>5</v>
      </c>
      <c r="E1221" t="s">
        <v>1221</v>
      </c>
      <c r="F1221" t="s"/>
      <c r="G1221" t="s"/>
      <c r="H1221" t="s"/>
      <c r="I1221" t="s"/>
      <c r="J1221" t="n">
        <v>-0.296</v>
      </c>
      <c r="K1221" t="n">
        <v>0.11</v>
      </c>
      <c r="L1221" t="n">
        <v>0.833</v>
      </c>
      <c r="M1221" t="n">
        <v>0.057</v>
      </c>
    </row>
    <row r="1222" spans="1:13">
      <c r="A1222" s="1">
        <f>HYPERLINK("http://www.twitter.com/NathanBLawrence/status/990288307933401088", "990288307933401088")</f>
        <v/>
      </c>
      <c r="B1222" s="2" t="n">
        <v>43218.74658564815</v>
      </c>
      <c r="C1222" t="n">
        <v>0</v>
      </c>
      <c r="D1222" t="n">
        <v>5</v>
      </c>
      <c r="E1222" t="s">
        <v>1222</v>
      </c>
      <c r="F1222" t="s"/>
      <c r="G1222" t="s"/>
      <c r="H1222" t="s"/>
      <c r="I1222" t="s"/>
      <c r="J1222" t="n">
        <v>0</v>
      </c>
      <c r="K1222" t="n">
        <v>0</v>
      </c>
      <c r="L1222" t="n">
        <v>1</v>
      </c>
      <c r="M1222" t="n">
        <v>0</v>
      </c>
    </row>
    <row r="1223" spans="1:13">
      <c r="A1223" s="1">
        <f>HYPERLINK("http://www.twitter.com/NathanBLawrence/status/990288255634542595", "990288255634542595")</f>
        <v/>
      </c>
      <c r="B1223" s="2" t="n">
        <v>43218.74644675926</v>
      </c>
      <c r="C1223" t="n">
        <v>0</v>
      </c>
      <c r="D1223" t="n">
        <v>8</v>
      </c>
      <c r="E1223" t="s">
        <v>1223</v>
      </c>
      <c r="F1223" t="s"/>
      <c r="G1223" t="s"/>
      <c r="H1223" t="s"/>
      <c r="I1223" t="s"/>
      <c r="J1223" t="n">
        <v>-0.1926</v>
      </c>
      <c r="K1223" t="n">
        <v>0.081</v>
      </c>
      <c r="L1223" t="n">
        <v>0.919</v>
      </c>
      <c r="M1223" t="n">
        <v>0</v>
      </c>
    </row>
    <row r="1224" spans="1:13">
      <c r="A1224" s="1">
        <f>HYPERLINK("http://www.twitter.com/NathanBLawrence/status/990288230292606976", "990288230292606976")</f>
        <v/>
      </c>
      <c r="B1224" s="2" t="n">
        <v>43218.74637731481</v>
      </c>
      <c r="C1224" t="n">
        <v>0</v>
      </c>
      <c r="D1224" t="n">
        <v>13</v>
      </c>
      <c r="E1224" t="s">
        <v>1224</v>
      </c>
      <c r="F1224">
        <f>HYPERLINK("http://pbs.twimg.com/media/Db0DOPkVMAAGdK3.jpg", "http://pbs.twimg.com/media/Db0DOPkVMAAGdK3.jpg")</f>
        <v/>
      </c>
      <c r="G1224" t="s"/>
      <c r="H1224" t="s"/>
      <c r="I1224" t="s"/>
      <c r="J1224" t="n">
        <v>0.1531</v>
      </c>
      <c r="K1224" t="n">
        <v>0.1</v>
      </c>
      <c r="L1224" t="n">
        <v>0.773</v>
      </c>
      <c r="M1224" t="n">
        <v>0.127</v>
      </c>
    </row>
    <row r="1225" spans="1:13">
      <c r="A1225" s="1">
        <f>HYPERLINK("http://www.twitter.com/NathanBLawrence/status/990288215604162561", "990288215604162561")</f>
        <v/>
      </c>
      <c r="B1225" s="2" t="n">
        <v>43218.74633101852</v>
      </c>
      <c r="C1225" t="n">
        <v>0</v>
      </c>
      <c r="D1225" t="n">
        <v>16</v>
      </c>
      <c r="E1225" t="s">
        <v>1225</v>
      </c>
      <c r="F1225" t="s"/>
      <c r="G1225" t="s"/>
      <c r="H1225" t="s"/>
      <c r="I1225" t="s"/>
      <c r="J1225" t="n">
        <v>-0.5946</v>
      </c>
      <c r="K1225" t="n">
        <v>0.291</v>
      </c>
      <c r="L1225" t="n">
        <v>0.572</v>
      </c>
      <c r="M1225" t="n">
        <v>0.137</v>
      </c>
    </row>
    <row r="1226" spans="1:13">
      <c r="A1226" s="1">
        <f>HYPERLINK("http://www.twitter.com/NathanBLawrence/status/990288200030617600", "990288200030617600")</f>
        <v/>
      </c>
      <c r="B1226" s="2" t="n">
        <v>43218.7462962963</v>
      </c>
      <c r="C1226" t="n">
        <v>0</v>
      </c>
      <c r="D1226" t="n">
        <v>8</v>
      </c>
      <c r="E1226" t="s">
        <v>1226</v>
      </c>
      <c r="F1226" t="s"/>
      <c r="G1226" t="s"/>
      <c r="H1226" t="s"/>
      <c r="I1226" t="s"/>
      <c r="J1226" t="n">
        <v>0</v>
      </c>
      <c r="K1226" t="n">
        <v>0</v>
      </c>
      <c r="L1226" t="n">
        <v>1</v>
      </c>
      <c r="M1226" t="n">
        <v>0</v>
      </c>
    </row>
    <row r="1227" spans="1:13">
      <c r="A1227" s="1">
        <f>HYPERLINK("http://www.twitter.com/NathanBLawrence/status/990288187506479105", "990288187506479105")</f>
        <v/>
      </c>
      <c r="B1227" s="2" t="n">
        <v>43218.74626157407</v>
      </c>
      <c r="C1227" t="n">
        <v>0</v>
      </c>
      <c r="D1227" t="n">
        <v>10</v>
      </c>
      <c r="E1227" t="s">
        <v>1227</v>
      </c>
      <c r="F1227" t="s"/>
      <c r="G1227" t="s"/>
      <c r="H1227" t="s"/>
      <c r="I1227" t="s"/>
      <c r="J1227" t="n">
        <v>-0.4023</v>
      </c>
      <c r="K1227" t="n">
        <v>0.119</v>
      </c>
      <c r="L1227" t="n">
        <v>0.881</v>
      </c>
      <c r="M1227" t="n">
        <v>0</v>
      </c>
    </row>
    <row r="1228" spans="1:13">
      <c r="A1228" s="1">
        <f>HYPERLINK("http://www.twitter.com/NathanBLawrence/status/990288152421072897", "990288152421072897")</f>
        <v/>
      </c>
      <c r="B1228" s="2" t="n">
        <v>43218.7461574074</v>
      </c>
      <c r="C1228" t="n">
        <v>0</v>
      </c>
      <c r="D1228" t="n">
        <v>15</v>
      </c>
      <c r="E1228" t="s">
        <v>1228</v>
      </c>
      <c r="F1228">
        <f>HYPERLINK("http://pbs.twimg.com/media/Db4uD-YWAAAmp1Q.jpg", "http://pbs.twimg.com/media/Db4uD-YWAAAmp1Q.jpg")</f>
        <v/>
      </c>
      <c r="G1228" t="s"/>
      <c r="H1228" t="s"/>
      <c r="I1228" t="s"/>
      <c r="J1228" t="n">
        <v>0</v>
      </c>
      <c r="K1228" t="n">
        <v>0</v>
      </c>
      <c r="L1228" t="n">
        <v>1</v>
      </c>
      <c r="M1228" t="n">
        <v>0</v>
      </c>
    </row>
    <row r="1229" spans="1:13">
      <c r="A1229" s="1">
        <f>HYPERLINK("http://www.twitter.com/NathanBLawrence/status/990288086042120192", "990288086042120192")</f>
        <v/>
      </c>
      <c r="B1229" s="2" t="n">
        <v>43218.7459837963</v>
      </c>
      <c r="C1229" t="n">
        <v>0</v>
      </c>
      <c r="D1229" t="n">
        <v>4</v>
      </c>
      <c r="E1229" t="s">
        <v>1229</v>
      </c>
      <c r="F1229" t="s"/>
      <c r="G1229" t="s"/>
      <c r="H1229" t="s"/>
      <c r="I1229" t="s"/>
      <c r="J1229" t="n">
        <v>-0.4019</v>
      </c>
      <c r="K1229" t="n">
        <v>0.13</v>
      </c>
      <c r="L1229" t="n">
        <v>0.87</v>
      </c>
      <c r="M1229" t="n">
        <v>0</v>
      </c>
    </row>
    <row r="1230" spans="1:13">
      <c r="A1230" s="1">
        <f>HYPERLINK("http://www.twitter.com/NathanBLawrence/status/990287997286473730", "990287997286473730")</f>
        <v/>
      </c>
      <c r="B1230" s="2" t="n">
        <v>43218.74572916667</v>
      </c>
      <c r="C1230" t="n">
        <v>0</v>
      </c>
      <c r="D1230" t="n">
        <v>1</v>
      </c>
      <c r="E1230" t="s">
        <v>1230</v>
      </c>
      <c r="F1230" t="s"/>
      <c r="G1230" t="s"/>
      <c r="H1230" t="s"/>
      <c r="I1230" t="s"/>
      <c r="J1230" t="n">
        <v>0</v>
      </c>
      <c r="K1230" t="n">
        <v>0</v>
      </c>
      <c r="L1230" t="n">
        <v>1</v>
      </c>
      <c r="M1230" t="n">
        <v>0</v>
      </c>
    </row>
    <row r="1231" spans="1:13">
      <c r="A1231" s="1">
        <f>HYPERLINK("http://www.twitter.com/NathanBLawrence/status/990090633619505152", "990090633619505152")</f>
        <v/>
      </c>
      <c r="B1231" s="2" t="n">
        <v>43218.20111111111</v>
      </c>
      <c r="C1231" t="n">
        <v>0</v>
      </c>
      <c r="D1231" t="n">
        <v>52</v>
      </c>
      <c r="E1231" t="s">
        <v>1231</v>
      </c>
      <c r="F1231">
        <f>HYPERLINK("http://pbs.twimg.com/media/Db1J5DgUwAAvX8Q.jpg", "http://pbs.twimg.com/media/Db1J5DgUwAAvX8Q.jpg")</f>
        <v/>
      </c>
      <c r="G1231" t="s"/>
      <c r="H1231" t="s"/>
      <c r="I1231" t="s"/>
      <c r="J1231" t="n">
        <v>0.296</v>
      </c>
      <c r="K1231" t="n">
        <v>0.104</v>
      </c>
      <c r="L1231" t="n">
        <v>0.709</v>
      </c>
      <c r="M1231" t="n">
        <v>0.187</v>
      </c>
    </row>
    <row r="1232" spans="1:13">
      <c r="A1232" s="1">
        <f>HYPERLINK("http://www.twitter.com/NathanBLawrence/status/990080001801375745", "990080001801375745")</f>
        <v/>
      </c>
      <c r="B1232" s="2" t="n">
        <v>43218.17177083333</v>
      </c>
      <c r="C1232" t="n">
        <v>0</v>
      </c>
      <c r="D1232" t="n">
        <v>11</v>
      </c>
      <c r="E1232" t="s">
        <v>1232</v>
      </c>
      <c r="F1232">
        <f>HYPERLINK("http://pbs.twimg.com/media/Db1PSSyX0AUKc4H.jpg", "http://pbs.twimg.com/media/Db1PSSyX0AUKc4H.jpg")</f>
        <v/>
      </c>
      <c r="G1232" t="s"/>
      <c r="H1232" t="s"/>
      <c r="I1232" t="s"/>
      <c r="J1232" t="n">
        <v>0</v>
      </c>
      <c r="K1232" t="n">
        <v>0</v>
      </c>
      <c r="L1232" t="n">
        <v>1</v>
      </c>
      <c r="M1232" t="n">
        <v>0</v>
      </c>
    </row>
    <row r="1233" spans="1:13">
      <c r="A1233" s="1">
        <f>HYPERLINK("http://www.twitter.com/NathanBLawrence/status/990079918766804992", "990079918766804992")</f>
        <v/>
      </c>
      <c r="B1233" s="2" t="n">
        <v>43218.17155092592</v>
      </c>
      <c r="C1233" t="n">
        <v>0</v>
      </c>
      <c r="D1233" t="n">
        <v>17</v>
      </c>
      <c r="E1233" t="s">
        <v>1233</v>
      </c>
      <c r="F1233" t="s"/>
      <c r="G1233" t="s"/>
      <c r="H1233" t="s"/>
      <c r="I1233" t="s"/>
      <c r="J1233" t="n">
        <v>0</v>
      </c>
      <c r="K1233" t="n">
        <v>0</v>
      </c>
      <c r="L1233" t="n">
        <v>1</v>
      </c>
      <c r="M1233" t="n">
        <v>0</v>
      </c>
    </row>
    <row r="1234" spans="1:13">
      <c r="A1234" s="1">
        <f>HYPERLINK("http://www.twitter.com/NathanBLawrence/status/990079842124169216", "990079842124169216")</f>
        <v/>
      </c>
      <c r="B1234" s="2" t="n">
        <v>43218.17133101852</v>
      </c>
      <c r="C1234" t="n">
        <v>0</v>
      </c>
      <c r="D1234" t="n">
        <v>11</v>
      </c>
      <c r="E1234" t="s">
        <v>1234</v>
      </c>
      <c r="F1234">
        <f>HYPERLINK("http://pbs.twimg.com/media/Db1um2RWsAE2vv7.jpg", "http://pbs.twimg.com/media/Db1um2RWsAE2vv7.jpg")</f>
        <v/>
      </c>
      <c r="G1234" t="s"/>
      <c r="H1234" t="s"/>
      <c r="I1234" t="s"/>
      <c r="J1234" t="n">
        <v>0</v>
      </c>
      <c r="K1234" t="n">
        <v>0</v>
      </c>
      <c r="L1234" t="n">
        <v>1</v>
      </c>
      <c r="M1234" t="n">
        <v>0</v>
      </c>
    </row>
    <row r="1235" spans="1:13">
      <c r="A1235" s="1">
        <f>HYPERLINK("http://www.twitter.com/NathanBLawrence/status/990029916296175616", "990029916296175616")</f>
        <v/>
      </c>
      <c r="B1235" s="2" t="n">
        <v>43218.03356481482</v>
      </c>
      <c r="C1235" t="n">
        <v>0</v>
      </c>
      <c r="D1235" t="n">
        <v>43</v>
      </c>
      <c r="E1235" t="s">
        <v>1235</v>
      </c>
      <c r="F1235" t="s"/>
      <c r="G1235" t="s"/>
      <c r="H1235" t="s"/>
      <c r="I1235" t="s"/>
      <c r="J1235" t="n">
        <v>0.6988</v>
      </c>
      <c r="K1235" t="n">
        <v>0.052</v>
      </c>
      <c r="L1235" t="n">
        <v>0.73</v>
      </c>
      <c r="M1235" t="n">
        <v>0.218</v>
      </c>
    </row>
    <row r="1236" spans="1:13">
      <c r="A1236" s="1">
        <f>HYPERLINK("http://www.twitter.com/NathanBLawrence/status/990015341370593280", "990015341370593280")</f>
        <v/>
      </c>
      <c r="B1236" s="2" t="n">
        <v>43217.99334490741</v>
      </c>
      <c r="C1236" t="n">
        <v>0</v>
      </c>
      <c r="D1236" t="n">
        <v>1</v>
      </c>
      <c r="E1236" t="s">
        <v>1236</v>
      </c>
      <c r="F1236" t="s"/>
      <c r="G1236" t="s"/>
      <c r="H1236" t="s"/>
      <c r="I1236" t="s"/>
      <c r="J1236" t="n">
        <v>0</v>
      </c>
      <c r="K1236" t="n">
        <v>0</v>
      </c>
      <c r="L1236" t="n">
        <v>1</v>
      </c>
      <c r="M1236" t="n">
        <v>0</v>
      </c>
    </row>
    <row r="1237" spans="1:13">
      <c r="A1237" s="1">
        <f>HYPERLINK("http://www.twitter.com/NathanBLawrence/status/990015277273300992", "990015277273300992")</f>
        <v/>
      </c>
      <c r="B1237" s="2" t="n">
        <v>43217.99317129629</v>
      </c>
      <c r="C1237" t="n">
        <v>0</v>
      </c>
      <c r="D1237" t="n">
        <v>17</v>
      </c>
      <c r="E1237" t="s">
        <v>1237</v>
      </c>
      <c r="F1237" t="s"/>
      <c r="G1237" t="s"/>
      <c r="H1237" t="s"/>
      <c r="I1237" t="s"/>
      <c r="J1237" t="n">
        <v>0</v>
      </c>
      <c r="K1237" t="n">
        <v>0</v>
      </c>
      <c r="L1237" t="n">
        <v>1</v>
      </c>
      <c r="M1237" t="n">
        <v>0</v>
      </c>
    </row>
    <row r="1238" spans="1:13">
      <c r="A1238" s="1">
        <f>HYPERLINK("http://www.twitter.com/NathanBLawrence/status/989968418492289024", "989968418492289024")</f>
        <v/>
      </c>
      <c r="B1238" s="2" t="n">
        <v>43217.86386574074</v>
      </c>
      <c r="C1238" t="n">
        <v>0</v>
      </c>
      <c r="D1238" t="n">
        <v>502</v>
      </c>
      <c r="E1238" t="s">
        <v>1238</v>
      </c>
      <c r="F1238">
        <f>HYPERLINK("http://pbs.twimg.com/media/Dby-J8kU8AAqQ0g.jpg", "http://pbs.twimg.com/media/Dby-J8kU8AAqQ0g.jpg")</f>
        <v/>
      </c>
      <c r="G1238" t="s"/>
      <c r="H1238" t="s"/>
      <c r="I1238" t="s"/>
      <c r="J1238" t="n">
        <v>0</v>
      </c>
      <c r="K1238" t="n">
        <v>0</v>
      </c>
      <c r="L1238" t="n">
        <v>1</v>
      </c>
      <c r="M1238" t="n">
        <v>0</v>
      </c>
    </row>
    <row r="1239" spans="1:13">
      <c r="A1239" s="1">
        <f>HYPERLINK("http://www.twitter.com/NathanBLawrence/status/989943833512169472", "989943833512169472")</f>
        <v/>
      </c>
      <c r="B1239" s="2" t="n">
        <v>43217.79601851852</v>
      </c>
      <c r="C1239" t="n">
        <v>0</v>
      </c>
      <c r="D1239" t="n">
        <v>44</v>
      </c>
      <c r="E1239" t="s">
        <v>1239</v>
      </c>
      <c r="F1239" t="s"/>
      <c r="G1239" t="s"/>
      <c r="H1239" t="s"/>
      <c r="I1239" t="s"/>
      <c r="J1239" t="n">
        <v>0.0985</v>
      </c>
      <c r="K1239" t="n">
        <v>0.08400000000000001</v>
      </c>
      <c r="L1239" t="n">
        <v>0.778</v>
      </c>
      <c r="M1239" t="n">
        <v>0.138</v>
      </c>
    </row>
    <row r="1240" spans="1:13">
      <c r="A1240" s="1">
        <f>HYPERLINK("http://www.twitter.com/NathanBLawrence/status/989943805662003200", "989943805662003200")</f>
        <v/>
      </c>
      <c r="B1240" s="2" t="n">
        <v>43217.79594907408</v>
      </c>
      <c r="C1240" t="n">
        <v>0</v>
      </c>
      <c r="D1240" t="n">
        <v>9</v>
      </c>
      <c r="E1240" t="s">
        <v>1240</v>
      </c>
      <c r="F1240" t="s"/>
      <c r="G1240" t="s"/>
      <c r="H1240" t="s"/>
      <c r="I1240" t="s"/>
      <c r="J1240" t="n">
        <v>-0.5106000000000001</v>
      </c>
      <c r="K1240" t="n">
        <v>0.13</v>
      </c>
      <c r="L1240" t="n">
        <v>0.87</v>
      </c>
      <c r="M1240" t="n">
        <v>0</v>
      </c>
    </row>
    <row r="1241" spans="1:13">
      <c r="A1241" s="1">
        <f>HYPERLINK("http://www.twitter.com/NathanBLawrence/status/989943719674572800", "989943719674572800")</f>
        <v/>
      </c>
      <c r="B1241" s="2" t="n">
        <v>43217.79570601852</v>
      </c>
      <c r="C1241" t="n">
        <v>0</v>
      </c>
      <c r="D1241" t="n">
        <v>25317</v>
      </c>
      <c r="E1241" t="s">
        <v>1241</v>
      </c>
      <c r="F1241" t="s"/>
      <c r="G1241" t="s"/>
      <c r="H1241" t="s"/>
      <c r="I1241" t="s"/>
      <c r="J1241" t="n">
        <v>-0.5719</v>
      </c>
      <c r="K1241" t="n">
        <v>0.163</v>
      </c>
      <c r="L1241" t="n">
        <v>0.837</v>
      </c>
      <c r="M1241" t="n">
        <v>0</v>
      </c>
    </row>
    <row r="1242" spans="1:13">
      <c r="A1242" s="1">
        <f>HYPERLINK("http://www.twitter.com/NathanBLawrence/status/989943630172311552", "989943630172311552")</f>
        <v/>
      </c>
      <c r="B1242" s="2" t="n">
        <v>43217.79546296296</v>
      </c>
      <c r="C1242" t="n">
        <v>13</v>
      </c>
      <c r="D1242" t="n">
        <v>5</v>
      </c>
      <c r="E1242" t="s">
        <v>1242</v>
      </c>
      <c r="F1242" t="s"/>
      <c r="G1242" t="s"/>
      <c r="H1242" t="s"/>
      <c r="I1242" t="s"/>
      <c r="J1242" t="n">
        <v>-0.411</v>
      </c>
      <c r="K1242" t="n">
        <v>0.232</v>
      </c>
      <c r="L1242" t="n">
        <v>0.597</v>
      </c>
      <c r="M1242" t="n">
        <v>0.171</v>
      </c>
    </row>
    <row r="1243" spans="1:13">
      <c r="A1243" s="1">
        <f>HYPERLINK("http://www.twitter.com/NathanBLawrence/status/989941332058619905", "989941332058619905")</f>
        <v/>
      </c>
      <c r="B1243" s="2" t="n">
        <v>43217.78912037037</v>
      </c>
      <c r="C1243" t="n">
        <v>0</v>
      </c>
      <c r="D1243" t="n">
        <v>13</v>
      </c>
      <c r="E1243" t="s">
        <v>1243</v>
      </c>
      <c r="F1243">
        <f>HYPERLINK("http://pbs.twimg.com/media/Dby1XZPXcAI96BF.jpg", "http://pbs.twimg.com/media/Dby1XZPXcAI96BF.jpg")</f>
        <v/>
      </c>
      <c r="G1243" t="s"/>
      <c r="H1243" t="s"/>
      <c r="I1243" t="s"/>
      <c r="J1243" t="n">
        <v>0.6908</v>
      </c>
      <c r="K1243" t="n">
        <v>0</v>
      </c>
      <c r="L1243" t="n">
        <v>0.794</v>
      </c>
      <c r="M1243" t="n">
        <v>0.206</v>
      </c>
    </row>
    <row r="1244" spans="1:13">
      <c r="A1244" s="1">
        <f>HYPERLINK("http://www.twitter.com/NathanBLawrence/status/989941315528896514", "989941315528896514")</f>
        <v/>
      </c>
      <c r="B1244" s="2" t="n">
        <v>43217.78907407408</v>
      </c>
      <c r="C1244" t="n">
        <v>0</v>
      </c>
      <c r="D1244" t="n">
        <v>34</v>
      </c>
      <c r="E1244" t="s">
        <v>1244</v>
      </c>
      <c r="F1244" t="s"/>
      <c r="G1244" t="s"/>
      <c r="H1244" t="s"/>
      <c r="I1244" t="s"/>
      <c r="J1244" t="n">
        <v>0.0108</v>
      </c>
      <c r="K1244" t="n">
        <v>0.096</v>
      </c>
      <c r="L1244" t="n">
        <v>0.8070000000000001</v>
      </c>
      <c r="M1244" t="n">
        <v>0.098</v>
      </c>
    </row>
    <row r="1245" spans="1:13">
      <c r="A1245" s="1">
        <f>HYPERLINK("http://www.twitter.com/NathanBLawrence/status/989932664013631488", "989932664013631488")</f>
        <v/>
      </c>
      <c r="B1245" s="2" t="n">
        <v>43217.76519675926</v>
      </c>
      <c r="C1245" t="n">
        <v>0</v>
      </c>
      <c r="D1245" t="n">
        <v>1831</v>
      </c>
      <c r="E1245" t="s">
        <v>1245</v>
      </c>
      <c r="F1245" t="s"/>
      <c r="G1245" t="s"/>
      <c r="H1245" t="s"/>
      <c r="I1245" t="s"/>
      <c r="J1245" t="n">
        <v>-0.0258</v>
      </c>
      <c r="K1245" t="n">
        <v>0.08400000000000001</v>
      </c>
      <c r="L1245" t="n">
        <v>0.837</v>
      </c>
      <c r="M1245" t="n">
        <v>0.08</v>
      </c>
    </row>
    <row r="1246" spans="1:13">
      <c r="A1246" s="1">
        <f>HYPERLINK("http://www.twitter.com/NathanBLawrence/status/989895790654050304", "989895790654050304")</f>
        <v/>
      </c>
      <c r="B1246" s="2" t="n">
        <v>43217.66344907408</v>
      </c>
      <c r="C1246" t="n">
        <v>0</v>
      </c>
      <c r="D1246" t="n">
        <v>6782</v>
      </c>
      <c r="E1246" t="s">
        <v>1246</v>
      </c>
      <c r="F1246" t="s"/>
      <c r="G1246" t="s"/>
      <c r="H1246" t="s"/>
      <c r="I1246" t="s"/>
      <c r="J1246" t="n">
        <v>-0.8779</v>
      </c>
      <c r="K1246" t="n">
        <v>0.373</v>
      </c>
      <c r="L1246" t="n">
        <v>0.627</v>
      </c>
      <c r="M1246" t="n">
        <v>0</v>
      </c>
    </row>
    <row r="1247" spans="1:13">
      <c r="A1247" s="1">
        <f>HYPERLINK("http://www.twitter.com/NathanBLawrence/status/989893827380072448", "989893827380072448")</f>
        <v/>
      </c>
      <c r="B1247" s="2" t="n">
        <v>43217.65803240741</v>
      </c>
      <c r="C1247" t="n">
        <v>0</v>
      </c>
      <c r="D1247" t="n">
        <v>1439</v>
      </c>
      <c r="E1247" t="s">
        <v>1247</v>
      </c>
      <c r="F1247" t="s"/>
      <c r="G1247" t="s"/>
      <c r="H1247" t="s"/>
      <c r="I1247" t="s"/>
      <c r="J1247" t="n">
        <v>0.4067</v>
      </c>
      <c r="K1247" t="n">
        <v>0.211</v>
      </c>
      <c r="L1247" t="n">
        <v>0.432</v>
      </c>
      <c r="M1247" t="n">
        <v>0.358</v>
      </c>
    </row>
    <row r="1248" spans="1:13">
      <c r="A1248" s="1">
        <f>HYPERLINK("http://www.twitter.com/NathanBLawrence/status/989892701603680256", "989892701603680256")</f>
        <v/>
      </c>
      <c r="B1248" s="2" t="n">
        <v>43217.65493055555</v>
      </c>
      <c r="C1248" t="n">
        <v>0</v>
      </c>
      <c r="D1248" t="n">
        <v>592</v>
      </c>
      <c r="E1248" t="s">
        <v>1248</v>
      </c>
      <c r="F1248" t="s"/>
      <c r="G1248" t="s"/>
      <c r="H1248" t="s"/>
      <c r="I1248" t="s"/>
      <c r="J1248" t="n">
        <v>0.5423</v>
      </c>
      <c r="K1248" t="n">
        <v>0.117</v>
      </c>
      <c r="L1248" t="n">
        <v>0.631</v>
      </c>
      <c r="M1248" t="n">
        <v>0.252</v>
      </c>
    </row>
    <row r="1249" spans="1:13">
      <c r="A1249" s="1">
        <f>HYPERLINK("http://www.twitter.com/NathanBLawrence/status/989892678941802496", "989892678941802496")</f>
        <v/>
      </c>
      <c r="B1249" s="2" t="n">
        <v>43217.65486111111</v>
      </c>
      <c r="C1249" t="n">
        <v>0</v>
      </c>
      <c r="D1249" t="n">
        <v>1069</v>
      </c>
      <c r="E1249" t="s">
        <v>1249</v>
      </c>
      <c r="F1249">
        <f>HYPERLINK("http://pbs.twimg.com/media/DbuLq1vVMAEE6YQ.jpg", "http://pbs.twimg.com/media/DbuLq1vVMAEE6YQ.jpg")</f>
        <v/>
      </c>
      <c r="G1249" t="s"/>
      <c r="H1249" t="s"/>
      <c r="I1249" t="s"/>
      <c r="J1249" t="n">
        <v>0</v>
      </c>
      <c r="K1249" t="n">
        <v>0</v>
      </c>
      <c r="L1249" t="n">
        <v>1</v>
      </c>
      <c r="M1249" t="n">
        <v>0</v>
      </c>
    </row>
    <row r="1250" spans="1:13">
      <c r="A1250" s="1">
        <f>HYPERLINK("http://www.twitter.com/NathanBLawrence/status/989892552106049538", "989892552106049538")</f>
        <v/>
      </c>
      <c r="B1250" s="2" t="n">
        <v>43217.65451388889</v>
      </c>
      <c r="C1250" t="n">
        <v>0</v>
      </c>
      <c r="D1250" t="n">
        <v>21860</v>
      </c>
      <c r="E1250" t="s">
        <v>1250</v>
      </c>
      <c r="F1250">
        <f>HYPERLINK("https://video.twimg.com/ext_tw_video/827635152675233794/pu/vid/720x720/zmU6ypGSEGcVpykC.mp4", "https://video.twimg.com/ext_tw_video/827635152675233794/pu/vid/720x720/zmU6ypGSEGcVpykC.mp4")</f>
        <v/>
      </c>
      <c r="G1250" t="s"/>
      <c r="H1250" t="s"/>
      <c r="I1250" t="s"/>
      <c r="J1250" t="n">
        <v>-0.5719</v>
      </c>
      <c r="K1250" t="n">
        <v>0.179</v>
      </c>
      <c r="L1250" t="n">
        <v>0.821</v>
      </c>
      <c r="M1250" t="n">
        <v>0</v>
      </c>
    </row>
    <row r="1251" spans="1:13">
      <c r="A1251" s="1">
        <f>HYPERLINK("http://www.twitter.com/NathanBLawrence/status/989892362699726848", "989892362699726848")</f>
        <v/>
      </c>
      <c r="B1251" s="2" t="n">
        <v>43217.65399305556</v>
      </c>
      <c r="C1251" t="n">
        <v>0</v>
      </c>
      <c r="D1251" t="n">
        <v>76</v>
      </c>
      <c r="E1251" t="s">
        <v>1251</v>
      </c>
      <c r="F1251" t="s"/>
      <c r="G1251" t="s"/>
      <c r="H1251" t="s"/>
      <c r="I1251" t="s"/>
      <c r="J1251" t="n">
        <v>-0.6114000000000001</v>
      </c>
      <c r="K1251" t="n">
        <v>0.185</v>
      </c>
      <c r="L1251" t="n">
        <v>0.8149999999999999</v>
      </c>
      <c r="M1251" t="n">
        <v>0</v>
      </c>
    </row>
    <row r="1252" spans="1:13">
      <c r="A1252" s="1">
        <f>HYPERLINK("http://www.twitter.com/NathanBLawrence/status/989892345758932992", "989892345758932992")</f>
        <v/>
      </c>
      <c r="B1252" s="2" t="n">
        <v>43217.65394675926</v>
      </c>
      <c r="C1252" t="n">
        <v>0</v>
      </c>
      <c r="D1252" t="n">
        <v>33499</v>
      </c>
      <c r="E1252" t="s">
        <v>1252</v>
      </c>
      <c r="F1252" t="s"/>
      <c r="G1252" t="s"/>
      <c r="H1252" t="s"/>
      <c r="I1252" t="s"/>
      <c r="J1252" t="n">
        <v>0.4767</v>
      </c>
      <c r="K1252" t="n">
        <v>0</v>
      </c>
      <c r="L1252" t="n">
        <v>0.846</v>
      </c>
      <c r="M1252" t="n">
        <v>0.154</v>
      </c>
    </row>
    <row r="1253" spans="1:13">
      <c r="A1253" s="1">
        <f>HYPERLINK("http://www.twitter.com/NathanBLawrence/status/989892298757505025", "989892298757505025")</f>
        <v/>
      </c>
      <c r="B1253" s="2" t="n">
        <v>43217.65380787037</v>
      </c>
      <c r="C1253" t="n">
        <v>0</v>
      </c>
      <c r="D1253" t="n">
        <v>34200</v>
      </c>
      <c r="E1253" t="s">
        <v>1253</v>
      </c>
      <c r="F1253" t="s"/>
      <c r="G1253" t="s"/>
      <c r="H1253" t="s"/>
      <c r="I1253" t="s"/>
      <c r="J1253" t="n">
        <v>0.6249</v>
      </c>
      <c r="K1253" t="n">
        <v>0</v>
      </c>
      <c r="L1253" t="n">
        <v>0.837</v>
      </c>
      <c r="M1253" t="n">
        <v>0.163</v>
      </c>
    </row>
    <row r="1254" spans="1:13">
      <c r="A1254" s="1">
        <f>HYPERLINK("http://www.twitter.com/NathanBLawrence/status/989892247113097217", "989892247113097217")</f>
        <v/>
      </c>
      <c r="B1254" s="2" t="n">
        <v>43217.65366898148</v>
      </c>
      <c r="C1254" t="n">
        <v>0</v>
      </c>
      <c r="D1254" t="n">
        <v>315</v>
      </c>
      <c r="E1254" t="s">
        <v>1254</v>
      </c>
      <c r="F1254" t="s"/>
      <c r="G1254" t="s"/>
      <c r="H1254" t="s"/>
      <c r="I1254" t="s"/>
      <c r="J1254" t="n">
        <v>-0.6705</v>
      </c>
      <c r="K1254" t="n">
        <v>0.208</v>
      </c>
      <c r="L1254" t="n">
        <v>0.792</v>
      </c>
      <c r="M1254" t="n">
        <v>0</v>
      </c>
    </row>
    <row r="1255" spans="1:13">
      <c r="A1255" s="1">
        <f>HYPERLINK("http://www.twitter.com/NathanBLawrence/status/989892236493148161", "989892236493148161")</f>
        <v/>
      </c>
      <c r="B1255" s="2" t="n">
        <v>43217.65364583334</v>
      </c>
      <c r="C1255" t="n">
        <v>0</v>
      </c>
      <c r="D1255" t="n">
        <v>7948</v>
      </c>
      <c r="E1255" t="s">
        <v>1255</v>
      </c>
      <c r="F1255" t="s"/>
      <c r="G1255" t="s"/>
      <c r="H1255" t="s"/>
      <c r="I1255" t="s"/>
      <c r="J1255" t="n">
        <v>-0.5994</v>
      </c>
      <c r="K1255" t="n">
        <v>0.218</v>
      </c>
      <c r="L1255" t="n">
        <v>0.782</v>
      </c>
      <c r="M1255" t="n">
        <v>0</v>
      </c>
    </row>
    <row r="1256" spans="1:13">
      <c r="A1256" s="1">
        <f>HYPERLINK("http://www.twitter.com/NathanBLawrence/status/989892217480318976", "989892217480318976")</f>
        <v/>
      </c>
      <c r="B1256" s="2" t="n">
        <v>43217.65358796297</v>
      </c>
      <c r="C1256" t="n">
        <v>0</v>
      </c>
      <c r="D1256" t="n">
        <v>6</v>
      </c>
      <c r="E1256" t="s">
        <v>1256</v>
      </c>
      <c r="F1256" t="s"/>
      <c r="G1256" t="s"/>
      <c r="H1256" t="s"/>
      <c r="I1256" t="s"/>
      <c r="J1256" t="n">
        <v>0.4754</v>
      </c>
      <c r="K1256" t="n">
        <v>0</v>
      </c>
      <c r="L1256" t="n">
        <v>0.866</v>
      </c>
      <c r="M1256" t="n">
        <v>0.134</v>
      </c>
    </row>
    <row r="1257" spans="1:13">
      <c r="A1257" s="1">
        <f>HYPERLINK("http://www.twitter.com/NathanBLawrence/status/989892205023322112", "989892205023322112")</f>
        <v/>
      </c>
      <c r="B1257" s="2" t="n">
        <v>43217.65355324074</v>
      </c>
      <c r="C1257" t="n">
        <v>0</v>
      </c>
      <c r="D1257" t="n">
        <v>15407</v>
      </c>
      <c r="E1257" t="s">
        <v>1257</v>
      </c>
      <c r="F1257" t="s"/>
      <c r="G1257" t="s"/>
      <c r="H1257" t="s"/>
      <c r="I1257" t="s"/>
      <c r="J1257" t="n">
        <v>0.7783</v>
      </c>
      <c r="K1257" t="n">
        <v>0</v>
      </c>
      <c r="L1257" t="n">
        <v>0.755</v>
      </c>
      <c r="M1257" t="n">
        <v>0.245</v>
      </c>
    </row>
    <row r="1258" spans="1:13">
      <c r="A1258" s="1">
        <f>HYPERLINK("http://www.twitter.com/NathanBLawrence/status/989892179656142849", "989892179656142849")</f>
        <v/>
      </c>
      <c r="B1258" s="2" t="n">
        <v>43217.6534837963</v>
      </c>
      <c r="C1258" t="n">
        <v>0</v>
      </c>
      <c r="D1258" t="n">
        <v>11525</v>
      </c>
      <c r="E1258" t="s">
        <v>1258</v>
      </c>
      <c r="F1258" t="s"/>
      <c r="G1258" t="s"/>
      <c r="H1258" t="s"/>
      <c r="I1258" t="s"/>
      <c r="J1258" t="n">
        <v>0</v>
      </c>
      <c r="K1258" t="n">
        <v>0</v>
      </c>
      <c r="L1258" t="n">
        <v>1</v>
      </c>
      <c r="M1258" t="n">
        <v>0</v>
      </c>
    </row>
    <row r="1259" spans="1:13">
      <c r="A1259" s="1">
        <f>HYPERLINK("http://www.twitter.com/NathanBLawrence/status/989891510391975936", "989891510391975936")</f>
        <v/>
      </c>
      <c r="B1259" s="2" t="n">
        <v>43217.65164351852</v>
      </c>
      <c r="C1259" t="n">
        <v>0</v>
      </c>
      <c r="D1259" t="n">
        <v>0</v>
      </c>
      <c r="E1259" t="s">
        <v>1259</v>
      </c>
      <c r="F1259" t="s"/>
      <c r="G1259" t="s"/>
      <c r="H1259" t="s"/>
      <c r="I1259" t="s"/>
      <c r="J1259" t="n">
        <v>0</v>
      </c>
      <c r="K1259" t="n">
        <v>0</v>
      </c>
      <c r="L1259" t="n">
        <v>1</v>
      </c>
      <c r="M1259" t="n">
        <v>0</v>
      </c>
    </row>
    <row r="1260" spans="1:13">
      <c r="A1260" s="1">
        <f>HYPERLINK("http://www.twitter.com/NathanBLawrence/status/989891181931843587", "989891181931843587")</f>
        <v/>
      </c>
      <c r="B1260" s="2" t="n">
        <v>43217.65072916666</v>
      </c>
      <c r="C1260" t="n">
        <v>0</v>
      </c>
      <c r="D1260" t="n">
        <v>14</v>
      </c>
      <c r="E1260" t="s">
        <v>1260</v>
      </c>
      <c r="F1260">
        <f>HYPERLINK("http://pbs.twimg.com/media/DbzDrBGV4AAKjEP.jpg", "http://pbs.twimg.com/media/DbzDrBGV4AAKjEP.jpg")</f>
        <v/>
      </c>
      <c r="G1260" t="s"/>
      <c r="H1260" t="s"/>
      <c r="I1260" t="s"/>
      <c r="J1260" t="n">
        <v>-0.25</v>
      </c>
      <c r="K1260" t="n">
        <v>0.152</v>
      </c>
      <c r="L1260" t="n">
        <v>0.738</v>
      </c>
      <c r="M1260" t="n">
        <v>0.111</v>
      </c>
    </row>
    <row r="1261" spans="1:13">
      <c r="A1261" s="1">
        <f>HYPERLINK("http://www.twitter.com/NathanBLawrence/status/989890949793943552", "989890949793943552")</f>
        <v/>
      </c>
      <c r="B1261" s="2" t="n">
        <v>43217.65009259259</v>
      </c>
      <c r="C1261" t="n">
        <v>0</v>
      </c>
      <c r="D1261" t="n">
        <v>13</v>
      </c>
      <c r="E1261" t="s">
        <v>1261</v>
      </c>
      <c r="F1261" t="s"/>
      <c r="G1261" t="s"/>
      <c r="H1261" t="s"/>
      <c r="I1261" t="s"/>
      <c r="J1261" t="n">
        <v>-0.4215</v>
      </c>
      <c r="K1261" t="n">
        <v>0.135</v>
      </c>
      <c r="L1261" t="n">
        <v>0.865</v>
      </c>
      <c r="M1261" t="n">
        <v>0</v>
      </c>
    </row>
    <row r="1262" spans="1:13">
      <c r="A1262" s="1">
        <f>HYPERLINK("http://www.twitter.com/NathanBLawrence/status/989890549116297217", "989890549116297217")</f>
        <v/>
      </c>
      <c r="B1262" s="2" t="n">
        <v>43217.64898148148</v>
      </c>
      <c r="C1262" t="n">
        <v>0</v>
      </c>
      <c r="D1262" t="n">
        <v>7</v>
      </c>
      <c r="E1262" t="s">
        <v>1262</v>
      </c>
      <c r="F1262" t="s"/>
      <c r="G1262" t="s"/>
      <c r="H1262" t="s"/>
      <c r="I1262" t="s"/>
      <c r="J1262" t="n">
        <v>0</v>
      </c>
      <c r="K1262" t="n">
        <v>0</v>
      </c>
      <c r="L1262" t="n">
        <v>1</v>
      </c>
      <c r="M1262" t="n">
        <v>0</v>
      </c>
    </row>
    <row r="1263" spans="1:13">
      <c r="A1263" s="1">
        <f>HYPERLINK("http://www.twitter.com/NathanBLawrence/status/989890520808853504", "989890520808853504")</f>
        <v/>
      </c>
      <c r="B1263" s="2" t="n">
        <v>43217.64891203704</v>
      </c>
      <c r="C1263" t="n">
        <v>0</v>
      </c>
      <c r="D1263" t="n">
        <v>15</v>
      </c>
      <c r="E1263" t="s">
        <v>1262</v>
      </c>
      <c r="F1263" t="s"/>
      <c r="G1263" t="s"/>
      <c r="H1263" t="s"/>
      <c r="I1263" t="s"/>
      <c r="J1263" t="n">
        <v>0</v>
      </c>
      <c r="K1263" t="n">
        <v>0</v>
      </c>
      <c r="L1263" t="n">
        <v>1</v>
      </c>
      <c r="M1263" t="n">
        <v>0</v>
      </c>
    </row>
    <row r="1264" spans="1:13">
      <c r="A1264" s="1">
        <f>HYPERLINK("http://www.twitter.com/NathanBLawrence/status/989890014556426240", "989890014556426240")</f>
        <v/>
      </c>
      <c r="B1264" s="2" t="n">
        <v>43217.64751157408</v>
      </c>
      <c r="C1264" t="n">
        <v>0</v>
      </c>
      <c r="D1264" t="n">
        <v>12</v>
      </c>
      <c r="E1264" t="s">
        <v>1263</v>
      </c>
      <c r="F1264">
        <f>HYPERLINK("http://pbs.twimg.com/media/DbzJsV-UQAEvRgK.jpg", "http://pbs.twimg.com/media/DbzJsV-UQAEvRgK.jpg")</f>
        <v/>
      </c>
      <c r="G1264" t="s"/>
      <c r="H1264" t="s"/>
      <c r="I1264" t="s"/>
      <c r="J1264" t="n">
        <v>0</v>
      </c>
      <c r="K1264" t="n">
        <v>0</v>
      </c>
      <c r="L1264" t="n">
        <v>1</v>
      </c>
      <c r="M1264" t="n">
        <v>0</v>
      </c>
    </row>
    <row r="1265" spans="1:13">
      <c r="A1265" s="1">
        <f>HYPERLINK("http://www.twitter.com/NathanBLawrence/status/989889881731223552", "989889881731223552")</f>
        <v/>
      </c>
      <c r="B1265" s="2" t="n">
        <v>43217.64714120371</v>
      </c>
      <c r="C1265" t="n">
        <v>0</v>
      </c>
      <c r="D1265" t="n">
        <v>6</v>
      </c>
      <c r="E1265" t="s">
        <v>1264</v>
      </c>
      <c r="F1265" t="s"/>
      <c r="G1265" t="s"/>
      <c r="H1265" t="s"/>
      <c r="I1265" t="s"/>
      <c r="J1265" t="n">
        <v>0</v>
      </c>
      <c r="K1265" t="n">
        <v>0</v>
      </c>
      <c r="L1265" t="n">
        <v>1</v>
      </c>
      <c r="M1265" t="n">
        <v>0</v>
      </c>
    </row>
    <row r="1266" spans="1:13">
      <c r="A1266" s="1">
        <f>HYPERLINK("http://www.twitter.com/NathanBLawrence/status/989889838760517632", "989889838760517632")</f>
        <v/>
      </c>
      <c r="B1266" s="2" t="n">
        <v>43217.64702546296</v>
      </c>
      <c r="C1266" t="n">
        <v>0</v>
      </c>
      <c r="D1266" t="n">
        <v>21</v>
      </c>
      <c r="E1266" t="s">
        <v>1265</v>
      </c>
      <c r="F1266" t="s"/>
      <c r="G1266" t="s"/>
      <c r="H1266" t="s"/>
      <c r="I1266" t="s"/>
      <c r="J1266" t="n">
        <v>0</v>
      </c>
      <c r="K1266" t="n">
        <v>0</v>
      </c>
      <c r="L1266" t="n">
        <v>1</v>
      </c>
      <c r="M1266" t="n">
        <v>0</v>
      </c>
    </row>
    <row r="1267" spans="1:13">
      <c r="A1267" s="1">
        <f>HYPERLINK("http://www.twitter.com/NathanBLawrence/status/989799242402353152", "989799242402353152")</f>
        <v/>
      </c>
      <c r="B1267" s="2" t="n">
        <v>43217.39702546296</v>
      </c>
      <c r="C1267" t="n">
        <v>0</v>
      </c>
      <c r="D1267" t="n">
        <v>3714</v>
      </c>
      <c r="E1267" t="s">
        <v>1266</v>
      </c>
      <c r="F1267" t="s"/>
      <c r="G1267" t="s"/>
      <c r="H1267" t="s"/>
      <c r="I1267" t="s"/>
      <c r="J1267" t="n">
        <v>-0.5319</v>
      </c>
      <c r="K1267" t="n">
        <v>0.222</v>
      </c>
      <c r="L1267" t="n">
        <v>0.778</v>
      </c>
      <c r="M1267" t="n">
        <v>0</v>
      </c>
    </row>
    <row r="1268" spans="1:13">
      <c r="A1268" s="1">
        <f>HYPERLINK("http://www.twitter.com/NathanBLawrence/status/989789828526067712", "989789828526067712")</f>
        <v/>
      </c>
      <c r="B1268" s="2" t="n">
        <v>43217.37105324074</v>
      </c>
      <c r="C1268" t="n">
        <v>0</v>
      </c>
      <c r="D1268" t="n">
        <v>236</v>
      </c>
      <c r="E1268" t="s">
        <v>1267</v>
      </c>
      <c r="F1268" t="s"/>
      <c r="G1268" t="s"/>
      <c r="H1268" t="s"/>
      <c r="I1268" t="s"/>
      <c r="J1268" t="n">
        <v>0.4019</v>
      </c>
      <c r="K1268" t="n">
        <v>0</v>
      </c>
      <c r="L1268" t="n">
        <v>0.803</v>
      </c>
      <c r="M1268" t="n">
        <v>0.197</v>
      </c>
    </row>
    <row r="1269" spans="1:13">
      <c r="A1269" s="1">
        <f>HYPERLINK("http://www.twitter.com/NathanBLawrence/status/989786252596662272", "989786252596662272")</f>
        <v/>
      </c>
      <c r="B1269" s="2" t="n">
        <v>43217.36118055556</v>
      </c>
      <c r="C1269" t="n">
        <v>0</v>
      </c>
      <c r="D1269" t="n">
        <v>38</v>
      </c>
      <c r="E1269" t="s">
        <v>1220</v>
      </c>
      <c r="F1269">
        <f>HYPERLINK("http://pbs.twimg.com/media/DbwtcplU8AEWq-6.jpg", "http://pbs.twimg.com/media/DbwtcplU8AEWq-6.jpg")</f>
        <v/>
      </c>
      <c r="G1269" t="s"/>
      <c r="H1269" t="s"/>
      <c r="I1269" t="s"/>
      <c r="J1269" t="n">
        <v>0.7985</v>
      </c>
      <c r="K1269" t="n">
        <v>0.118</v>
      </c>
      <c r="L1269" t="n">
        <v>0.577</v>
      </c>
      <c r="M1269" t="n">
        <v>0.305</v>
      </c>
    </row>
    <row r="1270" spans="1:13">
      <c r="A1270" s="1">
        <f>HYPERLINK("http://www.twitter.com/NathanBLawrence/status/989784686481301504", "989784686481301504")</f>
        <v/>
      </c>
      <c r="B1270" s="2" t="n">
        <v>43217.35686342593</v>
      </c>
      <c r="C1270" t="n">
        <v>0</v>
      </c>
      <c r="D1270" t="n">
        <v>1</v>
      </c>
      <c r="E1270" t="s">
        <v>1268</v>
      </c>
      <c r="F1270" t="s"/>
      <c r="G1270" t="s"/>
      <c r="H1270" t="s"/>
      <c r="I1270" t="s"/>
      <c r="J1270" t="n">
        <v>0</v>
      </c>
      <c r="K1270" t="n">
        <v>0</v>
      </c>
      <c r="L1270" t="n">
        <v>1</v>
      </c>
      <c r="M1270" t="n">
        <v>0</v>
      </c>
    </row>
    <row r="1271" spans="1:13">
      <c r="A1271" s="1">
        <f>HYPERLINK("http://www.twitter.com/NathanBLawrence/status/989784349548666880", "989784349548666880")</f>
        <v/>
      </c>
      <c r="B1271" s="2" t="n">
        <v>43217.35592592593</v>
      </c>
      <c r="C1271" t="n">
        <v>0</v>
      </c>
      <c r="D1271" t="n">
        <v>263</v>
      </c>
      <c r="E1271" t="s">
        <v>1269</v>
      </c>
      <c r="F1271">
        <f>HYPERLINK("http://pbs.twimg.com/media/DUvkz-pU8AEl6y1.jpg", "http://pbs.twimg.com/media/DUvkz-pU8AEl6y1.jpg")</f>
        <v/>
      </c>
      <c r="G1271" t="s"/>
      <c r="H1271" t="s"/>
      <c r="I1271" t="s"/>
      <c r="J1271" t="n">
        <v>0</v>
      </c>
      <c r="K1271" t="n">
        <v>0</v>
      </c>
      <c r="L1271" t="n">
        <v>1</v>
      </c>
      <c r="M1271" t="n">
        <v>0</v>
      </c>
    </row>
    <row r="1272" spans="1:13">
      <c r="A1272" s="1">
        <f>HYPERLINK("http://www.twitter.com/NathanBLawrence/status/989784189267406848", "989784189267406848")</f>
        <v/>
      </c>
      <c r="B1272" s="2" t="n">
        <v>43217.35548611111</v>
      </c>
      <c r="C1272" t="n">
        <v>0</v>
      </c>
      <c r="D1272" t="n">
        <v>1</v>
      </c>
      <c r="E1272" t="s">
        <v>1270</v>
      </c>
      <c r="F1272" t="s"/>
      <c r="G1272" t="s"/>
      <c r="H1272" t="s"/>
      <c r="I1272" t="s"/>
      <c r="J1272" t="n">
        <v>-0.0516</v>
      </c>
      <c r="K1272" t="n">
        <v>0.222</v>
      </c>
      <c r="L1272" t="n">
        <v>0.541</v>
      </c>
      <c r="M1272" t="n">
        <v>0.237</v>
      </c>
    </row>
    <row r="1273" spans="1:13">
      <c r="A1273" s="1">
        <f>HYPERLINK("http://www.twitter.com/NathanBLawrence/status/989751176923987968", "989751176923987968")</f>
        <v/>
      </c>
      <c r="B1273" s="2" t="n">
        <v>43217.26438657408</v>
      </c>
      <c r="C1273" t="n">
        <v>0</v>
      </c>
      <c r="D1273" t="n">
        <v>14</v>
      </c>
      <c r="E1273" t="s">
        <v>1271</v>
      </c>
      <c r="F1273" t="s"/>
      <c r="G1273" t="s"/>
      <c r="H1273" t="s"/>
      <c r="I1273" t="s"/>
      <c r="J1273" t="n">
        <v>0.538</v>
      </c>
      <c r="K1273" t="n">
        <v>0.095</v>
      </c>
      <c r="L1273" t="n">
        <v>0.6850000000000001</v>
      </c>
      <c r="M1273" t="n">
        <v>0.22</v>
      </c>
    </row>
    <row r="1274" spans="1:13">
      <c r="A1274" s="1">
        <f>HYPERLINK("http://www.twitter.com/NathanBLawrence/status/989751110146510848", "989751110146510848")</f>
        <v/>
      </c>
      <c r="B1274" s="2" t="n">
        <v>43217.26421296296</v>
      </c>
      <c r="C1274" t="n">
        <v>0</v>
      </c>
      <c r="D1274" t="n">
        <v>47</v>
      </c>
      <c r="E1274" t="s">
        <v>1272</v>
      </c>
      <c r="F1274">
        <f>HYPERLINK("http://pbs.twimg.com/media/DblKn8PUQAAc7ap.jpg", "http://pbs.twimg.com/media/DblKn8PUQAAc7ap.jpg")</f>
        <v/>
      </c>
      <c r="G1274" t="s"/>
      <c r="H1274" t="s"/>
      <c r="I1274" t="s"/>
      <c r="J1274" t="n">
        <v>0</v>
      </c>
      <c r="K1274" t="n">
        <v>0</v>
      </c>
      <c r="L1274" t="n">
        <v>1</v>
      </c>
      <c r="M1274" t="n">
        <v>0</v>
      </c>
    </row>
    <row r="1275" spans="1:13">
      <c r="A1275" s="1">
        <f>HYPERLINK("http://www.twitter.com/NathanBLawrence/status/989750963253604352", "989750963253604352")</f>
        <v/>
      </c>
      <c r="B1275" s="2" t="n">
        <v>43217.2637962963</v>
      </c>
      <c r="C1275" t="n">
        <v>0</v>
      </c>
      <c r="D1275" t="n">
        <v>655</v>
      </c>
      <c r="E1275" t="s">
        <v>1273</v>
      </c>
      <c r="F1275">
        <f>HYPERLINK("https://video.twimg.com/ext_tw_video/988887818263932928/pu/vid/640x360/WdQF5EW12lV_ABoz.mp4?tag=3", "https://video.twimg.com/ext_tw_video/988887818263932928/pu/vid/640x360/WdQF5EW12lV_ABoz.mp4?tag=3")</f>
        <v/>
      </c>
      <c r="G1275" t="s"/>
      <c r="H1275" t="s"/>
      <c r="I1275" t="s"/>
      <c r="J1275" t="n">
        <v>-0.5859</v>
      </c>
      <c r="K1275" t="n">
        <v>0.432</v>
      </c>
      <c r="L1275" t="n">
        <v>0.5679999999999999</v>
      </c>
      <c r="M1275" t="n">
        <v>0</v>
      </c>
    </row>
    <row r="1276" spans="1:13">
      <c r="A1276" s="1">
        <f>HYPERLINK("http://www.twitter.com/NathanBLawrence/status/989750640145395713", "989750640145395713")</f>
        <v/>
      </c>
      <c r="B1276" s="2" t="n">
        <v>43217.26290509259</v>
      </c>
      <c r="C1276" t="n">
        <v>0</v>
      </c>
      <c r="D1276" t="n">
        <v>1615</v>
      </c>
      <c r="E1276" t="s">
        <v>1274</v>
      </c>
      <c r="F1276">
        <f>HYPERLINK("https://video.twimg.com/ext_tw_video/989096854582448130/pu/vid/326x180/ugfMNDSgh5fewO1Q.mp4?tag=3", "https://video.twimg.com/ext_tw_video/989096854582448130/pu/vid/326x180/ugfMNDSgh5fewO1Q.mp4?tag=3")</f>
        <v/>
      </c>
      <c r="G1276" t="s"/>
      <c r="H1276" t="s"/>
      <c r="I1276" t="s"/>
      <c r="J1276" t="n">
        <v>-0.6908</v>
      </c>
      <c r="K1276" t="n">
        <v>0.227</v>
      </c>
      <c r="L1276" t="n">
        <v>0.773</v>
      </c>
      <c r="M1276" t="n">
        <v>0</v>
      </c>
    </row>
    <row r="1277" spans="1:13">
      <c r="A1277" s="1">
        <f>HYPERLINK("http://www.twitter.com/NathanBLawrence/status/989750382116061184", "989750382116061184")</f>
        <v/>
      </c>
      <c r="B1277" s="2" t="n">
        <v>43217.26219907407</v>
      </c>
      <c r="C1277" t="n">
        <v>0</v>
      </c>
      <c r="D1277" t="n">
        <v>1052</v>
      </c>
      <c r="E1277" t="s">
        <v>1275</v>
      </c>
      <c r="F1277">
        <f>HYPERLINK("http://pbs.twimg.com/media/DbgqYrfU0AA66x8.jpg", "http://pbs.twimg.com/media/DbgqYrfU0AA66x8.jpg")</f>
        <v/>
      </c>
      <c r="G1277" t="s"/>
      <c r="H1277" t="s"/>
      <c r="I1277" t="s"/>
      <c r="J1277" t="n">
        <v>0</v>
      </c>
      <c r="K1277" t="n">
        <v>0</v>
      </c>
      <c r="L1277" t="n">
        <v>1</v>
      </c>
      <c r="M1277" t="n">
        <v>0</v>
      </c>
    </row>
    <row r="1278" spans="1:13">
      <c r="A1278" s="1">
        <f>HYPERLINK("http://www.twitter.com/NathanBLawrence/status/989750362436333568", "989750362436333568")</f>
        <v/>
      </c>
      <c r="B1278" s="2" t="n">
        <v>43217.2621412037</v>
      </c>
      <c r="C1278" t="n">
        <v>0</v>
      </c>
      <c r="D1278" t="n">
        <v>87732</v>
      </c>
      <c r="E1278" t="s">
        <v>1276</v>
      </c>
      <c r="F1278" t="s"/>
      <c r="G1278" t="s"/>
      <c r="H1278" t="s"/>
      <c r="I1278" t="s"/>
      <c r="J1278" t="n">
        <v>0</v>
      </c>
      <c r="K1278" t="n">
        <v>0</v>
      </c>
      <c r="L1278" t="n">
        <v>1</v>
      </c>
      <c r="M1278" t="n">
        <v>0</v>
      </c>
    </row>
    <row r="1279" spans="1:13">
      <c r="A1279" s="1">
        <f>HYPERLINK("http://www.twitter.com/NathanBLawrence/status/989750316114456576", "989750316114456576")</f>
        <v/>
      </c>
      <c r="B1279" s="2" t="n">
        <v>43217.26201388889</v>
      </c>
      <c r="C1279" t="n">
        <v>0</v>
      </c>
      <c r="D1279" t="n">
        <v>91</v>
      </c>
      <c r="E1279" t="s">
        <v>1277</v>
      </c>
      <c r="F1279">
        <f>HYPERLINK("http://pbs.twimg.com/media/DboraO0UQAETvS_.jpg", "http://pbs.twimg.com/media/DboraO0UQAETvS_.jpg")</f>
        <v/>
      </c>
      <c r="G1279">
        <f>HYPERLINK("http://pbs.twimg.com/media/Dborc83UwAEDTZ9.jpg", "http://pbs.twimg.com/media/Dborc83UwAEDTZ9.jpg")</f>
        <v/>
      </c>
      <c r="H1279" t="s"/>
      <c r="I1279" t="s"/>
      <c r="J1279" t="n">
        <v>0.68</v>
      </c>
      <c r="K1279" t="n">
        <v>0</v>
      </c>
      <c r="L1279" t="n">
        <v>0.763</v>
      </c>
      <c r="M1279" t="n">
        <v>0.237</v>
      </c>
    </row>
    <row r="1280" spans="1:13">
      <c r="A1280" s="1">
        <f>HYPERLINK("http://www.twitter.com/NathanBLawrence/status/989750065790042112", "989750065790042112")</f>
        <v/>
      </c>
      <c r="B1280" s="2" t="n">
        <v>43217.26133101852</v>
      </c>
      <c r="C1280" t="n">
        <v>0</v>
      </c>
      <c r="D1280" t="n">
        <v>4</v>
      </c>
      <c r="E1280" t="s">
        <v>1278</v>
      </c>
      <c r="F1280">
        <f>HYPERLINK("http://pbs.twimg.com/media/DbomH5YXUAAp__s.jpg", "http://pbs.twimg.com/media/DbomH5YXUAAp__s.jpg")</f>
        <v/>
      </c>
      <c r="G1280" t="s"/>
      <c r="H1280" t="s"/>
      <c r="I1280" t="s"/>
      <c r="J1280" t="n">
        <v>0</v>
      </c>
      <c r="K1280" t="n">
        <v>0</v>
      </c>
      <c r="L1280" t="n">
        <v>1</v>
      </c>
      <c r="M1280" t="n">
        <v>0</v>
      </c>
    </row>
    <row r="1281" spans="1:13">
      <c r="A1281" s="1">
        <f>HYPERLINK("http://www.twitter.com/NathanBLawrence/status/989749954305343488", "989749954305343488")</f>
        <v/>
      </c>
      <c r="B1281" s="2" t="n">
        <v>43217.26101851852</v>
      </c>
      <c r="C1281" t="n">
        <v>0</v>
      </c>
      <c r="D1281" t="n">
        <v>3</v>
      </c>
      <c r="E1281" t="s">
        <v>1279</v>
      </c>
      <c r="F1281" t="s"/>
      <c r="G1281" t="s"/>
      <c r="H1281" t="s"/>
      <c r="I1281" t="s"/>
      <c r="J1281" t="n">
        <v>-0.1027</v>
      </c>
      <c r="K1281" t="n">
        <v>0.06900000000000001</v>
      </c>
      <c r="L1281" t="n">
        <v>0.931</v>
      </c>
      <c r="M1281" t="n">
        <v>0</v>
      </c>
    </row>
    <row r="1282" spans="1:13">
      <c r="A1282" s="1">
        <f>HYPERLINK("http://www.twitter.com/NathanBLawrence/status/989749933614878720", "989749933614878720")</f>
        <v/>
      </c>
      <c r="B1282" s="2" t="n">
        <v>43217.26096064815</v>
      </c>
      <c r="C1282" t="n">
        <v>0</v>
      </c>
      <c r="D1282" t="n">
        <v>29</v>
      </c>
      <c r="E1282" t="s">
        <v>1280</v>
      </c>
      <c r="F1282">
        <f>HYPERLINK("http://pbs.twimg.com/media/DbqL75dUwAAjbDf.jpg", "http://pbs.twimg.com/media/DbqL75dUwAAjbDf.jpg")</f>
        <v/>
      </c>
      <c r="G1282" t="s"/>
      <c r="H1282" t="s"/>
      <c r="I1282" t="s"/>
      <c r="J1282" t="n">
        <v>0</v>
      </c>
      <c r="K1282" t="n">
        <v>0</v>
      </c>
      <c r="L1282" t="n">
        <v>1</v>
      </c>
      <c r="M1282" t="n">
        <v>0</v>
      </c>
    </row>
    <row r="1283" spans="1:13">
      <c r="A1283" s="1">
        <f>HYPERLINK("http://www.twitter.com/NathanBLawrence/status/989749846927003648", "989749846927003648")</f>
        <v/>
      </c>
      <c r="B1283" s="2" t="n">
        <v>43217.2607175926</v>
      </c>
      <c r="C1283" t="n">
        <v>0</v>
      </c>
      <c r="D1283" t="n">
        <v>3152</v>
      </c>
      <c r="E1283" t="s">
        <v>1281</v>
      </c>
      <c r="F1283">
        <f>HYPERLINK("https://video.twimg.com/ext_tw_video/989011115421061121/pu/vid/320x180/BOILB6ZuJgnivKCe.mp4?tag=3", "https://video.twimg.com/ext_tw_video/989011115421061121/pu/vid/320x180/BOILB6ZuJgnivKCe.mp4?tag=3")</f>
        <v/>
      </c>
      <c r="G1283" t="s"/>
      <c r="H1283" t="s"/>
      <c r="I1283" t="s"/>
      <c r="J1283" t="n">
        <v>0</v>
      </c>
      <c r="K1283" t="n">
        <v>0</v>
      </c>
      <c r="L1283" t="n">
        <v>1</v>
      </c>
      <c r="M1283" t="n">
        <v>0</v>
      </c>
    </row>
    <row r="1284" spans="1:13">
      <c r="A1284" s="1">
        <f>HYPERLINK("http://www.twitter.com/NathanBLawrence/status/989749782963863552", "989749782963863552")</f>
        <v/>
      </c>
      <c r="B1284" s="2" t="n">
        <v>43217.26054398148</v>
      </c>
      <c r="C1284" t="n">
        <v>0</v>
      </c>
      <c r="D1284" t="n">
        <v>2170</v>
      </c>
      <c r="E1284" t="s">
        <v>1282</v>
      </c>
      <c r="F1284" t="s"/>
      <c r="G1284" t="s"/>
      <c r="H1284" t="s"/>
      <c r="I1284" t="s"/>
      <c r="J1284" t="n">
        <v>0.3612</v>
      </c>
      <c r="K1284" t="n">
        <v>0</v>
      </c>
      <c r="L1284" t="n">
        <v>0.898</v>
      </c>
      <c r="M1284" t="n">
        <v>0.102</v>
      </c>
    </row>
    <row r="1285" spans="1:13">
      <c r="A1285" s="1">
        <f>HYPERLINK("http://www.twitter.com/NathanBLawrence/status/989749645680128000", "989749645680128000")</f>
        <v/>
      </c>
      <c r="B1285" s="2" t="n">
        <v>43217.26016203704</v>
      </c>
      <c r="C1285" t="n">
        <v>0</v>
      </c>
      <c r="D1285" t="n">
        <v>14</v>
      </c>
      <c r="E1285" t="s">
        <v>1283</v>
      </c>
      <c r="F1285">
        <f>HYPERLINK("http://pbs.twimg.com/media/Dbu_5swUQAApywE.jpg", "http://pbs.twimg.com/media/Dbu_5swUQAApywE.jpg")</f>
        <v/>
      </c>
      <c r="G1285" t="s"/>
      <c r="H1285" t="s"/>
      <c r="I1285" t="s"/>
      <c r="J1285" t="n">
        <v>0.4717</v>
      </c>
      <c r="K1285" t="n">
        <v>0</v>
      </c>
      <c r="L1285" t="n">
        <v>0.775</v>
      </c>
      <c r="M1285" t="n">
        <v>0.225</v>
      </c>
    </row>
    <row r="1286" spans="1:13">
      <c r="A1286" s="1">
        <f>HYPERLINK("http://www.twitter.com/NathanBLawrence/status/989749489761042432", "989749489761042432")</f>
        <v/>
      </c>
      <c r="B1286" s="2" t="n">
        <v>43217.25973379629</v>
      </c>
      <c r="C1286" t="n">
        <v>0</v>
      </c>
      <c r="D1286" t="n">
        <v>6</v>
      </c>
      <c r="E1286" t="s">
        <v>1284</v>
      </c>
      <c r="F1286" t="s"/>
      <c r="G1286" t="s"/>
      <c r="H1286" t="s"/>
      <c r="I1286" t="s"/>
      <c r="J1286" t="n">
        <v>-0.5574</v>
      </c>
      <c r="K1286" t="n">
        <v>0.31</v>
      </c>
      <c r="L1286" t="n">
        <v>0.6899999999999999</v>
      </c>
      <c r="M1286" t="n">
        <v>0</v>
      </c>
    </row>
    <row r="1287" spans="1:13">
      <c r="A1287" s="1">
        <f>HYPERLINK("http://www.twitter.com/NathanBLawrence/status/989749462057668608", "989749462057668608")</f>
        <v/>
      </c>
      <c r="B1287" s="2" t="n">
        <v>43217.25966435186</v>
      </c>
      <c r="C1287" t="n">
        <v>0</v>
      </c>
      <c r="D1287" t="n">
        <v>12</v>
      </c>
      <c r="E1287" t="s">
        <v>1285</v>
      </c>
      <c r="F1287" t="s"/>
      <c r="G1287" t="s"/>
      <c r="H1287" t="s"/>
      <c r="I1287" t="s"/>
      <c r="J1287" t="n">
        <v>0.4973</v>
      </c>
      <c r="K1287" t="n">
        <v>0</v>
      </c>
      <c r="L1287" t="n">
        <v>0.791</v>
      </c>
      <c r="M1287" t="n">
        <v>0.209</v>
      </c>
    </row>
    <row r="1288" spans="1:13">
      <c r="A1288" s="1">
        <f>HYPERLINK("http://www.twitter.com/NathanBLawrence/status/989749408706187264", "989749408706187264")</f>
        <v/>
      </c>
      <c r="B1288" s="2" t="n">
        <v>43217.25951388889</v>
      </c>
      <c r="C1288" t="n">
        <v>0</v>
      </c>
      <c r="D1288" t="n">
        <v>75</v>
      </c>
      <c r="E1288" t="s">
        <v>1286</v>
      </c>
      <c r="F1288" t="s"/>
      <c r="G1288" t="s"/>
      <c r="H1288" t="s"/>
      <c r="I1288" t="s"/>
      <c r="J1288" t="n">
        <v>0.4404</v>
      </c>
      <c r="K1288" t="n">
        <v>0</v>
      </c>
      <c r="L1288" t="n">
        <v>0.868</v>
      </c>
      <c r="M1288" t="n">
        <v>0.132</v>
      </c>
    </row>
    <row r="1289" spans="1:13">
      <c r="A1289" s="1">
        <f>HYPERLINK("http://www.twitter.com/NathanBLawrence/status/989749398048456708", "989749398048456708")</f>
        <v/>
      </c>
      <c r="B1289" s="2" t="n">
        <v>43217.25947916666</v>
      </c>
      <c r="C1289" t="n">
        <v>0</v>
      </c>
      <c r="D1289" t="n">
        <v>5</v>
      </c>
      <c r="E1289" t="s">
        <v>1287</v>
      </c>
      <c r="F1289" t="s"/>
      <c r="G1289" t="s"/>
      <c r="H1289" t="s"/>
      <c r="I1289" t="s"/>
      <c r="J1289" t="n">
        <v>0</v>
      </c>
      <c r="K1289" t="n">
        <v>0</v>
      </c>
      <c r="L1289" t="n">
        <v>1</v>
      </c>
      <c r="M1289" t="n">
        <v>0</v>
      </c>
    </row>
    <row r="1290" spans="1:13">
      <c r="A1290" s="1">
        <f>HYPERLINK("http://www.twitter.com/NathanBLawrence/status/989749381950656517", "989749381950656517")</f>
        <v/>
      </c>
      <c r="B1290" s="2" t="n">
        <v>43217.25943287037</v>
      </c>
      <c r="C1290" t="n">
        <v>0</v>
      </c>
      <c r="D1290" t="n">
        <v>89</v>
      </c>
      <c r="E1290" t="s">
        <v>1288</v>
      </c>
      <c r="F1290" t="s"/>
      <c r="G1290" t="s"/>
      <c r="H1290" t="s"/>
      <c r="I1290" t="s"/>
      <c r="J1290" t="n">
        <v>-0.3612</v>
      </c>
      <c r="K1290" t="n">
        <v>0.184</v>
      </c>
      <c r="L1290" t="n">
        <v>0.712</v>
      </c>
      <c r="M1290" t="n">
        <v>0.104</v>
      </c>
    </row>
    <row r="1291" spans="1:13">
      <c r="A1291" s="1">
        <f>HYPERLINK("http://www.twitter.com/NathanBLawrence/status/989749364447854592", "989749364447854592")</f>
        <v/>
      </c>
      <c r="B1291" s="2" t="n">
        <v>43217.25938657407</v>
      </c>
      <c r="C1291" t="n">
        <v>0</v>
      </c>
      <c r="D1291" t="n">
        <v>1097</v>
      </c>
      <c r="E1291" t="s">
        <v>1289</v>
      </c>
      <c r="F1291" t="s"/>
      <c r="G1291" t="s"/>
      <c r="H1291" t="s"/>
      <c r="I1291" t="s"/>
      <c r="J1291" t="n">
        <v>0</v>
      </c>
      <c r="K1291" t="n">
        <v>0</v>
      </c>
      <c r="L1291" t="n">
        <v>1</v>
      </c>
      <c r="M1291" t="n">
        <v>0</v>
      </c>
    </row>
    <row r="1292" spans="1:13">
      <c r="A1292" s="1">
        <f>HYPERLINK("http://www.twitter.com/NathanBLawrence/status/989700422754500608", "989700422754500608")</f>
        <v/>
      </c>
      <c r="B1292" s="2" t="n">
        <v>43217.12434027778</v>
      </c>
      <c r="C1292" t="n">
        <v>0</v>
      </c>
      <c r="D1292" t="n">
        <v>29036</v>
      </c>
      <c r="E1292" t="s">
        <v>1290</v>
      </c>
      <c r="F1292" t="s"/>
      <c r="G1292" t="s"/>
      <c r="H1292" t="s"/>
      <c r="I1292" t="s"/>
      <c r="J1292" t="n">
        <v>0.4523</v>
      </c>
      <c r="K1292" t="n">
        <v>0</v>
      </c>
      <c r="L1292" t="n">
        <v>0.827</v>
      </c>
      <c r="M1292" t="n">
        <v>0.173</v>
      </c>
    </row>
    <row r="1293" spans="1:13">
      <c r="A1293" s="1">
        <f>HYPERLINK("http://www.twitter.com/NathanBLawrence/status/989700406774202368", "989700406774202368")</f>
        <v/>
      </c>
      <c r="B1293" s="2" t="n">
        <v>43217.12429398148</v>
      </c>
      <c r="C1293" t="n">
        <v>0</v>
      </c>
      <c r="D1293" t="n">
        <v>30358</v>
      </c>
      <c r="E1293" t="s">
        <v>1291</v>
      </c>
      <c r="F1293">
        <f>HYPERLINK("http://pbs.twimg.com/media/DbpshRZUQAA5cXe.jpg", "http://pbs.twimg.com/media/DbpshRZUQAA5cXe.jpg")</f>
        <v/>
      </c>
      <c r="G1293" t="s"/>
      <c r="H1293" t="s"/>
      <c r="I1293" t="s"/>
      <c r="J1293" t="n">
        <v>0.6369</v>
      </c>
      <c r="K1293" t="n">
        <v>0</v>
      </c>
      <c r="L1293" t="n">
        <v>0.543</v>
      </c>
      <c r="M1293" t="n">
        <v>0.457</v>
      </c>
    </row>
    <row r="1294" spans="1:13">
      <c r="A1294" s="1">
        <f>HYPERLINK("http://www.twitter.com/NathanBLawrence/status/989700397378998272", "989700397378998272")</f>
        <v/>
      </c>
      <c r="B1294" s="2" t="n">
        <v>43217.12427083333</v>
      </c>
      <c r="C1294" t="n">
        <v>0</v>
      </c>
      <c r="D1294" t="n">
        <v>60125</v>
      </c>
      <c r="E1294" t="s">
        <v>1292</v>
      </c>
      <c r="F1294">
        <f>HYPERLINK("http://pbs.twimg.com/media/Dbpw2J4UwAA9vzT.jpg", "http://pbs.twimg.com/media/Dbpw2J4UwAA9vzT.jpg")</f>
        <v/>
      </c>
      <c r="G1294" t="s"/>
      <c r="H1294" t="s"/>
      <c r="I1294" t="s"/>
      <c r="J1294" t="n">
        <v>0</v>
      </c>
      <c r="K1294" t="n">
        <v>0</v>
      </c>
      <c r="L1294" t="n">
        <v>1</v>
      </c>
      <c r="M1294" t="n">
        <v>0</v>
      </c>
    </row>
    <row r="1295" spans="1:13">
      <c r="A1295" s="1">
        <f>HYPERLINK("http://www.twitter.com/NathanBLawrence/status/989700377774837762", "989700377774837762")</f>
        <v/>
      </c>
      <c r="B1295" s="2" t="n">
        <v>43217.12421296296</v>
      </c>
      <c r="C1295" t="n">
        <v>0</v>
      </c>
      <c r="D1295" t="n">
        <v>75761</v>
      </c>
      <c r="E1295" t="s">
        <v>1293</v>
      </c>
      <c r="F1295" t="s"/>
      <c r="G1295" t="s"/>
      <c r="H1295" t="s"/>
      <c r="I1295" t="s"/>
      <c r="J1295" t="n">
        <v>0</v>
      </c>
      <c r="K1295" t="n">
        <v>0</v>
      </c>
      <c r="L1295" t="n">
        <v>1</v>
      </c>
      <c r="M1295" t="n">
        <v>0</v>
      </c>
    </row>
    <row r="1296" spans="1:13">
      <c r="A1296" s="1">
        <f>HYPERLINK("http://www.twitter.com/NathanBLawrence/status/989700365628133376", "989700365628133376")</f>
        <v/>
      </c>
      <c r="B1296" s="2" t="n">
        <v>43217.12417824074</v>
      </c>
      <c r="C1296" t="n">
        <v>0</v>
      </c>
      <c r="D1296" t="n">
        <v>60113</v>
      </c>
      <c r="E1296" t="s">
        <v>1294</v>
      </c>
      <c r="F1296" t="s"/>
      <c r="G1296" t="s"/>
      <c r="H1296" t="s"/>
      <c r="I1296" t="s"/>
      <c r="J1296" t="n">
        <v>0</v>
      </c>
      <c r="K1296" t="n">
        <v>0</v>
      </c>
      <c r="L1296" t="n">
        <v>1</v>
      </c>
      <c r="M1296" t="n">
        <v>0</v>
      </c>
    </row>
    <row r="1297" spans="1:13">
      <c r="A1297" s="1">
        <f>HYPERLINK("http://www.twitter.com/NathanBLawrence/status/989699985582297088", "989699985582297088")</f>
        <v/>
      </c>
      <c r="B1297" s="2" t="n">
        <v>43217.123125</v>
      </c>
      <c r="C1297" t="n">
        <v>0</v>
      </c>
      <c r="D1297" t="n">
        <v>6</v>
      </c>
      <c r="E1297" t="s">
        <v>1295</v>
      </c>
      <c r="F1297" t="s"/>
      <c r="G1297" t="s"/>
      <c r="H1297" t="s"/>
      <c r="I1297" t="s"/>
      <c r="J1297" t="n">
        <v>-0.9325</v>
      </c>
      <c r="K1297" t="n">
        <v>0.378</v>
      </c>
      <c r="L1297" t="n">
        <v>0.622</v>
      </c>
      <c r="M1297" t="n">
        <v>0</v>
      </c>
    </row>
    <row r="1298" spans="1:13">
      <c r="A1298" s="1">
        <f>HYPERLINK("http://www.twitter.com/NathanBLawrence/status/989699911322079232", "989699911322079232")</f>
        <v/>
      </c>
      <c r="B1298" s="2" t="n">
        <v>43217.12292824074</v>
      </c>
      <c r="C1298" t="n">
        <v>0</v>
      </c>
      <c r="D1298" t="n">
        <v>5</v>
      </c>
      <c r="E1298" t="s">
        <v>1296</v>
      </c>
      <c r="F1298" t="s"/>
      <c r="G1298" t="s"/>
      <c r="H1298" t="s"/>
      <c r="I1298" t="s"/>
      <c r="J1298" t="n">
        <v>0</v>
      </c>
      <c r="K1298" t="n">
        <v>0</v>
      </c>
      <c r="L1298" t="n">
        <v>1</v>
      </c>
      <c r="M1298" t="n">
        <v>0</v>
      </c>
    </row>
    <row r="1299" spans="1:13">
      <c r="A1299" s="1">
        <f>HYPERLINK("http://www.twitter.com/NathanBLawrence/status/989699842149580801", "989699842149580801")</f>
        <v/>
      </c>
      <c r="B1299" s="2" t="n">
        <v>43217.12273148148</v>
      </c>
      <c r="C1299" t="n">
        <v>0</v>
      </c>
      <c r="D1299" t="n">
        <v>851</v>
      </c>
      <c r="E1299" t="s">
        <v>1297</v>
      </c>
      <c r="F1299" t="s"/>
      <c r="G1299" t="s"/>
      <c r="H1299" t="s"/>
      <c r="I1299" t="s"/>
      <c r="J1299" t="n">
        <v>-0.7644</v>
      </c>
      <c r="K1299" t="n">
        <v>0.266</v>
      </c>
      <c r="L1299" t="n">
        <v>0.734</v>
      </c>
      <c r="M1299" t="n">
        <v>0</v>
      </c>
    </row>
    <row r="1300" spans="1:13">
      <c r="A1300" s="1">
        <f>HYPERLINK("http://www.twitter.com/NathanBLawrence/status/989699500531953665", "989699500531953665")</f>
        <v/>
      </c>
      <c r="B1300" s="2" t="n">
        <v>43217.12179398148</v>
      </c>
      <c r="C1300" t="n">
        <v>0</v>
      </c>
      <c r="D1300" t="n">
        <v>9</v>
      </c>
      <c r="E1300" t="s">
        <v>1298</v>
      </c>
      <c r="F1300" t="s"/>
      <c r="G1300" t="s"/>
      <c r="H1300" t="s"/>
      <c r="I1300" t="s"/>
      <c r="J1300" t="n">
        <v>0</v>
      </c>
      <c r="K1300" t="n">
        <v>0</v>
      </c>
      <c r="L1300" t="n">
        <v>1</v>
      </c>
      <c r="M1300" t="n">
        <v>0</v>
      </c>
    </row>
    <row r="1301" spans="1:13">
      <c r="A1301" s="1">
        <f>HYPERLINK("http://www.twitter.com/NathanBLawrence/status/989699419242196993", "989699419242196993")</f>
        <v/>
      </c>
      <c r="B1301" s="2" t="n">
        <v>43217.1215625</v>
      </c>
      <c r="C1301" t="n">
        <v>2</v>
      </c>
      <c r="D1301" t="n">
        <v>0</v>
      </c>
      <c r="E1301" t="s">
        <v>1299</v>
      </c>
      <c r="F1301" t="s"/>
      <c r="G1301" t="s"/>
      <c r="H1301" t="s"/>
      <c r="I1301" t="s"/>
      <c r="J1301" t="n">
        <v>0</v>
      </c>
      <c r="K1301" t="n">
        <v>0</v>
      </c>
      <c r="L1301" t="n">
        <v>1</v>
      </c>
      <c r="M1301" t="n">
        <v>0</v>
      </c>
    </row>
    <row r="1302" spans="1:13">
      <c r="A1302" s="1">
        <f>HYPERLINK("http://www.twitter.com/NathanBLawrence/status/989699265810354177", "989699265810354177")</f>
        <v/>
      </c>
      <c r="B1302" s="2" t="n">
        <v>43217.12114583333</v>
      </c>
      <c r="C1302" t="n">
        <v>0</v>
      </c>
      <c r="D1302" t="n">
        <v>15</v>
      </c>
      <c r="E1302" t="s">
        <v>1062</v>
      </c>
      <c r="F1302">
        <f>HYPERLINK("http://pbs.twimg.com/media/DbwSpsPVwAAMK8S.jpg", "http://pbs.twimg.com/media/DbwSpsPVwAAMK8S.jpg")</f>
        <v/>
      </c>
      <c r="G1302" t="s"/>
      <c r="H1302" t="s"/>
      <c r="I1302" t="s"/>
      <c r="J1302" t="n">
        <v>0.4019</v>
      </c>
      <c r="K1302" t="n">
        <v>0</v>
      </c>
      <c r="L1302" t="n">
        <v>0.903</v>
      </c>
      <c r="M1302" t="n">
        <v>0.097</v>
      </c>
    </row>
    <row r="1303" spans="1:13">
      <c r="A1303" s="1">
        <f>HYPERLINK("http://www.twitter.com/NathanBLawrence/status/989642943983124480", "989642943983124480")</f>
        <v/>
      </c>
      <c r="B1303" s="2" t="n">
        <v>43216.96572916667</v>
      </c>
      <c r="C1303" t="n">
        <v>0</v>
      </c>
      <c r="D1303" t="n">
        <v>0</v>
      </c>
      <c r="E1303" t="s">
        <v>1300</v>
      </c>
      <c r="F1303" t="s"/>
      <c r="G1303" t="s"/>
      <c r="H1303" t="s"/>
      <c r="I1303" t="s"/>
      <c r="J1303" t="n">
        <v>0</v>
      </c>
      <c r="K1303" t="n">
        <v>0</v>
      </c>
      <c r="L1303" t="n">
        <v>1</v>
      </c>
      <c r="M1303" t="n">
        <v>0</v>
      </c>
    </row>
    <row r="1304" spans="1:13">
      <c r="A1304" s="1">
        <f>HYPERLINK("http://www.twitter.com/NathanBLawrence/status/989641352387399681", "989641352387399681")</f>
        <v/>
      </c>
      <c r="B1304" s="2" t="n">
        <v>43216.96133101852</v>
      </c>
      <c r="C1304" t="n">
        <v>0</v>
      </c>
      <c r="D1304" t="n">
        <v>5</v>
      </c>
      <c r="E1304" t="s">
        <v>1301</v>
      </c>
      <c r="F1304">
        <f>HYPERLINK("http://pbs.twimg.com/media/DbvHKbMXcAUnPL0.jpg", "http://pbs.twimg.com/media/DbvHKbMXcAUnPL0.jpg")</f>
        <v/>
      </c>
      <c r="G1304">
        <f>HYPERLINK("http://pbs.twimg.com/media/DbvHKbLWkAAQRWK.jpg", "http://pbs.twimg.com/media/DbvHKbLWkAAQRWK.jpg")</f>
        <v/>
      </c>
      <c r="H1304" t="s"/>
      <c r="I1304" t="s"/>
      <c r="J1304" t="n">
        <v>0.4404</v>
      </c>
      <c r="K1304" t="n">
        <v>0</v>
      </c>
      <c r="L1304" t="n">
        <v>0.847</v>
      </c>
      <c r="M1304" t="n">
        <v>0.153</v>
      </c>
    </row>
    <row r="1305" spans="1:13">
      <c r="A1305" s="1">
        <f>HYPERLINK("http://www.twitter.com/NathanBLawrence/status/989636358787526656", "989636358787526656")</f>
        <v/>
      </c>
      <c r="B1305" s="2" t="n">
        <v>43216.94755787037</v>
      </c>
      <c r="C1305" t="n">
        <v>0</v>
      </c>
      <c r="D1305" t="n">
        <v>13</v>
      </c>
      <c r="E1305" t="s">
        <v>1302</v>
      </c>
      <c r="F1305" t="s"/>
      <c r="G1305" t="s"/>
      <c r="H1305" t="s"/>
      <c r="I1305" t="s"/>
      <c r="J1305" t="n">
        <v>-0.2732</v>
      </c>
      <c r="K1305" t="n">
        <v>0.095</v>
      </c>
      <c r="L1305" t="n">
        <v>0.905</v>
      </c>
      <c r="M1305" t="n">
        <v>0</v>
      </c>
    </row>
    <row r="1306" spans="1:13">
      <c r="A1306" s="1">
        <f>HYPERLINK("http://www.twitter.com/NathanBLawrence/status/989636342693990400", "989636342693990400")</f>
        <v/>
      </c>
      <c r="B1306" s="2" t="n">
        <v>43216.94751157407</v>
      </c>
      <c r="C1306" t="n">
        <v>0</v>
      </c>
      <c r="D1306" t="n">
        <v>2</v>
      </c>
      <c r="E1306" t="s">
        <v>1303</v>
      </c>
      <c r="F1306" t="s"/>
      <c r="G1306" t="s"/>
      <c r="H1306" t="s"/>
      <c r="I1306" t="s"/>
      <c r="J1306" t="n">
        <v>0</v>
      </c>
      <c r="K1306" t="n">
        <v>0</v>
      </c>
      <c r="L1306" t="n">
        <v>1</v>
      </c>
      <c r="M1306" t="n">
        <v>0</v>
      </c>
    </row>
    <row r="1307" spans="1:13">
      <c r="A1307" s="1">
        <f>HYPERLINK("http://www.twitter.com/NathanBLawrence/status/989636281939480576", "989636281939480576")</f>
        <v/>
      </c>
      <c r="B1307" s="2" t="n">
        <v>43216.94733796296</v>
      </c>
      <c r="C1307" t="n">
        <v>0</v>
      </c>
      <c r="D1307" t="n">
        <v>9</v>
      </c>
      <c r="E1307" t="s">
        <v>1304</v>
      </c>
      <c r="F1307" t="s"/>
      <c r="G1307" t="s"/>
      <c r="H1307" t="s"/>
      <c r="I1307" t="s"/>
      <c r="J1307" t="n">
        <v>-0.296</v>
      </c>
      <c r="K1307" t="n">
        <v>0.123</v>
      </c>
      <c r="L1307" t="n">
        <v>0.797</v>
      </c>
      <c r="M1307" t="n">
        <v>0.08</v>
      </c>
    </row>
    <row r="1308" spans="1:13">
      <c r="A1308" s="1">
        <f>HYPERLINK("http://www.twitter.com/NathanBLawrence/status/989636139001765888", "989636139001765888")</f>
        <v/>
      </c>
      <c r="B1308" s="2" t="n">
        <v>43216.94694444445</v>
      </c>
      <c r="C1308" t="n">
        <v>0</v>
      </c>
      <c r="D1308" t="n">
        <v>5</v>
      </c>
      <c r="E1308" t="s">
        <v>1305</v>
      </c>
      <c r="F1308" t="s"/>
      <c r="G1308" t="s"/>
      <c r="H1308" t="s"/>
      <c r="I1308" t="s"/>
      <c r="J1308" t="n">
        <v>0</v>
      </c>
      <c r="K1308" t="n">
        <v>0</v>
      </c>
      <c r="L1308" t="n">
        <v>1</v>
      </c>
      <c r="M1308" t="n">
        <v>0</v>
      </c>
    </row>
    <row r="1309" spans="1:13">
      <c r="A1309" s="1">
        <f>HYPERLINK("http://www.twitter.com/NathanBLawrence/status/989635941949206528", "989635941949206528")</f>
        <v/>
      </c>
      <c r="B1309" s="2" t="n">
        <v>43216.94640046296</v>
      </c>
      <c r="C1309" t="n">
        <v>0</v>
      </c>
      <c r="D1309" t="n">
        <v>6</v>
      </c>
      <c r="E1309" t="s">
        <v>1306</v>
      </c>
      <c r="F1309" t="s"/>
      <c r="G1309" t="s"/>
      <c r="H1309" t="s"/>
      <c r="I1309" t="s"/>
      <c r="J1309" t="n">
        <v>0</v>
      </c>
      <c r="K1309" t="n">
        <v>0</v>
      </c>
      <c r="L1309" t="n">
        <v>1</v>
      </c>
      <c r="M1309" t="n">
        <v>0</v>
      </c>
    </row>
    <row r="1310" spans="1:13">
      <c r="A1310" s="1">
        <f>HYPERLINK("http://www.twitter.com/NathanBLawrence/status/989635920885317634", "989635920885317634")</f>
        <v/>
      </c>
      <c r="B1310" s="2" t="n">
        <v>43216.94634259259</v>
      </c>
      <c r="C1310" t="n">
        <v>0</v>
      </c>
      <c r="D1310" t="n">
        <v>11</v>
      </c>
      <c r="E1310" t="s">
        <v>1307</v>
      </c>
      <c r="F1310" t="s"/>
      <c r="G1310" t="s"/>
      <c r="H1310" t="s"/>
      <c r="I1310" t="s"/>
      <c r="J1310" t="n">
        <v>0</v>
      </c>
      <c r="K1310" t="n">
        <v>0</v>
      </c>
      <c r="L1310" t="n">
        <v>1</v>
      </c>
      <c r="M1310" t="n">
        <v>0</v>
      </c>
    </row>
    <row r="1311" spans="1:13">
      <c r="A1311" s="1">
        <f>HYPERLINK("http://www.twitter.com/NathanBLawrence/status/989635841374019584", "989635841374019584")</f>
        <v/>
      </c>
      <c r="B1311" s="2" t="n">
        <v>43216.94612268519</v>
      </c>
      <c r="C1311" t="n">
        <v>0</v>
      </c>
      <c r="D1311" t="n">
        <v>9</v>
      </c>
      <c r="E1311" t="s">
        <v>1308</v>
      </c>
      <c r="F1311" t="s"/>
      <c r="G1311" t="s"/>
      <c r="H1311" t="s"/>
      <c r="I1311" t="s"/>
      <c r="J1311" t="n">
        <v>-0.6369</v>
      </c>
      <c r="K1311" t="n">
        <v>0.279</v>
      </c>
      <c r="L1311" t="n">
        <v>0.721</v>
      </c>
      <c r="M1311" t="n">
        <v>0</v>
      </c>
    </row>
    <row r="1312" spans="1:13">
      <c r="A1312" s="1">
        <f>HYPERLINK("http://www.twitter.com/NathanBLawrence/status/989635786013278208", "989635786013278208")</f>
        <v/>
      </c>
      <c r="B1312" s="2" t="n">
        <v>43216.94597222222</v>
      </c>
      <c r="C1312" t="n">
        <v>0</v>
      </c>
      <c r="D1312" t="n">
        <v>37</v>
      </c>
      <c r="E1312" t="s">
        <v>1309</v>
      </c>
      <c r="F1312" t="s"/>
      <c r="G1312" t="s"/>
      <c r="H1312" t="s"/>
      <c r="I1312" t="s"/>
      <c r="J1312" t="n">
        <v>0.0857</v>
      </c>
      <c r="K1312" t="n">
        <v>0.104</v>
      </c>
      <c r="L1312" t="n">
        <v>0.78</v>
      </c>
      <c r="M1312" t="n">
        <v>0.116</v>
      </c>
    </row>
    <row r="1313" spans="1:13">
      <c r="A1313" s="1">
        <f>HYPERLINK("http://www.twitter.com/NathanBLawrence/status/989635736013103104", "989635736013103104")</f>
        <v/>
      </c>
      <c r="B1313" s="2" t="n">
        <v>43216.94583333333</v>
      </c>
      <c r="C1313" t="n">
        <v>0</v>
      </c>
      <c r="D1313" t="n">
        <v>9</v>
      </c>
      <c r="E1313" t="s">
        <v>1310</v>
      </c>
      <c r="F1313" t="s"/>
      <c r="G1313" t="s"/>
      <c r="H1313" t="s"/>
      <c r="I1313" t="s"/>
      <c r="J1313" t="n">
        <v>-0.3818</v>
      </c>
      <c r="K1313" t="n">
        <v>0.115</v>
      </c>
      <c r="L1313" t="n">
        <v>0.885</v>
      </c>
      <c r="M1313" t="n">
        <v>0</v>
      </c>
    </row>
    <row r="1314" spans="1:13">
      <c r="A1314" s="1">
        <f>HYPERLINK("http://www.twitter.com/NathanBLawrence/status/989574771577884673", "989574771577884673")</f>
        <v/>
      </c>
      <c r="B1314" s="2" t="n">
        <v>43216.77760416667</v>
      </c>
      <c r="C1314" t="n">
        <v>0</v>
      </c>
      <c r="D1314" t="n">
        <v>9</v>
      </c>
      <c r="E1314" t="s">
        <v>1311</v>
      </c>
      <c r="F1314">
        <f>HYPERLINK("http://pbs.twimg.com/media/DburcWwW4AU8Q86.jpg", "http://pbs.twimg.com/media/DburcWwW4AU8Q86.jpg")</f>
        <v/>
      </c>
      <c r="G1314" t="s"/>
      <c r="H1314" t="s"/>
      <c r="I1314" t="s"/>
      <c r="J1314" t="n">
        <v>0</v>
      </c>
      <c r="K1314" t="n">
        <v>0</v>
      </c>
      <c r="L1314" t="n">
        <v>1</v>
      </c>
      <c r="M1314" t="n">
        <v>0</v>
      </c>
    </row>
    <row r="1315" spans="1:13">
      <c r="A1315" s="1">
        <f>HYPERLINK("http://www.twitter.com/NathanBLawrence/status/989574740556812288", "989574740556812288")</f>
        <v/>
      </c>
      <c r="B1315" s="2" t="n">
        <v>43216.77752314815</v>
      </c>
      <c r="C1315" t="n">
        <v>0</v>
      </c>
      <c r="D1315" t="n">
        <v>9</v>
      </c>
      <c r="E1315" t="s">
        <v>1312</v>
      </c>
      <c r="F1315" t="s"/>
      <c r="G1315" t="s"/>
      <c r="H1315" t="s"/>
      <c r="I1315" t="s"/>
      <c r="J1315" t="n">
        <v>0.2732</v>
      </c>
      <c r="K1315" t="n">
        <v>0</v>
      </c>
      <c r="L1315" t="n">
        <v>0.86</v>
      </c>
      <c r="M1315" t="n">
        <v>0.14</v>
      </c>
    </row>
    <row r="1316" spans="1:13">
      <c r="A1316" s="1">
        <f>HYPERLINK("http://www.twitter.com/NathanBLawrence/status/989574716829548544", "989574716829548544")</f>
        <v/>
      </c>
      <c r="B1316" s="2" t="n">
        <v>43216.7774537037</v>
      </c>
      <c r="C1316" t="n">
        <v>0</v>
      </c>
      <c r="D1316" t="n">
        <v>2</v>
      </c>
      <c r="E1316" t="s">
        <v>1313</v>
      </c>
      <c r="F1316" t="s"/>
      <c r="G1316" t="s"/>
      <c r="H1316" t="s"/>
      <c r="I1316" t="s"/>
      <c r="J1316" t="n">
        <v>-0.4215</v>
      </c>
      <c r="K1316" t="n">
        <v>0.151</v>
      </c>
      <c r="L1316" t="n">
        <v>0.78</v>
      </c>
      <c r="M1316" t="n">
        <v>0.06900000000000001</v>
      </c>
    </row>
    <row r="1317" spans="1:13">
      <c r="A1317" s="1">
        <f>HYPERLINK("http://www.twitter.com/NathanBLawrence/status/989574423194857472", "989574423194857472")</f>
        <v/>
      </c>
      <c r="B1317" s="2" t="n">
        <v>43216.77664351852</v>
      </c>
      <c r="C1317" t="n">
        <v>0</v>
      </c>
      <c r="D1317" t="n">
        <v>8</v>
      </c>
      <c r="E1317" t="s">
        <v>1314</v>
      </c>
      <c r="F1317" t="s"/>
      <c r="G1317" t="s"/>
      <c r="H1317" t="s"/>
      <c r="I1317" t="s"/>
      <c r="J1317" t="n">
        <v>0.0258</v>
      </c>
      <c r="K1317" t="n">
        <v>0.1</v>
      </c>
      <c r="L1317" t="n">
        <v>0.795</v>
      </c>
      <c r="M1317" t="n">
        <v>0.105</v>
      </c>
    </row>
    <row r="1318" spans="1:13">
      <c r="A1318" s="1">
        <f>HYPERLINK("http://www.twitter.com/NathanBLawrence/status/989574398024839168", "989574398024839168")</f>
        <v/>
      </c>
      <c r="B1318" s="2" t="n">
        <v>43216.77657407407</v>
      </c>
      <c r="C1318" t="n">
        <v>0</v>
      </c>
      <c r="D1318" t="n">
        <v>14</v>
      </c>
      <c r="E1318" t="s">
        <v>1315</v>
      </c>
      <c r="F1318">
        <f>HYPERLINK("http://pbs.twimg.com/media/DbuoNWiX0AAGW03.jpg", "http://pbs.twimg.com/media/DbuoNWiX0AAGW03.jpg")</f>
        <v/>
      </c>
      <c r="G1318">
        <f>HYPERLINK("http://pbs.twimg.com/media/DbuoNw6WkAEH4fJ.jpg", "http://pbs.twimg.com/media/DbuoNw6WkAEH4fJ.jpg")</f>
        <v/>
      </c>
      <c r="H1318" t="s"/>
      <c r="I1318" t="s"/>
      <c r="J1318" t="n">
        <v>0</v>
      </c>
      <c r="K1318" t="n">
        <v>0</v>
      </c>
      <c r="L1318" t="n">
        <v>1</v>
      </c>
      <c r="M1318" t="n">
        <v>0</v>
      </c>
    </row>
    <row r="1319" spans="1:13">
      <c r="A1319" s="1">
        <f>HYPERLINK("http://www.twitter.com/NathanBLawrence/status/989561613375111169", "989561613375111169")</f>
        <v/>
      </c>
      <c r="B1319" s="2" t="n">
        <v>43216.7412962963</v>
      </c>
      <c r="C1319" t="n">
        <v>0</v>
      </c>
      <c r="D1319" t="n">
        <v>8</v>
      </c>
      <c r="E1319" t="s">
        <v>1316</v>
      </c>
      <c r="F1319" t="s"/>
      <c r="G1319" t="s"/>
      <c r="H1319" t="s"/>
      <c r="I1319" t="s"/>
      <c r="J1319" t="n">
        <v>-0.7088</v>
      </c>
      <c r="K1319" t="n">
        <v>0.237</v>
      </c>
      <c r="L1319" t="n">
        <v>0.763</v>
      </c>
      <c r="M1319" t="n">
        <v>0</v>
      </c>
    </row>
    <row r="1320" spans="1:13">
      <c r="A1320" s="1">
        <f>HYPERLINK("http://www.twitter.com/NathanBLawrence/status/989552974547640323", "989552974547640323")</f>
        <v/>
      </c>
      <c r="B1320" s="2" t="n">
        <v>43216.71745370371</v>
      </c>
      <c r="C1320" t="n">
        <v>0</v>
      </c>
      <c r="D1320" t="n">
        <v>279</v>
      </c>
      <c r="E1320" t="s">
        <v>1317</v>
      </c>
      <c r="F1320" t="s"/>
      <c r="G1320" t="s"/>
      <c r="H1320" t="s"/>
      <c r="I1320" t="s"/>
      <c r="J1320" t="n">
        <v>-0.3612</v>
      </c>
      <c r="K1320" t="n">
        <v>0.173</v>
      </c>
      <c r="L1320" t="n">
        <v>0.707</v>
      </c>
      <c r="M1320" t="n">
        <v>0.12</v>
      </c>
    </row>
    <row r="1321" spans="1:13">
      <c r="A1321" s="1">
        <f>HYPERLINK("http://www.twitter.com/NathanBLawrence/status/989552942062669825", "989552942062669825")</f>
        <v/>
      </c>
      <c r="B1321" s="2" t="n">
        <v>43216.71737268518</v>
      </c>
      <c r="C1321" t="n">
        <v>0</v>
      </c>
      <c r="D1321" t="n">
        <v>40457</v>
      </c>
      <c r="E1321" t="s">
        <v>1318</v>
      </c>
      <c r="F1321" t="s"/>
      <c r="G1321" t="s"/>
      <c r="H1321" t="s"/>
      <c r="I1321" t="s"/>
      <c r="J1321" t="n">
        <v>0</v>
      </c>
      <c r="K1321" t="n">
        <v>0</v>
      </c>
      <c r="L1321" t="n">
        <v>1</v>
      </c>
      <c r="M1321" t="n">
        <v>0</v>
      </c>
    </row>
    <row r="1322" spans="1:13">
      <c r="A1322" s="1">
        <f>HYPERLINK("http://www.twitter.com/NathanBLawrence/status/989552927026110466", "989552927026110466")</f>
        <v/>
      </c>
      <c r="B1322" s="2" t="n">
        <v>43216.71732638889</v>
      </c>
      <c r="C1322" t="n">
        <v>0</v>
      </c>
      <c r="D1322" t="n">
        <v>8993</v>
      </c>
      <c r="E1322" t="s">
        <v>1319</v>
      </c>
      <c r="F1322" t="s"/>
      <c r="G1322" t="s"/>
      <c r="H1322" t="s"/>
      <c r="I1322" t="s"/>
      <c r="J1322" t="n">
        <v>0</v>
      </c>
      <c r="K1322" t="n">
        <v>0</v>
      </c>
      <c r="L1322" t="n">
        <v>1</v>
      </c>
      <c r="M1322" t="n">
        <v>0</v>
      </c>
    </row>
    <row r="1323" spans="1:13">
      <c r="A1323" s="1">
        <f>HYPERLINK("http://www.twitter.com/NathanBLawrence/status/989552885754146816", "989552885754146816")</f>
        <v/>
      </c>
      <c r="B1323" s="2" t="n">
        <v>43216.71721064814</v>
      </c>
      <c r="C1323" t="n">
        <v>0</v>
      </c>
      <c r="D1323" t="n">
        <v>9984</v>
      </c>
      <c r="E1323" t="s">
        <v>1320</v>
      </c>
      <c r="F1323" t="s"/>
      <c r="G1323" t="s"/>
      <c r="H1323" t="s"/>
      <c r="I1323" t="s"/>
      <c r="J1323" t="n">
        <v>0.8057</v>
      </c>
      <c r="K1323" t="n">
        <v>0</v>
      </c>
      <c r="L1323" t="n">
        <v>0.718</v>
      </c>
      <c r="M1323" t="n">
        <v>0.282</v>
      </c>
    </row>
    <row r="1324" spans="1:13">
      <c r="A1324" s="1">
        <f>HYPERLINK("http://www.twitter.com/NathanBLawrence/status/989549088705310720", "989549088705310720")</f>
        <v/>
      </c>
      <c r="B1324" s="2" t="n">
        <v>43216.70673611111</v>
      </c>
      <c r="C1324" t="n">
        <v>0</v>
      </c>
      <c r="D1324" t="n">
        <v>9</v>
      </c>
      <c r="E1324" t="s">
        <v>1321</v>
      </c>
      <c r="F1324" t="s"/>
      <c r="G1324" t="s"/>
      <c r="H1324" t="s"/>
      <c r="I1324" t="s"/>
      <c r="J1324" t="n">
        <v>-0.0772</v>
      </c>
      <c r="K1324" t="n">
        <v>0.048</v>
      </c>
      <c r="L1324" t="n">
        <v>0.952</v>
      </c>
      <c r="M1324" t="n">
        <v>0</v>
      </c>
    </row>
    <row r="1325" spans="1:13">
      <c r="A1325" s="1">
        <f>HYPERLINK("http://www.twitter.com/NathanBLawrence/status/989549059601059841", "989549059601059841")</f>
        <v/>
      </c>
      <c r="B1325" s="2" t="n">
        <v>43216.7066550926</v>
      </c>
      <c r="C1325" t="n">
        <v>0</v>
      </c>
      <c r="D1325" t="n">
        <v>8</v>
      </c>
      <c r="E1325" t="s">
        <v>1322</v>
      </c>
      <c r="F1325" t="s"/>
      <c r="G1325" t="s"/>
      <c r="H1325" t="s"/>
      <c r="I1325" t="s"/>
      <c r="J1325" t="n">
        <v>-0.6747</v>
      </c>
      <c r="K1325" t="n">
        <v>0.201</v>
      </c>
      <c r="L1325" t="n">
        <v>0.799</v>
      </c>
      <c r="M1325" t="n">
        <v>0</v>
      </c>
    </row>
    <row r="1326" spans="1:13">
      <c r="A1326" s="1">
        <f>HYPERLINK("http://www.twitter.com/NathanBLawrence/status/989547673488384000", "989547673488384000")</f>
        <v/>
      </c>
      <c r="B1326" s="2" t="n">
        <v>43216.70282407408</v>
      </c>
      <c r="C1326" t="n">
        <v>0</v>
      </c>
      <c r="D1326" t="n">
        <v>0</v>
      </c>
      <c r="E1326" t="s">
        <v>1323</v>
      </c>
      <c r="F1326" t="s"/>
      <c r="G1326" t="s"/>
      <c r="H1326" t="s"/>
      <c r="I1326" t="s"/>
      <c r="J1326" t="n">
        <v>0.4753</v>
      </c>
      <c r="K1326" t="n">
        <v>0</v>
      </c>
      <c r="L1326" t="n">
        <v>0.393</v>
      </c>
      <c r="M1326" t="n">
        <v>0.607</v>
      </c>
    </row>
    <row r="1327" spans="1:13">
      <c r="A1327" s="1">
        <f>HYPERLINK("http://www.twitter.com/NathanBLawrence/status/989547586053984256", "989547586053984256")</f>
        <v/>
      </c>
      <c r="B1327" s="2" t="n">
        <v>43216.70259259259</v>
      </c>
      <c r="C1327" t="n">
        <v>0</v>
      </c>
      <c r="D1327" t="n">
        <v>11</v>
      </c>
      <c r="E1327" t="s">
        <v>1324</v>
      </c>
      <c r="F1327" t="s"/>
      <c r="G1327" t="s"/>
      <c r="H1327" t="s"/>
      <c r="I1327" t="s"/>
      <c r="J1327" t="n">
        <v>-0.0258</v>
      </c>
      <c r="K1327" t="n">
        <v>0.169</v>
      </c>
      <c r="L1327" t="n">
        <v>0.664</v>
      </c>
      <c r="M1327" t="n">
        <v>0.166</v>
      </c>
    </row>
    <row r="1328" spans="1:13">
      <c r="A1328" s="1">
        <f>HYPERLINK("http://www.twitter.com/NathanBLawrence/status/989547559508217858", "989547559508217858")</f>
        <v/>
      </c>
      <c r="B1328" s="2" t="n">
        <v>43216.70251157408</v>
      </c>
      <c r="C1328" t="n">
        <v>0</v>
      </c>
      <c r="D1328" t="n">
        <v>12</v>
      </c>
      <c r="E1328" t="s">
        <v>1325</v>
      </c>
      <c r="F1328" t="s"/>
      <c r="G1328" t="s"/>
      <c r="H1328" t="s"/>
      <c r="I1328" t="s"/>
      <c r="J1328" t="n">
        <v>-0.3089</v>
      </c>
      <c r="K1328" t="n">
        <v>0.111</v>
      </c>
      <c r="L1328" t="n">
        <v>0.889</v>
      </c>
      <c r="M1328" t="n">
        <v>0</v>
      </c>
    </row>
    <row r="1329" spans="1:13">
      <c r="A1329" s="1">
        <f>HYPERLINK("http://www.twitter.com/NathanBLawrence/status/989547540684173312", "989547540684173312")</f>
        <v/>
      </c>
      <c r="B1329" s="2" t="n">
        <v>43216.70246527778</v>
      </c>
      <c r="C1329" t="n">
        <v>0</v>
      </c>
      <c r="D1329" t="n">
        <v>9</v>
      </c>
      <c r="E1329" t="s">
        <v>1326</v>
      </c>
      <c r="F1329" t="s"/>
      <c r="G1329" t="s"/>
      <c r="H1329" t="s"/>
      <c r="I1329" t="s"/>
      <c r="J1329" t="n">
        <v>-0.7088</v>
      </c>
      <c r="K1329" t="n">
        <v>0.219</v>
      </c>
      <c r="L1329" t="n">
        <v>0.781</v>
      </c>
      <c r="M1329" t="n">
        <v>0</v>
      </c>
    </row>
    <row r="1330" spans="1:13">
      <c r="A1330" s="1">
        <f>HYPERLINK("http://www.twitter.com/NathanBLawrence/status/989547500754423808", "989547500754423808")</f>
        <v/>
      </c>
      <c r="B1330" s="2" t="n">
        <v>43216.70234953704</v>
      </c>
      <c r="C1330" t="n">
        <v>0</v>
      </c>
      <c r="D1330" t="n">
        <v>9</v>
      </c>
      <c r="E1330" t="s">
        <v>1327</v>
      </c>
      <c r="F1330">
        <f>HYPERLINK("http://pbs.twimg.com/media/DbuDwbuWsAAQLUY.jpg", "http://pbs.twimg.com/media/DbuDwbuWsAAQLUY.jpg")</f>
        <v/>
      </c>
      <c r="G1330">
        <f>HYPERLINK("http://pbs.twimg.com/media/DbuDw06X0AEEuAs.jpg", "http://pbs.twimg.com/media/DbuDw06X0AEEuAs.jpg")</f>
        <v/>
      </c>
      <c r="H1330">
        <f>HYPERLINK("http://pbs.twimg.com/media/DbuDxKVWsAASHUo.jpg", "http://pbs.twimg.com/media/DbuDxKVWsAASHUo.jpg")</f>
        <v/>
      </c>
      <c r="I1330">
        <f>HYPERLINK("http://pbs.twimg.com/media/DbuDxuUWkAIXuG0.jpg", "http://pbs.twimg.com/media/DbuDxuUWkAIXuG0.jpg")</f>
        <v/>
      </c>
      <c r="J1330" t="n">
        <v>-0.7906</v>
      </c>
      <c r="K1330" t="n">
        <v>0.269</v>
      </c>
      <c r="L1330" t="n">
        <v>0.731</v>
      </c>
      <c r="M1330" t="n">
        <v>0</v>
      </c>
    </row>
    <row r="1331" spans="1:13">
      <c r="A1331" s="1">
        <f>HYPERLINK("http://www.twitter.com/NathanBLawrence/status/989547481796153345", "989547481796153345")</f>
        <v/>
      </c>
      <c r="B1331" s="2" t="n">
        <v>43216.70230324074</v>
      </c>
      <c r="C1331" t="n">
        <v>0</v>
      </c>
      <c r="D1331" t="n">
        <v>38</v>
      </c>
      <c r="E1331" t="s">
        <v>1328</v>
      </c>
      <c r="F1331" t="s"/>
      <c r="G1331" t="s"/>
      <c r="H1331" t="s"/>
      <c r="I1331" t="s"/>
      <c r="J1331" t="n">
        <v>0</v>
      </c>
      <c r="K1331" t="n">
        <v>0</v>
      </c>
      <c r="L1331" t="n">
        <v>1</v>
      </c>
      <c r="M1331" t="n">
        <v>0</v>
      </c>
    </row>
    <row r="1332" spans="1:13">
      <c r="A1332" s="1">
        <f>HYPERLINK("http://www.twitter.com/NathanBLawrence/status/989547465853558784", "989547465853558784")</f>
        <v/>
      </c>
      <c r="B1332" s="2" t="n">
        <v>43216.70225694445</v>
      </c>
      <c r="C1332" t="n">
        <v>0</v>
      </c>
      <c r="D1332" t="n">
        <v>13</v>
      </c>
      <c r="E1332" t="s">
        <v>1329</v>
      </c>
      <c r="F1332" t="s"/>
      <c r="G1332" t="s"/>
      <c r="H1332" t="s"/>
      <c r="I1332" t="s"/>
      <c r="J1332" t="n">
        <v>0</v>
      </c>
      <c r="K1332" t="n">
        <v>0</v>
      </c>
      <c r="L1332" t="n">
        <v>1</v>
      </c>
      <c r="M1332" t="n">
        <v>0</v>
      </c>
    </row>
    <row r="1333" spans="1:13">
      <c r="A1333" s="1">
        <f>HYPERLINK("http://www.twitter.com/NathanBLawrence/status/989547448463962112", "989547448463962112")</f>
        <v/>
      </c>
      <c r="B1333" s="2" t="n">
        <v>43216.70221064815</v>
      </c>
      <c r="C1333" t="n">
        <v>0</v>
      </c>
      <c r="D1333" t="n">
        <v>0</v>
      </c>
      <c r="E1333" t="s">
        <v>1330</v>
      </c>
      <c r="F1333" t="s"/>
      <c r="G1333" t="s"/>
      <c r="H1333" t="s"/>
      <c r="I1333" t="s"/>
      <c r="J1333" t="n">
        <v>0</v>
      </c>
      <c r="K1333" t="n">
        <v>0</v>
      </c>
      <c r="L1333" t="n">
        <v>1</v>
      </c>
      <c r="M1333" t="n">
        <v>0</v>
      </c>
    </row>
    <row r="1334" spans="1:13">
      <c r="A1334" s="1">
        <f>HYPERLINK("http://www.twitter.com/NathanBLawrence/status/989547383351627779", "989547383351627779")</f>
        <v/>
      </c>
      <c r="B1334" s="2" t="n">
        <v>43216.70202546296</v>
      </c>
      <c r="C1334" t="n">
        <v>0</v>
      </c>
      <c r="D1334" t="n">
        <v>39</v>
      </c>
      <c r="E1334" t="s">
        <v>1331</v>
      </c>
      <c r="F1334" t="s"/>
      <c r="G1334" t="s"/>
      <c r="H1334" t="s"/>
      <c r="I1334" t="s"/>
      <c r="J1334" t="n">
        <v>-0.296</v>
      </c>
      <c r="K1334" t="n">
        <v>0.095</v>
      </c>
      <c r="L1334" t="n">
        <v>0.905</v>
      </c>
      <c r="M1334" t="n">
        <v>0</v>
      </c>
    </row>
    <row r="1335" spans="1:13">
      <c r="A1335" s="1">
        <f>HYPERLINK("http://www.twitter.com/NathanBLawrence/status/989547372245110787", "989547372245110787")</f>
        <v/>
      </c>
      <c r="B1335" s="2" t="n">
        <v>43216.70200231481</v>
      </c>
      <c r="C1335" t="n">
        <v>0</v>
      </c>
      <c r="D1335" t="n">
        <v>12</v>
      </c>
      <c r="E1335" t="s">
        <v>1332</v>
      </c>
      <c r="F1335" t="s"/>
      <c r="G1335" t="s"/>
      <c r="H1335" t="s"/>
      <c r="I1335" t="s"/>
      <c r="J1335" t="n">
        <v>-0.4588</v>
      </c>
      <c r="K1335" t="n">
        <v>0.241</v>
      </c>
      <c r="L1335" t="n">
        <v>0.667</v>
      </c>
      <c r="M1335" t="n">
        <v>0.093</v>
      </c>
    </row>
    <row r="1336" spans="1:13">
      <c r="A1336" s="1">
        <f>HYPERLINK("http://www.twitter.com/NathanBLawrence/status/989547347414867969", "989547347414867969")</f>
        <v/>
      </c>
      <c r="B1336" s="2" t="n">
        <v>43216.70193287037</v>
      </c>
      <c r="C1336" t="n">
        <v>0</v>
      </c>
      <c r="D1336" t="n">
        <v>16</v>
      </c>
      <c r="E1336" t="s">
        <v>1333</v>
      </c>
      <c r="F1336" t="s"/>
      <c r="G1336" t="s"/>
      <c r="H1336" t="s"/>
      <c r="I1336" t="s"/>
      <c r="J1336" t="n">
        <v>-0.8481</v>
      </c>
      <c r="K1336" t="n">
        <v>0.305</v>
      </c>
      <c r="L1336" t="n">
        <v>0.695</v>
      </c>
      <c r="M1336" t="n">
        <v>0</v>
      </c>
    </row>
    <row r="1337" spans="1:13">
      <c r="A1337" s="1">
        <f>HYPERLINK("http://www.twitter.com/NathanBLawrence/status/989547337302401024", "989547337302401024")</f>
        <v/>
      </c>
      <c r="B1337" s="2" t="n">
        <v>43216.70189814815</v>
      </c>
      <c r="C1337" t="n">
        <v>0</v>
      </c>
      <c r="D1337" t="n">
        <v>12</v>
      </c>
      <c r="E1337" t="s">
        <v>1334</v>
      </c>
      <c r="F1337" t="s"/>
      <c r="G1337" t="s"/>
      <c r="H1337" t="s"/>
      <c r="I1337" t="s"/>
      <c r="J1337" t="n">
        <v>-0.8126</v>
      </c>
      <c r="K1337" t="n">
        <v>0.318</v>
      </c>
      <c r="L1337" t="n">
        <v>0.6820000000000001</v>
      </c>
      <c r="M1337" t="n">
        <v>0</v>
      </c>
    </row>
    <row r="1338" spans="1:13">
      <c r="A1338" s="1">
        <f>HYPERLINK("http://www.twitter.com/NathanBLawrence/status/989547297263452160", "989547297263452160")</f>
        <v/>
      </c>
      <c r="B1338" s="2" t="n">
        <v>43216.70179398148</v>
      </c>
      <c r="C1338" t="n">
        <v>0</v>
      </c>
      <c r="D1338" t="n">
        <v>0</v>
      </c>
      <c r="E1338" t="s">
        <v>1335</v>
      </c>
      <c r="F1338" t="s"/>
      <c r="G1338" t="s"/>
      <c r="H1338" t="s"/>
      <c r="I1338" t="s"/>
      <c r="J1338" t="n">
        <v>0.5817</v>
      </c>
      <c r="K1338" t="n">
        <v>0</v>
      </c>
      <c r="L1338" t="n">
        <v>0.698</v>
      </c>
      <c r="M1338" t="n">
        <v>0.302</v>
      </c>
    </row>
    <row r="1339" spans="1:13">
      <c r="A1339" s="1">
        <f>HYPERLINK("http://www.twitter.com/NathanBLawrence/status/989547212911927296", "989547212911927296")</f>
        <v/>
      </c>
      <c r="B1339" s="2" t="n">
        <v>43216.7015625</v>
      </c>
      <c r="C1339" t="n">
        <v>0</v>
      </c>
      <c r="D1339" t="n">
        <v>15</v>
      </c>
      <c r="E1339" t="s">
        <v>1336</v>
      </c>
      <c r="F1339" t="s"/>
      <c r="G1339" t="s"/>
      <c r="H1339" t="s"/>
      <c r="I1339" t="s"/>
      <c r="J1339" t="n">
        <v>-0.8381</v>
      </c>
      <c r="K1339" t="n">
        <v>0.332</v>
      </c>
      <c r="L1339" t="n">
        <v>0.668</v>
      </c>
      <c r="M1339" t="n">
        <v>0</v>
      </c>
    </row>
    <row r="1340" spans="1:13">
      <c r="A1340" s="1">
        <f>HYPERLINK("http://www.twitter.com/NathanBLawrence/status/989547193982955527", "989547193982955527")</f>
        <v/>
      </c>
      <c r="B1340" s="2" t="n">
        <v>43216.70150462963</v>
      </c>
      <c r="C1340" t="n">
        <v>0</v>
      </c>
      <c r="D1340" t="n">
        <v>0</v>
      </c>
      <c r="E1340" t="s">
        <v>1337</v>
      </c>
      <c r="F1340" t="s"/>
      <c r="G1340" t="s"/>
      <c r="H1340" t="s"/>
      <c r="I1340" t="s"/>
      <c r="J1340" t="n">
        <v>-0.3182</v>
      </c>
      <c r="K1340" t="n">
        <v>0.315</v>
      </c>
      <c r="L1340" t="n">
        <v>0.6850000000000001</v>
      </c>
      <c r="M1340" t="n">
        <v>0</v>
      </c>
    </row>
    <row r="1341" spans="1:13">
      <c r="A1341" s="1">
        <f>HYPERLINK("http://www.twitter.com/NathanBLawrence/status/989546846535241728", "989546846535241728")</f>
        <v/>
      </c>
      <c r="B1341" s="2" t="n">
        <v>43216.70054398148</v>
      </c>
      <c r="C1341" t="n">
        <v>0</v>
      </c>
      <c r="D1341" t="n">
        <v>12</v>
      </c>
      <c r="E1341" t="s">
        <v>1338</v>
      </c>
      <c r="F1341">
        <f>HYPERLINK("http://pbs.twimg.com/media/DbP6eLQU8AAATZj.jpg", "http://pbs.twimg.com/media/DbP6eLQU8AAATZj.jpg")</f>
        <v/>
      </c>
      <c r="G1341" t="s"/>
      <c r="H1341" t="s"/>
      <c r="I1341" t="s"/>
      <c r="J1341" t="n">
        <v>0.4588</v>
      </c>
      <c r="K1341" t="n">
        <v>0</v>
      </c>
      <c r="L1341" t="n">
        <v>0.875</v>
      </c>
      <c r="M1341" t="n">
        <v>0.125</v>
      </c>
    </row>
    <row r="1342" spans="1:13">
      <c r="A1342" s="1">
        <f>HYPERLINK("http://www.twitter.com/NathanBLawrence/status/989546762171011072", "989546762171011072")</f>
        <v/>
      </c>
      <c r="B1342" s="2" t="n">
        <v>43216.7003125</v>
      </c>
      <c r="C1342" t="n">
        <v>0</v>
      </c>
      <c r="D1342" t="n">
        <v>10</v>
      </c>
      <c r="E1342" t="s">
        <v>1339</v>
      </c>
      <c r="F1342">
        <f>HYPERLINK("http://pbs.twimg.com/media/DbLlNliW4AEvU92.jpg", "http://pbs.twimg.com/media/DbLlNliW4AEvU92.jpg")</f>
        <v/>
      </c>
      <c r="G1342">
        <f>HYPERLINK("http://pbs.twimg.com/media/DbLlOFkXkAAv0Aq.jpg", "http://pbs.twimg.com/media/DbLlOFkXkAAv0Aq.jpg")</f>
        <v/>
      </c>
      <c r="H1342">
        <f>HYPERLINK("http://pbs.twimg.com/media/DbLlO2MX0AASxRX.jpg", "http://pbs.twimg.com/media/DbLlO2MX0AASxRX.jpg")</f>
        <v/>
      </c>
      <c r="I1342">
        <f>HYPERLINK("http://pbs.twimg.com/media/DbLlPhaXUAEZJTw.jpg", "http://pbs.twimg.com/media/DbLlPhaXUAEZJTw.jpg")</f>
        <v/>
      </c>
      <c r="J1342" t="n">
        <v>-0.5266999999999999</v>
      </c>
      <c r="K1342" t="n">
        <v>0.227</v>
      </c>
      <c r="L1342" t="n">
        <v>0.773</v>
      </c>
      <c r="M1342" t="n">
        <v>0</v>
      </c>
    </row>
    <row r="1343" spans="1:13">
      <c r="A1343" s="1">
        <f>HYPERLINK("http://www.twitter.com/NathanBLawrence/status/989546749034483714", "989546749034483714")</f>
        <v/>
      </c>
      <c r="B1343" s="2" t="n">
        <v>43216.70027777777</v>
      </c>
      <c r="C1343" t="n">
        <v>0</v>
      </c>
      <c r="D1343" t="n">
        <v>8</v>
      </c>
      <c r="E1343" t="s">
        <v>1340</v>
      </c>
      <c r="F1343">
        <f>HYPERLINK("http://pbs.twimg.com/media/DbLrrntWAAAHboE.jpg", "http://pbs.twimg.com/media/DbLrrntWAAAHboE.jpg")</f>
        <v/>
      </c>
      <c r="G1343">
        <f>HYPERLINK("http://pbs.twimg.com/media/DbLrrnyXcAAmjVW.jpg", "http://pbs.twimg.com/media/DbLrrnyXcAAmjVW.jpg")</f>
        <v/>
      </c>
      <c r="H1343" t="s"/>
      <c r="I1343" t="s"/>
      <c r="J1343" t="n">
        <v>0</v>
      </c>
      <c r="K1343" t="n">
        <v>0</v>
      </c>
      <c r="L1343" t="n">
        <v>1</v>
      </c>
      <c r="M1343" t="n">
        <v>0</v>
      </c>
    </row>
    <row r="1344" spans="1:13">
      <c r="A1344" s="1">
        <f>HYPERLINK("http://www.twitter.com/NathanBLawrence/status/989546654125776896", "989546654125776896")</f>
        <v/>
      </c>
      <c r="B1344" s="2" t="n">
        <v>43216.70001157407</v>
      </c>
      <c r="C1344" t="n">
        <v>0</v>
      </c>
      <c r="D1344" t="n">
        <v>9</v>
      </c>
      <c r="E1344" t="s">
        <v>1341</v>
      </c>
      <c r="F1344">
        <f>HYPERLINK("https://video.twimg.com/ext_tw_video/988622566553194496/pu/vid/480x640/dclQihj4aBtgCJ2J.mp4?tag=3", "https://video.twimg.com/ext_tw_video/988622566553194496/pu/vid/480x640/dclQihj4aBtgCJ2J.mp4?tag=3")</f>
        <v/>
      </c>
      <c r="G1344" t="s"/>
      <c r="H1344" t="s"/>
      <c r="I1344" t="s"/>
      <c r="J1344" t="n">
        <v>-0.2481</v>
      </c>
      <c r="K1344" t="n">
        <v>0.1</v>
      </c>
      <c r="L1344" t="n">
        <v>0.9</v>
      </c>
      <c r="M1344" t="n">
        <v>0</v>
      </c>
    </row>
    <row r="1345" spans="1:13">
      <c r="A1345" s="1">
        <f>HYPERLINK("http://www.twitter.com/NathanBLawrence/status/989546508486881280", "989546508486881280")</f>
        <v/>
      </c>
      <c r="B1345" s="2" t="n">
        <v>43216.69961805556</v>
      </c>
      <c r="C1345" t="n">
        <v>0</v>
      </c>
      <c r="D1345" t="n">
        <v>8</v>
      </c>
      <c r="E1345" t="s">
        <v>1342</v>
      </c>
      <c r="F1345">
        <f>HYPERLINK("http://pbs.twimg.com/media/DbkeEswW4AA-tW1.jpg", "http://pbs.twimg.com/media/DbkeEswW4AA-tW1.jpg")</f>
        <v/>
      </c>
      <c r="G1345" t="s"/>
      <c r="H1345" t="s"/>
      <c r="I1345" t="s"/>
      <c r="J1345" t="n">
        <v>0</v>
      </c>
      <c r="K1345" t="n">
        <v>0</v>
      </c>
      <c r="L1345" t="n">
        <v>1</v>
      </c>
      <c r="M1345" t="n">
        <v>0</v>
      </c>
    </row>
    <row r="1346" spans="1:13">
      <c r="A1346" s="1">
        <f>HYPERLINK("http://www.twitter.com/NathanBLawrence/status/989546444037214208", "989546444037214208")</f>
        <v/>
      </c>
      <c r="B1346" s="2" t="n">
        <v>43216.69943287037</v>
      </c>
      <c r="C1346" t="n">
        <v>0</v>
      </c>
      <c r="D1346" t="n">
        <v>4</v>
      </c>
      <c r="E1346" t="s">
        <v>1343</v>
      </c>
      <c r="F1346">
        <f>HYPERLINK("http://pbs.twimg.com/media/DbpnfowU0AANyNI.jpg", "http://pbs.twimg.com/media/DbpnfowU0AANyNI.jpg")</f>
        <v/>
      </c>
      <c r="G1346" t="s"/>
      <c r="H1346" t="s"/>
      <c r="I1346" t="s"/>
      <c r="J1346" t="n">
        <v>-0.3818</v>
      </c>
      <c r="K1346" t="n">
        <v>0.208</v>
      </c>
      <c r="L1346" t="n">
        <v>0.674</v>
      </c>
      <c r="M1346" t="n">
        <v>0.118</v>
      </c>
    </row>
    <row r="1347" spans="1:13">
      <c r="A1347" s="1">
        <f>HYPERLINK("http://www.twitter.com/NathanBLawrence/status/989546415411130368", "989546415411130368")</f>
        <v/>
      </c>
      <c r="B1347" s="2" t="n">
        <v>43216.69935185185</v>
      </c>
      <c r="C1347" t="n">
        <v>0</v>
      </c>
      <c r="D1347" t="n">
        <v>10</v>
      </c>
      <c r="E1347" t="s">
        <v>1344</v>
      </c>
      <c r="F1347" t="s"/>
      <c r="G1347" t="s"/>
      <c r="H1347" t="s"/>
      <c r="I1347" t="s"/>
      <c r="J1347" t="n">
        <v>-0.3612</v>
      </c>
      <c r="K1347" t="n">
        <v>0.111</v>
      </c>
      <c r="L1347" t="n">
        <v>0.889</v>
      </c>
      <c r="M1347" t="n">
        <v>0</v>
      </c>
    </row>
    <row r="1348" spans="1:13">
      <c r="A1348" s="1">
        <f>HYPERLINK("http://www.twitter.com/NathanBLawrence/status/989290130346336256", "989290130346336256")</f>
        <v/>
      </c>
      <c r="B1348" s="2" t="n">
        <v>43215.9921412037</v>
      </c>
      <c r="C1348" t="n">
        <v>0</v>
      </c>
      <c r="D1348" t="n">
        <v>0</v>
      </c>
      <c r="E1348" t="s">
        <v>1345</v>
      </c>
      <c r="F1348" t="s"/>
      <c r="G1348" t="s"/>
      <c r="H1348" t="s"/>
      <c r="I1348" t="s"/>
      <c r="J1348" t="n">
        <v>0.4215</v>
      </c>
      <c r="K1348" t="n">
        <v>0</v>
      </c>
      <c r="L1348" t="n">
        <v>0.417</v>
      </c>
      <c r="M1348" t="n">
        <v>0.583</v>
      </c>
    </row>
    <row r="1349" spans="1:13">
      <c r="A1349" s="1">
        <f>HYPERLINK("http://www.twitter.com/NathanBLawrence/status/989289726577401856", "989289726577401856")</f>
        <v/>
      </c>
      <c r="B1349" s="2" t="n">
        <v>43215.99103009259</v>
      </c>
      <c r="C1349" t="n">
        <v>0</v>
      </c>
      <c r="D1349" t="n">
        <v>34</v>
      </c>
      <c r="E1349" t="s">
        <v>1346</v>
      </c>
      <c r="F1349" t="s"/>
      <c r="G1349" t="s"/>
      <c r="H1349" t="s"/>
      <c r="I1349" t="s"/>
      <c r="J1349" t="n">
        <v>-0.2023</v>
      </c>
      <c r="K1349" t="n">
        <v>0.122</v>
      </c>
      <c r="L1349" t="n">
        <v>0.798</v>
      </c>
      <c r="M1349" t="n">
        <v>0.08</v>
      </c>
    </row>
    <row r="1350" spans="1:13">
      <c r="A1350" s="1">
        <f>HYPERLINK("http://www.twitter.com/NathanBLawrence/status/989289603504005121", "989289603504005121")</f>
        <v/>
      </c>
      <c r="B1350" s="2" t="n">
        <v>43215.99069444444</v>
      </c>
      <c r="C1350" t="n">
        <v>0</v>
      </c>
      <c r="D1350" t="n">
        <v>4</v>
      </c>
      <c r="E1350" t="s">
        <v>1347</v>
      </c>
      <c r="F1350" t="s"/>
      <c r="G1350" t="s"/>
      <c r="H1350" t="s"/>
      <c r="I1350" t="s"/>
      <c r="J1350" t="n">
        <v>-0.6486</v>
      </c>
      <c r="K1350" t="n">
        <v>0.218</v>
      </c>
      <c r="L1350" t="n">
        <v>0.782</v>
      </c>
      <c r="M1350" t="n">
        <v>0</v>
      </c>
    </row>
    <row r="1351" spans="1:13">
      <c r="A1351" s="1">
        <f>HYPERLINK("http://www.twitter.com/NathanBLawrence/status/989289503545274368", "989289503545274368")</f>
        <v/>
      </c>
      <c r="B1351" s="2" t="n">
        <v>43215.99041666667</v>
      </c>
      <c r="C1351" t="n">
        <v>0</v>
      </c>
      <c r="D1351" t="n">
        <v>8</v>
      </c>
      <c r="E1351" t="s">
        <v>1348</v>
      </c>
      <c r="F1351">
        <f>HYPERLINK("http://pbs.twimg.com/media/Dbqik_MW4AYH9oI.jpg", "http://pbs.twimg.com/media/Dbqik_MW4AYH9oI.jpg")</f>
        <v/>
      </c>
      <c r="G1351">
        <f>HYPERLINK("http://pbs.twimg.com/media/Dbqik_NX4AYpkPY.jpg", "http://pbs.twimg.com/media/Dbqik_NX4AYpkPY.jpg")</f>
        <v/>
      </c>
      <c r="H1351" t="s"/>
      <c r="I1351" t="s"/>
      <c r="J1351" t="n">
        <v>0.1779</v>
      </c>
      <c r="K1351" t="n">
        <v>0.08</v>
      </c>
      <c r="L1351" t="n">
        <v>0.802</v>
      </c>
      <c r="M1351" t="n">
        <v>0.118</v>
      </c>
    </row>
    <row r="1352" spans="1:13">
      <c r="A1352" s="1">
        <f>HYPERLINK("http://www.twitter.com/NathanBLawrence/status/989289489955684353", "989289489955684353")</f>
        <v/>
      </c>
      <c r="B1352" s="2" t="n">
        <v>43215.99038194444</v>
      </c>
      <c r="C1352" t="n">
        <v>0</v>
      </c>
      <c r="D1352" t="n">
        <v>47</v>
      </c>
      <c r="E1352" t="s">
        <v>1349</v>
      </c>
      <c r="F1352" t="s"/>
      <c r="G1352" t="s"/>
      <c r="H1352" t="s"/>
      <c r="I1352" t="s"/>
      <c r="J1352" t="n">
        <v>-0.3612</v>
      </c>
      <c r="K1352" t="n">
        <v>0.116</v>
      </c>
      <c r="L1352" t="n">
        <v>0.884</v>
      </c>
      <c r="M1352" t="n">
        <v>0</v>
      </c>
    </row>
    <row r="1353" spans="1:13">
      <c r="A1353" s="1">
        <f>HYPERLINK("http://www.twitter.com/NathanBLawrence/status/989289474566905857", "989289474566905857")</f>
        <v/>
      </c>
      <c r="B1353" s="2" t="n">
        <v>43215.99033564814</v>
      </c>
      <c r="C1353" t="n">
        <v>0</v>
      </c>
      <c r="D1353" t="n">
        <v>19</v>
      </c>
      <c r="E1353" t="s">
        <v>1350</v>
      </c>
      <c r="F1353">
        <f>HYPERLINK("http://pbs.twimg.com/media/DbqlEKGW0AUdVFf.jpg", "http://pbs.twimg.com/media/DbqlEKGW0AUdVFf.jpg")</f>
        <v/>
      </c>
      <c r="G1353">
        <f>HYPERLINK("http://pbs.twimg.com/media/DbqlEvWWkAEg20c.jpg", "http://pbs.twimg.com/media/DbqlEvWWkAEg20c.jpg")</f>
        <v/>
      </c>
      <c r="H1353" t="s"/>
      <c r="I1353" t="s"/>
      <c r="J1353" t="n">
        <v>-0.5266999999999999</v>
      </c>
      <c r="K1353" t="n">
        <v>0.145</v>
      </c>
      <c r="L1353" t="n">
        <v>0.855</v>
      </c>
      <c r="M1353" t="n">
        <v>0</v>
      </c>
    </row>
    <row r="1354" spans="1:13">
      <c r="A1354" s="1">
        <f>HYPERLINK("http://www.twitter.com/NathanBLawrence/status/989280978752475136", "989280978752475136")</f>
        <v/>
      </c>
      <c r="B1354" s="2" t="n">
        <v>43215.96688657408</v>
      </c>
      <c r="C1354" t="n">
        <v>0</v>
      </c>
      <c r="D1354" t="n">
        <v>5</v>
      </c>
      <c r="E1354" t="s">
        <v>1351</v>
      </c>
      <c r="F1354">
        <f>HYPERLINK("http://pbs.twimg.com/media/DboaQROVMAAOqos.jpg", "http://pbs.twimg.com/media/DboaQROVMAAOqos.jpg")</f>
        <v/>
      </c>
      <c r="G1354" t="s"/>
      <c r="H1354" t="s"/>
      <c r="I1354" t="s"/>
      <c r="J1354" t="n">
        <v>0.8201000000000001</v>
      </c>
      <c r="K1354" t="n">
        <v>0</v>
      </c>
      <c r="L1354" t="n">
        <v>0.643</v>
      </c>
      <c r="M1354" t="n">
        <v>0.357</v>
      </c>
    </row>
    <row r="1355" spans="1:13">
      <c r="A1355" s="1">
        <f>HYPERLINK("http://www.twitter.com/NathanBLawrence/status/989280925052735488", "989280925052735488")</f>
        <v/>
      </c>
      <c r="B1355" s="2" t="n">
        <v>43215.96674768518</v>
      </c>
      <c r="C1355" t="n">
        <v>0</v>
      </c>
      <c r="D1355" t="n">
        <v>5</v>
      </c>
      <c r="E1355" t="s">
        <v>1352</v>
      </c>
      <c r="F1355" t="s"/>
      <c r="G1355" t="s"/>
      <c r="H1355" t="s"/>
      <c r="I1355" t="s"/>
      <c r="J1355" t="n">
        <v>-0.3612</v>
      </c>
      <c r="K1355" t="n">
        <v>0.116</v>
      </c>
      <c r="L1355" t="n">
        <v>0.884</v>
      </c>
      <c r="M1355" t="n">
        <v>0</v>
      </c>
    </row>
    <row r="1356" spans="1:13">
      <c r="A1356" s="1">
        <f>HYPERLINK("http://www.twitter.com/NathanBLawrence/status/989280910863462400", "989280910863462400")</f>
        <v/>
      </c>
      <c r="B1356" s="2" t="n">
        <v>43215.96670138889</v>
      </c>
      <c r="C1356" t="n">
        <v>0</v>
      </c>
      <c r="D1356" t="n">
        <v>7</v>
      </c>
      <c r="E1356" t="s">
        <v>1353</v>
      </c>
      <c r="F1356" t="s"/>
      <c r="G1356" t="s"/>
      <c r="H1356" t="s"/>
      <c r="I1356" t="s"/>
      <c r="J1356" t="n">
        <v>-0.4939</v>
      </c>
      <c r="K1356" t="n">
        <v>0.167</v>
      </c>
      <c r="L1356" t="n">
        <v>0.833</v>
      </c>
      <c r="M1356" t="n">
        <v>0</v>
      </c>
    </row>
    <row r="1357" spans="1:13">
      <c r="A1357" s="1">
        <f>HYPERLINK("http://www.twitter.com/NathanBLawrence/status/989280896783212545", "989280896783212545")</f>
        <v/>
      </c>
      <c r="B1357" s="2" t="n">
        <v>43215.96666666667</v>
      </c>
      <c r="C1357" t="n">
        <v>0</v>
      </c>
      <c r="D1357" t="n">
        <v>9</v>
      </c>
      <c r="E1357" t="s">
        <v>1354</v>
      </c>
      <c r="F1357" t="s"/>
      <c r="G1357" t="s"/>
      <c r="H1357" t="s"/>
      <c r="I1357" t="s"/>
      <c r="J1357" t="n">
        <v>0.7783</v>
      </c>
      <c r="K1357" t="n">
        <v>0</v>
      </c>
      <c r="L1357" t="n">
        <v>0.736</v>
      </c>
      <c r="M1357" t="n">
        <v>0.264</v>
      </c>
    </row>
    <row r="1358" spans="1:13">
      <c r="A1358" s="1">
        <f>HYPERLINK("http://www.twitter.com/NathanBLawrence/status/989280879649415170", "989280879649415170")</f>
        <v/>
      </c>
      <c r="B1358" s="2" t="n">
        <v>43215.96662037037</v>
      </c>
      <c r="C1358" t="n">
        <v>0</v>
      </c>
      <c r="D1358" t="n">
        <v>14</v>
      </c>
      <c r="E1358" t="s">
        <v>1355</v>
      </c>
      <c r="F1358" t="s"/>
      <c r="G1358" t="s"/>
      <c r="H1358" t="s"/>
      <c r="I1358" t="s"/>
      <c r="J1358" t="n">
        <v>-0.8316</v>
      </c>
      <c r="K1358" t="n">
        <v>0.353</v>
      </c>
      <c r="L1358" t="n">
        <v>0.647</v>
      </c>
      <c r="M1358" t="n">
        <v>0</v>
      </c>
    </row>
    <row r="1359" spans="1:13">
      <c r="A1359" s="1">
        <f>HYPERLINK("http://www.twitter.com/NathanBLawrence/status/989280862792544258", "989280862792544258")</f>
        <v/>
      </c>
      <c r="B1359" s="2" t="n">
        <v>43215.96657407407</v>
      </c>
      <c r="C1359" t="n">
        <v>0</v>
      </c>
      <c r="D1359" t="n">
        <v>8</v>
      </c>
      <c r="E1359" t="s">
        <v>1356</v>
      </c>
      <c r="F1359" t="s"/>
      <c r="G1359" t="s"/>
      <c r="H1359" t="s"/>
      <c r="I1359" t="s"/>
      <c r="J1359" t="n">
        <v>0.4449</v>
      </c>
      <c r="K1359" t="n">
        <v>0</v>
      </c>
      <c r="L1359" t="n">
        <v>0.845</v>
      </c>
      <c r="M1359" t="n">
        <v>0.155</v>
      </c>
    </row>
    <row r="1360" spans="1:13">
      <c r="A1360" s="1">
        <f>HYPERLINK("http://www.twitter.com/NathanBLawrence/status/989280840134877184", "989280840134877184")</f>
        <v/>
      </c>
      <c r="B1360" s="2" t="n">
        <v>43215.96650462963</v>
      </c>
      <c r="C1360" t="n">
        <v>0</v>
      </c>
      <c r="D1360" t="n">
        <v>38</v>
      </c>
      <c r="E1360" t="s">
        <v>1357</v>
      </c>
      <c r="F1360">
        <f>HYPERLINK("http://pbs.twimg.com/media/Dbk7dbWWsAAxU0n.jpg", "http://pbs.twimg.com/media/Dbk7dbWWsAAxU0n.jpg")</f>
        <v/>
      </c>
      <c r="G1360" t="s"/>
      <c r="H1360" t="s"/>
      <c r="I1360" t="s"/>
      <c r="J1360" t="n">
        <v>0</v>
      </c>
      <c r="K1360" t="n">
        <v>0</v>
      </c>
      <c r="L1360" t="n">
        <v>1</v>
      </c>
      <c r="M1360" t="n">
        <v>0</v>
      </c>
    </row>
    <row r="1361" spans="1:13">
      <c r="A1361" s="1">
        <f>HYPERLINK("http://www.twitter.com/NathanBLawrence/status/989280805263413248", "989280805263413248")</f>
        <v/>
      </c>
      <c r="B1361" s="2" t="n">
        <v>43215.96641203704</v>
      </c>
      <c r="C1361" t="n">
        <v>0</v>
      </c>
      <c r="D1361" t="n">
        <v>11</v>
      </c>
      <c r="E1361" t="s">
        <v>1358</v>
      </c>
      <c r="F1361">
        <f>HYPERLINK("http://pbs.twimg.com/media/DbqBkZFXkAE6aJP.jpg", "http://pbs.twimg.com/media/DbqBkZFXkAE6aJP.jpg")</f>
        <v/>
      </c>
      <c r="G1361" t="s"/>
      <c r="H1361" t="s"/>
      <c r="I1361" t="s"/>
      <c r="J1361" t="n">
        <v>0.34</v>
      </c>
      <c r="K1361" t="n">
        <v>0</v>
      </c>
      <c r="L1361" t="n">
        <v>0.876</v>
      </c>
      <c r="M1361" t="n">
        <v>0.124</v>
      </c>
    </row>
    <row r="1362" spans="1:13">
      <c r="A1362" s="1">
        <f>HYPERLINK("http://www.twitter.com/NathanBLawrence/status/989280759600111617", "989280759600111617")</f>
        <v/>
      </c>
      <c r="B1362" s="2" t="n">
        <v>43215.96628472222</v>
      </c>
      <c r="C1362" t="n">
        <v>0</v>
      </c>
      <c r="D1362" t="n">
        <v>9</v>
      </c>
      <c r="E1362" t="s">
        <v>1359</v>
      </c>
      <c r="F1362">
        <f>HYPERLINK("http://pbs.twimg.com/media/DboPyUiU0AEkNSa.jpg", "http://pbs.twimg.com/media/DboPyUiU0AEkNSa.jpg")</f>
        <v/>
      </c>
      <c r="G1362" t="s"/>
      <c r="H1362" t="s"/>
      <c r="I1362" t="s"/>
      <c r="J1362" t="n">
        <v>0.6486</v>
      </c>
      <c r="K1362" t="n">
        <v>0</v>
      </c>
      <c r="L1362" t="n">
        <v>0.751</v>
      </c>
      <c r="M1362" t="n">
        <v>0.249</v>
      </c>
    </row>
    <row r="1363" spans="1:13">
      <c r="A1363" s="1">
        <f>HYPERLINK("http://www.twitter.com/NathanBLawrence/status/989280591504920581", "989280591504920581")</f>
        <v/>
      </c>
      <c r="B1363" s="2" t="n">
        <v>43215.96582175926</v>
      </c>
      <c r="C1363" t="n">
        <v>0</v>
      </c>
      <c r="D1363" t="n">
        <v>5</v>
      </c>
      <c r="E1363" t="s">
        <v>1360</v>
      </c>
      <c r="F1363">
        <f>HYPERLINK("http://pbs.twimg.com/media/DbqeQ0VV4AAuEXn.jpg", "http://pbs.twimg.com/media/DbqeQ0VV4AAuEXn.jpg")</f>
        <v/>
      </c>
      <c r="G1363" t="s"/>
      <c r="H1363" t="s"/>
      <c r="I1363" t="s"/>
      <c r="J1363" t="n">
        <v>0</v>
      </c>
      <c r="K1363" t="n">
        <v>0</v>
      </c>
      <c r="L1363" t="n">
        <v>1</v>
      </c>
      <c r="M1363" t="n">
        <v>0</v>
      </c>
    </row>
    <row r="1364" spans="1:13">
      <c r="A1364" s="1">
        <f>HYPERLINK("http://www.twitter.com/NathanBLawrence/status/989280554154635269", "989280554154635269")</f>
        <v/>
      </c>
      <c r="B1364" s="2" t="n">
        <v>43215.96571759259</v>
      </c>
      <c r="C1364" t="n">
        <v>0</v>
      </c>
      <c r="D1364" t="n">
        <v>1</v>
      </c>
      <c r="E1364" t="s">
        <v>1361</v>
      </c>
      <c r="F1364" t="s"/>
      <c r="G1364" t="s"/>
      <c r="H1364" t="s"/>
      <c r="I1364" t="s"/>
      <c r="J1364" t="n">
        <v>-0.6369</v>
      </c>
      <c r="K1364" t="n">
        <v>0.246</v>
      </c>
      <c r="L1364" t="n">
        <v>0.754</v>
      </c>
      <c r="M1364" t="n">
        <v>0</v>
      </c>
    </row>
    <row r="1365" spans="1:13">
      <c r="A1365" s="1">
        <f>HYPERLINK("http://www.twitter.com/NathanBLawrence/status/989280518045913090", "989280518045913090")</f>
        <v/>
      </c>
      <c r="B1365" s="2" t="n">
        <v>43215.965625</v>
      </c>
      <c r="C1365" t="n">
        <v>0</v>
      </c>
      <c r="D1365" t="n">
        <v>16</v>
      </c>
      <c r="E1365" t="s">
        <v>1362</v>
      </c>
      <c r="F1365">
        <f>HYPERLINK("http://pbs.twimg.com/media/Dbqf_vcUwAEuyZn.jpg", "http://pbs.twimg.com/media/Dbqf_vcUwAEuyZn.jpg")</f>
        <v/>
      </c>
      <c r="G1365">
        <f>HYPERLINK("http://pbs.twimg.com/media/Dbqf_vXUwAA9KuS.jpg", "http://pbs.twimg.com/media/Dbqf_vXUwAA9KuS.jpg")</f>
        <v/>
      </c>
      <c r="H1365" t="s"/>
      <c r="I1365" t="s"/>
      <c r="J1365" t="n">
        <v>0</v>
      </c>
      <c r="K1365" t="n">
        <v>0</v>
      </c>
      <c r="L1365" t="n">
        <v>1</v>
      </c>
      <c r="M1365" t="n">
        <v>0</v>
      </c>
    </row>
    <row r="1366" spans="1:13">
      <c r="A1366" s="1">
        <f>HYPERLINK("http://www.twitter.com/NathanBLawrence/status/989280496604602368", "989280496604602368")</f>
        <v/>
      </c>
      <c r="B1366" s="2" t="n">
        <v>43215.96555555556</v>
      </c>
      <c r="C1366" t="n">
        <v>0</v>
      </c>
      <c r="D1366" t="n">
        <v>9</v>
      </c>
      <c r="E1366" t="s">
        <v>1360</v>
      </c>
      <c r="F1366">
        <f>HYPERLINK("http://pbs.twimg.com/media/Dbqg9jkWkAAKuxA.jpg", "http://pbs.twimg.com/media/Dbqg9jkWkAAKuxA.jpg")</f>
        <v/>
      </c>
      <c r="G1366" t="s"/>
      <c r="H1366" t="s"/>
      <c r="I1366" t="s"/>
      <c r="J1366" t="n">
        <v>0</v>
      </c>
      <c r="K1366" t="n">
        <v>0</v>
      </c>
      <c r="L1366" t="n">
        <v>1</v>
      </c>
      <c r="M1366" t="n">
        <v>0</v>
      </c>
    </row>
    <row r="1367" spans="1:13">
      <c r="A1367" s="1">
        <f>HYPERLINK("http://www.twitter.com/NathanBLawrence/status/989259750977261568", "989259750977261568")</f>
        <v/>
      </c>
      <c r="B1367" s="2" t="n">
        <v>43215.90831018519</v>
      </c>
      <c r="C1367" t="n">
        <v>0</v>
      </c>
      <c r="D1367" t="n">
        <v>2</v>
      </c>
      <c r="E1367" t="s">
        <v>1363</v>
      </c>
      <c r="F1367" t="s"/>
      <c r="G1367" t="s"/>
      <c r="H1367" t="s"/>
      <c r="I1367" t="s"/>
      <c r="J1367" t="n">
        <v>0</v>
      </c>
      <c r="K1367" t="n">
        <v>0</v>
      </c>
      <c r="L1367" t="n">
        <v>1</v>
      </c>
      <c r="M1367" t="n">
        <v>0</v>
      </c>
    </row>
    <row r="1368" spans="1:13">
      <c r="A1368" s="1">
        <f>HYPERLINK("http://www.twitter.com/NathanBLawrence/status/989259740797702144", "989259740797702144")</f>
        <v/>
      </c>
      <c r="B1368" s="2" t="n">
        <v>43215.90828703704</v>
      </c>
      <c r="C1368" t="n">
        <v>0</v>
      </c>
      <c r="D1368" t="n">
        <v>2</v>
      </c>
      <c r="E1368" t="s">
        <v>1364</v>
      </c>
      <c r="F1368" t="s"/>
      <c r="G1368" t="s"/>
      <c r="H1368" t="s"/>
      <c r="I1368" t="s"/>
      <c r="J1368" t="n">
        <v>0.6114000000000001</v>
      </c>
      <c r="K1368" t="n">
        <v>0</v>
      </c>
      <c r="L1368" t="n">
        <v>0.429</v>
      </c>
      <c r="M1368" t="n">
        <v>0.571</v>
      </c>
    </row>
    <row r="1369" spans="1:13">
      <c r="A1369" s="1">
        <f>HYPERLINK("http://www.twitter.com/NathanBLawrence/status/989253342634397698", "989253342634397698")</f>
        <v/>
      </c>
      <c r="B1369" s="2" t="n">
        <v>43215.890625</v>
      </c>
      <c r="C1369" t="n">
        <v>0</v>
      </c>
      <c r="D1369" t="n">
        <v>6</v>
      </c>
      <c r="E1369" t="s">
        <v>1365</v>
      </c>
      <c r="F1369" t="s"/>
      <c r="G1369" t="s"/>
      <c r="H1369" t="s"/>
      <c r="I1369" t="s"/>
      <c r="J1369" t="n">
        <v>0</v>
      </c>
      <c r="K1369" t="n">
        <v>0</v>
      </c>
      <c r="L1369" t="n">
        <v>1</v>
      </c>
      <c r="M1369" t="n">
        <v>0</v>
      </c>
    </row>
    <row r="1370" spans="1:13">
      <c r="A1370" s="1">
        <f>HYPERLINK("http://www.twitter.com/NathanBLawrence/status/989253322015236098", "989253322015236098")</f>
        <v/>
      </c>
      <c r="B1370" s="2" t="n">
        <v>43215.8905787037</v>
      </c>
      <c r="C1370" t="n">
        <v>0</v>
      </c>
      <c r="D1370" t="n">
        <v>8</v>
      </c>
      <c r="E1370" t="s">
        <v>1366</v>
      </c>
      <c r="F1370">
        <f>HYPERLINK("http://pbs.twimg.com/media/Dbp7tBoW4AIYJBg.jpg", "http://pbs.twimg.com/media/Dbp7tBoW4AIYJBg.jpg")</f>
        <v/>
      </c>
      <c r="G1370" t="s"/>
      <c r="H1370" t="s"/>
      <c r="I1370" t="s"/>
      <c r="J1370" t="n">
        <v>0.3182</v>
      </c>
      <c r="K1370" t="n">
        <v>0</v>
      </c>
      <c r="L1370" t="n">
        <v>0.827</v>
      </c>
      <c r="M1370" t="n">
        <v>0.173</v>
      </c>
    </row>
    <row r="1371" spans="1:13">
      <c r="A1371" s="1">
        <f>HYPERLINK("http://www.twitter.com/NathanBLawrence/status/989253297373700096", "989253297373700096")</f>
        <v/>
      </c>
      <c r="B1371" s="2" t="n">
        <v>43215.89050925926</v>
      </c>
      <c r="C1371" t="n">
        <v>0</v>
      </c>
      <c r="D1371" t="n">
        <v>8</v>
      </c>
      <c r="E1371" t="s">
        <v>1367</v>
      </c>
      <c r="F1371" t="s"/>
      <c r="G1371" t="s"/>
      <c r="H1371" t="s"/>
      <c r="I1371" t="s"/>
      <c r="J1371" t="n">
        <v>0.6249</v>
      </c>
      <c r="K1371" t="n">
        <v>0</v>
      </c>
      <c r="L1371" t="n">
        <v>0.769</v>
      </c>
      <c r="M1371" t="n">
        <v>0.231</v>
      </c>
    </row>
    <row r="1372" spans="1:13">
      <c r="A1372" s="1">
        <f>HYPERLINK("http://www.twitter.com/NathanBLawrence/status/989253265442426880", "989253265442426880")</f>
        <v/>
      </c>
      <c r="B1372" s="2" t="n">
        <v>43215.89041666667</v>
      </c>
      <c r="C1372" t="n">
        <v>0</v>
      </c>
      <c r="D1372" t="n">
        <v>13</v>
      </c>
      <c r="E1372" t="s">
        <v>1358</v>
      </c>
      <c r="F1372">
        <f>HYPERLINK("http://pbs.twimg.com/media/DbqFcMFVAAEqRlL.jpg", "http://pbs.twimg.com/media/DbqFcMFVAAEqRlL.jpg")</f>
        <v/>
      </c>
      <c r="G1372" t="s"/>
      <c r="H1372" t="s"/>
      <c r="I1372" t="s"/>
      <c r="J1372" t="n">
        <v>0.34</v>
      </c>
      <c r="K1372" t="n">
        <v>0</v>
      </c>
      <c r="L1372" t="n">
        <v>0.876</v>
      </c>
      <c r="M1372" t="n">
        <v>0.124</v>
      </c>
    </row>
    <row r="1373" spans="1:13">
      <c r="A1373" s="1">
        <f>HYPERLINK("http://www.twitter.com/NathanBLawrence/status/989253237948764161", "989253237948764161")</f>
        <v/>
      </c>
      <c r="B1373" s="2" t="n">
        <v>43215.89034722222</v>
      </c>
      <c r="C1373" t="n">
        <v>0</v>
      </c>
      <c r="D1373" t="n">
        <v>7</v>
      </c>
      <c r="E1373" t="s">
        <v>1368</v>
      </c>
      <c r="F1373">
        <f>HYPERLINK("http://pbs.twimg.com/media/Dbp8SqZVMAA2ATN.jpg", "http://pbs.twimg.com/media/Dbp8SqZVMAA2ATN.jpg")</f>
        <v/>
      </c>
      <c r="G1373" t="s"/>
      <c r="H1373" t="s"/>
      <c r="I1373" t="s"/>
      <c r="J1373" t="n">
        <v>0.4939</v>
      </c>
      <c r="K1373" t="n">
        <v>0</v>
      </c>
      <c r="L1373" t="n">
        <v>0.842</v>
      </c>
      <c r="M1373" t="n">
        <v>0.158</v>
      </c>
    </row>
    <row r="1374" spans="1:13">
      <c r="A1374" s="1">
        <f>HYPERLINK("http://www.twitter.com/NathanBLawrence/status/989253177383014400", "989253177383014400")</f>
        <v/>
      </c>
      <c r="B1374" s="2" t="n">
        <v>43215.89017361111</v>
      </c>
      <c r="C1374" t="n">
        <v>0</v>
      </c>
      <c r="D1374" t="n">
        <v>77</v>
      </c>
      <c r="E1374" t="s">
        <v>1369</v>
      </c>
      <c r="F1374">
        <f>HYPERLINK("http://pbs.twimg.com/media/Dbp51JmUQAEMa32.jpg", "http://pbs.twimg.com/media/Dbp51JmUQAEMa32.jpg")</f>
        <v/>
      </c>
      <c r="G1374" t="s"/>
      <c r="H1374" t="s"/>
      <c r="I1374" t="s"/>
      <c r="J1374" t="n">
        <v>0.6124000000000001</v>
      </c>
      <c r="K1374" t="n">
        <v>0</v>
      </c>
      <c r="L1374" t="n">
        <v>0.792</v>
      </c>
      <c r="M1374" t="n">
        <v>0.208</v>
      </c>
    </row>
    <row r="1375" spans="1:13">
      <c r="A1375" s="1">
        <f>HYPERLINK("http://www.twitter.com/NathanBLawrence/status/989214762566373376", "989214762566373376")</f>
        <v/>
      </c>
      <c r="B1375" s="2" t="n">
        <v>43215.78416666666</v>
      </c>
      <c r="C1375" t="n">
        <v>0</v>
      </c>
      <c r="D1375" t="n">
        <v>1438</v>
      </c>
      <c r="E1375" t="s">
        <v>1370</v>
      </c>
      <c r="F1375" t="s"/>
      <c r="G1375" t="s"/>
      <c r="H1375" t="s"/>
      <c r="I1375" t="s"/>
      <c r="J1375" t="n">
        <v>0.8126</v>
      </c>
      <c r="K1375" t="n">
        <v>0</v>
      </c>
      <c r="L1375" t="n">
        <v>0.549</v>
      </c>
      <c r="M1375" t="n">
        <v>0.451</v>
      </c>
    </row>
    <row r="1376" spans="1:13">
      <c r="A1376" s="1">
        <f>HYPERLINK("http://www.twitter.com/NathanBLawrence/status/989214725689966592", "989214725689966592")</f>
        <v/>
      </c>
      <c r="B1376" s="2" t="n">
        <v>43215.7840625</v>
      </c>
      <c r="C1376" t="n">
        <v>0</v>
      </c>
      <c r="D1376" t="n">
        <v>1015</v>
      </c>
      <c r="E1376" t="s">
        <v>1371</v>
      </c>
      <c r="F1376" t="s"/>
      <c r="G1376" t="s"/>
      <c r="H1376" t="s"/>
      <c r="I1376" t="s"/>
      <c r="J1376" t="n">
        <v>0.3612</v>
      </c>
      <c r="K1376" t="n">
        <v>0</v>
      </c>
      <c r="L1376" t="n">
        <v>0.878</v>
      </c>
      <c r="M1376" t="n">
        <v>0.122</v>
      </c>
    </row>
    <row r="1377" spans="1:13">
      <c r="A1377" s="1">
        <f>HYPERLINK("http://www.twitter.com/NathanBLawrence/status/989214557112623104", "989214557112623104")</f>
        <v/>
      </c>
      <c r="B1377" s="2" t="n">
        <v>43215.78359953704</v>
      </c>
      <c r="C1377" t="n">
        <v>0</v>
      </c>
      <c r="D1377" t="n">
        <v>223</v>
      </c>
      <c r="E1377" t="s">
        <v>1372</v>
      </c>
      <c r="F1377" t="s"/>
      <c r="G1377" t="s"/>
      <c r="H1377" t="s"/>
      <c r="I1377" t="s"/>
      <c r="J1377" t="n">
        <v>0.2695</v>
      </c>
      <c r="K1377" t="n">
        <v>0.133</v>
      </c>
      <c r="L1377" t="n">
        <v>0.667</v>
      </c>
      <c r="M1377" t="n">
        <v>0.199</v>
      </c>
    </row>
    <row r="1378" spans="1:13">
      <c r="A1378" s="1">
        <f>HYPERLINK("http://www.twitter.com/NathanBLawrence/status/989214527718936577", "989214527718936577")</f>
        <v/>
      </c>
      <c r="B1378" s="2" t="n">
        <v>43215.78351851852</v>
      </c>
      <c r="C1378" t="n">
        <v>0</v>
      </c>
      <c r="D1378" t="n">
        <v>35</v>
      </c>
      <c r="E1378" t="s">
        <v>1373</v>
      </c>
      <c r="F1378" t="s"/>
      <c r="G1378" t="s"/>
      <c r="H1378" t="s"/>
      <c r="I1378" t="s"/>
      <c r="J1378" t="n">
        <v>-0.1027</v>
      </c>
      <c r="K1378" t="n">
        <v>0.065</v>
      </c>
      <c r="L1378" t="n">
        <v>0.9350000000000001</v>
      </c>
      <c r="M1378" t="n">
        <v>0</v>
      </c>
    </row>
    <row r="1379" spans="1:13">
      <c r="A1379" s="1">
        <f>HYPERLINK("http://www.twitter.com/NathanBLawrence/status/989214487264874504", "989214487264874504")</f>
        <v/>
      </c>
      <c r="B1379" s="2" t="n">
        <v>43215.78341435185</v>
      </c>
      <c r="C1379" t="n">
        <v>0</v>
      </c>
      <c r="D1379" t="n">
        <v>186</v>
      </c>
      <c r="E1379" t="s">
        <v>1374</v>
      </c>
      <c r="F1379" t="s"/>
      <c r="G1379" t="s"/>
      <c r="H1379" t="s"/>
      <c r="I1379" t="s"/>
      <c r="J1379" t="n">
        <v>0</v>
      </c>
      <c r="K1379" t="n">
        <v>0</v>
      </c>
      <c r="L1379" t="n">
        <v>1</v>
      </c>
      <c r="M1379" t="n">
        <v>0</v>
      </c>
    </row>
    <row r="1380" spans="1:13">
      <c r="A1380" s="1">
        <f>HYPERLINK("http://www.twitter.com/NathanBLawrence/status/989214218862977024", "989214218862977024")</f>
        <v/>
      </c>
      <c r="B1380" s="2" t="n">
        <v>43215.78267361111</v>
      </c>
      <c r="C1380" t="n">
        <v>0</v>
      </c>
      <c r="D1380" t="n">
        <v>7197</v>
      </c>
      <c r="E1380" t="s">
        <v>1375</v>
      </c>
      <c r="F1380">
        <f>HYPERLINK("http://pbs.twimg.com/media/DbnRlZ8XcAA9uvx.jpg", "http://pbs.twimg.com/media/DbnRlZ8XcAA9uvx.jpg")</f>
        <v/>
      </c>
      <c r="G1380" t="s"/>
      <c r="H1380" t="s"/>
      <c r="I1380" t="s"/>
      <c r="J1380" t="n">
        <v>0.4866</v>
      </c>
      <c r="K1380" t="n">
        <v>0.147</v>
      </c>
      <c r="L1380" t="n">
        <v>0.553</v>
      </c>
      <c r="M1380" t="n">
        <v>0.3</v>
      </c>
    </row>
    <row r="1381" spans="1:13">
      <c r="A1381" s="1">
        <f>HYPERLINK("http://www.twitter.com/NathanBLawrence/status/989214135794663425", "989214135794663425")</f>
        <v/>
      </c>
      <c r="B1381" s="2" t="n">
        <v>43215.78244212963</v>
      </c>
      <c r="C1381" t="n">
        <v>0</v>
      </c>
      <c r="D1381" t="n">
        <v>7</v>
      </c>
      <c r="E1381" t="s">
        <v>1376</v>
      </c>
      <c r="F1381" t="s"/>
      <c r="G1381" t="s"/>
      <c r="H1381" t="s"/>
      <c r="I1381" t="s"/>
      <c r="J1381" t="n">
        <v>0</v>
      </c>
      <c r="K1381" t="n">
        <v>0</v>
      </c>
      <c r="L1381" t="n">
        <v>1</v>
      </c>
      <c r="M1381" t="n">
        <v>0</v>
      </c>
    </row>
    <row r="1382" spans="1:13">
      <c r="A1382" s="1">
        <f>HYPERLINK("http://www.twitter.com/NathanBLawrence/status/989214093008568320", "989214093008568320")</f>
        <v/>
      </c>
      <c r="B1382" s="2" t="n">
        <v>43215.78232638889</v>
      </c>
      <c r="C1382" t="n">
        <v>0</v>
      </c>
      <c r="D1382" t="n">
        <v>250</v>
      </c>
      <c r="E1382" t="s">
        <v>1377</v>
      </c>
      <c r="F1382">
        <f>HYPERLINK("http://pbs.twimg.com/media/DbpGfnBUwAEO6iO.jpg", "http://pbs.twimg.com/media/DbpGfnBUwAEO6iO.jpg")</f>
        <v/>
      </c>
      <c r="G1382" t="s"/>
      <c r="H1382" t="s"/>
      <c r="I1382" t="s"/>
      <c r="J1382" t="n">
        <v>0</v>
      </c>
      <c r="K1382" t="n">
        <v>0</v>
      </c>
      <c r="L1382" t="n">
        <v>1</v>
      </c>
      <c r="M1382" t="n">
        <v>0</v>
      </c>
    </row>
    <row r="1383" spans="1:13">
      <c r="A1383" s="1">
        <f>HYPERLINK("http://www.twitter.com/NathanBLawrence/status/989212405384261634", "989212405384261634")</f>
        <v/>
      </c>
      <c r="B1383" s="2" t="n">
        <v>43215.77766203704</v>
      </c>
      <c r="C1383" t="n">
        <v>0</v>
      </c>
      <c r="D1383" t="n">
        <v>48</v>
      </c>
      <c r="E1383" t="s">
        <v>1378</v>
      </c>
      <c r="F1383">
        <f>HYPERLINK("http://pbs.twimg.com/media/Dbo5PxaVwAMeE5Z.jpg", "http://pbs.twimg.com/media/Dbo5PxaVwAMeE5Z.jpg")</f>
        <v/>
      </c>
      <c r="G1383" t="s"/>
      <c r="H1383" t="s"/>
      <c r="I1383" t="s"/>
      <c r="J1383" t="n">
        <v>0.34</v>
      </c>
      <c r="K1383" t="n">
        <v>0</v>
      </c>
      <c r="L1383" t="n">
        <v>0.87</v>
      </c>
      <c r="M1383" t="n">
        <v>0.13</v>
      </c>
    </row>
    <row r="1384" spans="1:13">
      <c r="A1384" s="1">
        <f>HYPERLINK("http://www.twitter.com/NathanBLawrence/status/989212243987501061", "989212243987501061")</f>
        <v/>
      </c>
      <c r="B1384" s="2" t="n">
        <v>43215.77722222222</v>
      </c>
      <c r="C1384" t="n">
        <v>0</v>
      </c>
      <c r="D1384" t="n">
        <v>20</v>
      </c>
      <c r="E1384" t="s">
        <v>1379</v>
      </c>
      <c r="F1384">
        <f>HYPERLINK("http://pbs.twimg.com/media/DboE0eOVMAAMgAu.jpg", "http://pbs.twimg.com/media/DboE0eOVMAAMgAu.jpg")</f>
        <v/>
      </c>
      <c r="G1384" t="s"/>
      <c r="H1384" t="s"/>
      <c r="I1384" t="s"/>
      <c r="J1384" t="n">
        <v>0</v>
      </c>
      <c r="K1384" t="n">
        <v>0</v>
      </c>
      <c r="L1384" t="n">
        <v>1</v>
      </c>
      <c r="M1384" t="n">
        <v>0</v>
      </c>
    </row>
    <row r="1385" spans="1:13">
      <c r="A1385" s="1">
        <f>HYPERLINK("http://www.twitter.com/NathanBLawrence/status/989212106946990080", "989212106946990080")</f>
        <v/>
      </c>
      <c r="B1385" s="2" t="n">
        <v>43215.77684027778</v>
      </c>
      <c r="C1385" t="n">
        <v>0</v>
      </c>
      <c r="D1385" t="n">
        <v>15911</v>
      </c>
      <c r="E1385" t="s">
        <v>1380</v>
      </c>
      <c r="F1385" t="s"/>
      <c r="G1385" t="s"/>
      <c r="H1385" t="s"/>
      <c r="I1385" t="s"/>
      <c r="J1385" t="n">
        <v>0</v>
      </c>
      <c r="K1385" t="n">
        <v>0</v>
      </c>
      <c r="L1385" t="n">
        <v>1</v>
      </c>
      <c r="M1385" t="n">
        <v>0</v>
      </c>
    </row>
    <row r="1386" spans="1:13">
      <c r="A1386" s="1">
        <f>HYPERLINK("http://www.twitter.com/NathanBLawrence/status/989212077880414209", "989212077880414209")</f>
        <v/>
      </c>
      <c r="B1386" s="2" t="n">
        <v>43215.77675925926</v>
      </c>
      <c r="C1386" t="n">
        <v>0</v>
      </c>
      <c r="D1386" t="n">
        <v>5</v>
      </c>
      <c r="E1386" t="s">
        <v>1381</v>
      </c>
      <c r="F1386" t="s"/>
      <c r="G1386" t="s"/>
      <c r="H1386" t="s"/>
      <c r="I1386" t="s"/>
      <c r="J1386" t="n">
        <v>0</v>
      </c>
      <c r="K1386" t="n">
        <v>0</v>
      </c>
      <c r="L1386" t="n">
        <v>1</v>
      </c>
      <c r="M1386" t="n">
        <v>0</v>
      </c>
    </row>
    <row r="1387" spans="1:13">
      <c r="A1387" s="1">
        <f>HYPERLINK("http://www.twitter.com/NathanBLawrence/status/989211914860449794", "989211914860449794")</f>
        <v/>
      </c>
      <c r="B1387" s="2" t="n">
        <v>43215.77630787037</v>
      </c>
      <c r="C1387" t="n">
        <v>0</v>
      </c>
      <c r="D1387" t="n">
        <v>10</v>
      </c>
      <c r="E1387" t="s">
        <v>1382</v>
      </c>
      <c r="F1387">
        <f>HYPERLINK("http://pbs.twimg.com/media/DbofFlwWkAAZSSG.jpg", "http://pbs.twimg.com/media/DbofFlwWkAAZSSG.jpg")</f>
        <v/>
      </c>
      <c r="G1387" t="s"/>
      <c r="H1387" t="s"/>
      <c r="I1387" t="s"/>
      <c r="J1387" t="n">
        <v>0.4404</v>
      </c>
      <c r="K1387" t="n">
        <v>0</v>
      </c>
      <c r="L1387" t="n">
        <v>0.8179999999999999</v>
      </c>
      <c r="M1387" t="n">
        <v>0.182</v>
      </c>
    </row>
    <row r="1388" spans="1:13">
      <c r="A1388" s="1">
        <f>HYPERLINK("http://www.twitter.com/NathanBLawrence/status/989211430489600001", "989211430489600001")</f>
        <v/>
      </c>
      <c r="B1388" s="2" t="n">
        <v>43215.77497685186</v>
      </c>
      <c r="C1388" t="n">
        <v>0</v>
      </c>
      <c r="D1388" t="n">
        <v>5</v>
      </c>
      <c r="E1388" t="s">
        <v>1383</v>
      </c>
      <c r="F1388" t="s"/>
      <c r="G1388" t="s"/>
      <c r="H1388" t="s"/>
      <c r="I1388" t="s"/>
      <c r="J1388" t="n">
        <v>-0.25</v>
      </c>
      <c r="K1388" t="n">
        <v>0.201</v>
      </c>
      <c r="L1388" t="n">
        <v>0.652</v>
      </c>
      <c r="M1388" t="n">
        <v>0.147</v>
      </c>
    </row>
    <row r="1389" spans="1:13">
      <c r="A1389" s="1">
        <f>HYPERLINK("http://www.twitter.com/NathanBLawrence/status/989211399330123776", "989211399330123776")</f>
        <v/>
      </c>
      <c r="B1389" s="2" t="n">
        <v>43215.77488425926</v>
      </c>
      <c r="C1389" t="n">
        <v>0</v>
      </c>
      <c r="D1389" t="n">
        <v>8</v>
      </c>
      <c r="E1389" t="s">
        <v>1384</v>
      </c>
      <c r="F1389" t="s"/>
      <c r="G1389" t="s"/>
      <c r="H1389" t="s"/>
      <c r="I1389" t="s"/>
      <c r="J1389" t="n">
        <v>-0.7783</v>
      </c>
      <c r="K1389" t="n">
        <v>0.298</v>
      </c>
      <c r="L1389" t="n">
        <v>0.702</v>
      </c>
      <c r="M1389" t="n">
        <v>0</v>
      </c>
    </row>
    <row r="1390" spans="1:13">
      <c r="A1390" s="1">
        <f>HYPERLINK("http://www.twitter.com/NathanBLawrence/status/989211385702813697", "989211385702813697")</f>
        <v/>
      </c>
      <c r="B1390" s="2" t="n">
        <v>43215.77484953704</v>
      </c>
      <c r="C1390" t="n">
        <v>0</v>
      </c>
      <c r="D1390" t="n">
        <v>1</v>
      </c>
      <c r="E1390" t="s">
        <v>1385</v>
      </c>
      <c r="F1390" t="s"/>
      <c r="G1390" t="s"/>
      <c r="H1390" t="s"/>
      <c r="I1390" t="s"/>
      <c r="J1390" t="n">
        <v>0.3612</v>
      </c>
      <c r="K1390" t="n">
        <v>0</v>
      </c>
      <c r="L1390" t="n">
        <v>0.865</v>
      </c>
      <c r="M1390" t="n">
        <v>0.135</v>
      </c>
    </row>
    <row r="1391" spans="1:13">
      <c r="A1391" s="1">
        <f>HYPERLINK("http://www.twitter.com/NathanBLawrence/status/989211346943336448", "989211346943336448")</f>
        <v/>
      </c>
      <c r="B1391" s="2" t="n">
        <v>43215.77474537037</v>
      </c>
      <c r="C1391" t="n">
        <v>0</v>
      </c>
      <c r="D1391" t="n">
        <v>1</v>
      </c>
      <c r="E1391" t="s">
        <v>1386</v>
      </c>
      <c r="F1391" t="s"/>
      <c r="G1391" t="s"/>
      <c r="H1391" t="s"/>
      <c r="I1391" t="s"/>
      <c r="J1391" t="n">
        <v>0</v>
      </c>
      <c r="K1391" t="n">
        <v>0</v>
      </c>
      <c r="L1391" t="n">
        <v>1</v>
      </c>
      <c r="M1391" t="n">
        <v>0</v>
      </c>
    </row>
    <row r="1392" spans="1:13">
      <c r="A1392" s="1">
        <f>HYPERLINK("http://www.twitter.com/NathanBLawrence/status/989211305008607232", "989211305008607232")</f>
        <v/>
      </c>
      <c r="B1392" s="2" t="n">
        <v>43215.77462962963</v>
      </c>
      <c r="C1392" t="n">
        <v>0</v>
      </c>
      <c r="D1392" t="n">
        <v>3</v>
      </c>
      <c r="E1392" t="s">
        <v>1387</v>
      </c>
      <c r="F1392" t="s"/>
      <c r="G1392" t="s"/>
      <c r="H1392" t="s"/>
      <c r="I1392" t="s"/>
      <c r="J1392" t="n">
        <v>0.128</v>
      </c>
      <c r="K1392" t="n">
        <v>0.116</v>
      </c>
      <c r="L1392" t="n">
        <v>0.741</v>
      </c>
      <c r="M1392" t="n">
        <v>0.143</v>
      </c>
    </row>
    <row r="1393" spans="1:13">
      <c r="A1393" s="1">
        <f>HYPERLINK("http://www.twitter.com/NathanBLawrence/status/989211192928428032", "989211192928428032")</f>
        <v/>
      </c>
      <c r="B1393" s="2" t="n">
        <v>43215.77431712963</v>
      </c>
      <c r="C1393" t="n">
        <v>0</v>
      </c>
      <c r="D1393" t="n">
        <v>7</v>
      </c>
      <c r="E1393" t="s">
        <v>1388</v>
      </c>
      <c r="F1393" t="s"/>
      <c r="G1393" t="s"/>
      <c r="H1393" t="s"/>
      <c r="I1393" t="s"/>
      <c r="J1393" t="n">
        <v>0.3818</v>
      </c>
      <c r="K1393" t="n">
        <v>0</v>
      </c>
      <c r="L1393" t="n">
        <v>0.874</v>
      </c>
      <c r="M1393" t="n">
        <v>0.126</v>
      </c>
    </row>
    <row r="1394" spans="1:13">
      <c r="A1394" s="1">
        <f>HYPERLINK("http://www.twitter.com/NathanBLawrence/status/989211144635248641", "989211144635248641")</f>
        <v/>
      </c>
      <c r="B1394" s="2" t="n">
        <v>43215.77418981482</v>
      </c>
      <c r="C1394" t="n">
        <v>0</v>
      </c>
      <c r="D1394" t="n">
        <v>13</v>
      </c>
      <c r="E1394" t="s">
        <v>1389</v>
      </c>
      <c r="F1394">
        <f>HYPERLINK("https://video.twimg.com/ext_tw_video/988936606945030145/pu/vid/640x360/O60U3xZ_k4dlXx0U.mp4?tag=3", "https://video.twimg.com/ext_tw_video/988936606945030145/pu/vid/640x360/O60U3xZ_k4dlXx0U.mp4?tag=3")</f>
        <v/>
      </c>
      <c r="G1394" t="s"/>
      <c r="H1394" t="s"/>
      <c r="I1394" t="s"/>
      <c r="J1394" t="n">
        <v>0.4263</v>
      </c>
      <c r="K1394" t="n">
        <v>0</v>
      </c>
      <c r="L1394" t="n">
        <v>0.871</v>
      </c>
      <c r="M1394" t="n">
        <v>0.129</v>
      </c>
    </row>
    <row r="1395" spans="1:13">
      <c r="A1395" s="1">
        <f>HYPERLINK("http://www.twitter.com/NathanBLawrence/status/989211117363875843", "989211117363875843")</f>
        <v/>
      </c>
      <c r="B1395" s="2" t="n">
        <v>43215.77410879629</v>
      </c>
      <c r="C1395" t="n">
        <v>0</v>
      </c>
      <c r="D1395" t="n">
        <v>9</v>
      </c>
      <c r="E1395" t="s">
        <v>1390</v>
      </c>
      <c r="F1395" t="s"/>
      <c r="G1395" t="s"/>
      <c r="H1395" t="s"/>
      <c r="I1395" t="s"/>
      <c r="J1395" t="n">
        <v>0</v>
      </c>
      <c r="K1395" t="n">
        <v>0</v>
      </c>
      <c r="L1395" t="n">
        <v>1</v>
      </c>
      <c r="M1395" t="n">
        <v>0</v>
      </c>
    </row>
    <row r="1396" spans="1:13">
      <c r="A1396" s="1">
        <f>HYPERLINK("http://www.twitter.com/NathanBLawrence/status/989211027710660614", "989211027710660614")</f>
        <v/>
      </c>
      <c r="B1396" s="2" t="n">
        <v>43215.77386574074</v>
      </c>
      <c r="C1396" t="n">
        <v>0</v>
      </c>
      <c r="D1396" t="n">
        <v>4</v>
      </c>
      <c r="E1396" t="s">
        <v>1391</v>
      </c>
      <c r="F1396" t="s"/>
      <c r="G1396" t="s"/>
      <c r="H1396" t="s"/>
      <c r="I1396" t="s"/>
      <c r="J1396" t="n">
        <v>-0.5106000000000001</v>
      </c>
      <c r="K1396" t="n">
        <v>0.136</v>
      </c>
      <c r="L1396" t="n">
        <v>0.864</v>
      </c>
      <c r="M1396" t="n">
        <v>0</v>
      </c>
    </row>
    <row r="1397" spans="1:13">
      <c r="A1397" s="1">
        <f>HYPERLINK("http://www.twitter.com/NathanBLawrence/status/989197274902384640", "989197274902384640")</f>
        <v/>
      </c>
      <c r="B1397" s="2" t="n">
        <v>43215.73591435186</v>
      </c>
      <c r="C1397" t="n">
        <v>0</v>
      </c>
      <c r="D1397" t="n">
        <v>17</v>
      </c>
      <c r="E1397" t="s">
        <v>1392</v>
      </c>
      <c r="F1397" t="s"/>
      <c r="G1397" t="s"/>
      <c r="H1397" t="s"/>
      <c r="I1397" t="s"/>
      <c r="J1397" t="n">
        <v>0.0258</v>
      </c>
      <c r="K1397" t="n">
        <v>0.103</v>
      </c>
      <c r="L1397" t="n">
        <v>0.791</v>
      </c>
      <c r="M1397" t="n">
        <v>0.107</v>
      </c>
    </row>
    <row r="1398" spans="1:13">
      <c r="A1398" s="1">
        <f>HYPERLINK("http://www.twitter.com/NathanBLawrence/status/989197230669168640", "989197230669168640")</f>
        <v/>
      </c>
      <c r="B1398" s="2" t="n">
        <v>43215.73578703704</v>
      </c>
      <c r="C1398" t="n">
        <v>0</v>
      </c>
      <c r="D1398" t="n">
        <v>5</v>
      </c>
      <c r="E1398" t="s">
        <v>1393</v>
      </c>
      <c r="F1398">
        <f>HYPERLINK("http://pbs.twimg.com/media/DbonUjXUwAAg_Jp.jpg", "http://pbs.twimg.com/media/DbonUjXUwAAg_Jp.jpg")</f>
        <v/>
      </c>
      <c r="G1398" t="s"/>
      <c r="H1398" t="s"/>
      <c r="I1398" t="s"/>
      <c r="J1398" t="n">
        <v>0.4019</v>
      </c>
      <c r="K1398" t="n">
        <v>0</v>
      </c>
      <c r="L1398" t="n">
        <v>0.87</v>
      </c>
      <c r="M1398" t="n">
        <v>0.13</v>
      </c>
    </row>
    <row r="1399" spans="1:13">
      <c r="A1399" s="1">
        <f>HYPERLINK("http://www.twitter.com/NathanBLawrence/status/989197214005317632", "989197214005317632")</f>
        <v/>
      </c>
      <c r="B1399" s="2" t="n">
        <v>43215.73574074074</v>
      </c>
      <c r="C1399" t="n">
        <v>0</v>
      </c>
      <c r="D1399" t="n">
        <v>9</v>
      </c>
      <c r="E1399" t="s">
        <v>1394</v>
      </c>
      <c r="F1399" t="s"/>
      <c r="G1399" t="s"/>
      <c r="H1399" t="s"/>
      <c r="I1399" t="s"/>
      <c r="J1399" t="n">
        <v>0</v>
      </c>
      <c r="K1399" t="n">
        <v>0</v>
      </c>
      <c r="L1399" t="n">
        <v>1</v>
      </c>
      <c r="M1399" t="n">
        <v>0</v>
      </c>
    </row>
    <row r="1400" spans="1:13">
      <c r="A1400" s="1">
        <f>HYPERLINK("http://www.twitter.com/NathanBLawrence/status/989197196401827840", "989197196401827840")</f>
        <v/>
      </c>
      <c r="B1400" s="2" t="n">
        <v>43215.73569444445</v>
      </c>
      <c r="C1400" t="n">
        <v>0</v>
      </c>
      <c r="D1400" t="n">
        <v>5</v>
      </c>
      <c r="E1400" t="s">
        <v>1395</v>
      </c>
      <c r="F1400">
        <f>HYPERLINK("http://pbs.twimg.com/media/DboqLRPU8AYLaBS.jpg", "http://pbs.twimg.com/media/DboqLRPU8AYLaBS.jpg")</f>
        <v/>
      </c>
      <c r="G1400" t="s"/>
      <c r="H1400" t="s"/>
      <c r="I1400" t="s"/>
      <c r="J1400" t="n">
        <v>-0.8442</v>
      </c>
      <c r="K1400" t="n">
        <v>0.394</v>
      </c>
      <c r="L1400" t="n">
        <v>0.606</v>
      </c>
      <c r="M1400" t="n">
        <v>0</v>
      </c>
    </row>
    <row r="1401" spans="1:13">
      <c r="A1401" s="1">
        <f>HYPERLINK("http://www.twitter.com/NathanBLawrence/status/989197176390717440", "989197176390717440")</f>
        <v/>
      </c>
      <c r="B1401" s="2" t="n">
        <v>43215.73563657407</v>
      </c>
      <c r="C1401" t="n">
        <v>0</v>
      </c>
      <c r="D1401" t="n">
        <v>2</v>
      </c>
      <c r="E1401" t="s">
        <v>1396</v>
      </c>
      <c r="F1401">
        <f>HYPERLINK("http://pbs.twimg.com/media/DbovmJDVMAE3N-T.jpg", "http://pbs.twimg.com/media/DbovmJDVMAE3N-T.jpg")</f>
        <v/>
      </c>
      <c r="G1401" t="s"/>
      <c r="H1401" t="s"/>
      <c r="I1401" t="s"/>
      <c r="J1401" t="n">
        <v>0</v>
      </c>
      <c r="K1401" t="n">
        <v>0</v>
      </c>
      <c r="L1401" t="n">
        <v>1</v>
      </c>
      <c r="M1401" t="n">
        <v>0</v>
      </c>
    </row>
    <row r="1402" spans="1:13">
      <c r="A1402" s="1">
        <f>HYPERLINK("http://www.twitter.com/NathanBLawrence/status/989197131587182592", "989197131587182592")</f>
        <v/>
      </c>
      <c r="B1402" s="2" t="n">
        <v>43215.73552083333</v>
      </c>
      <c r="C1402" t="n">
        <v>0</v>
      </c>
      <c r="D1402" t="n">
        <v>10</v>
      </c>
      <c r="E1402" t="s">
        <v>1397</v>
      </c>
      <c r="F1402" t="s"/>
      <c r="G1402" t="s"/>
      <c r="H1402" t="s"/>
      <c r="I1402" t="s"/>
      <c r="J1402" t="n">
        <v>-0.3753</v>
      </c>
      <c r="K1402" t="n">
        <v>0.105</v>
      </c>
      <c r="L1402" t="n">
        <v>0.895</v>
      </c>
      <c r="M1402" t="n">
        <v>0</v>
      </c>
    </row>
    <row r="1403" spans="1:13">
      <c r="A1403" s="1">
        <f>HYPERLINK("http://www.twitter.com/NathanBLawrence/status/989197103959289856", "989197103959289856")</f>
        <v/>
      </c>
      <c r="B1403" s="2" t="n">
        <v>43215.73543981482</v>
      </c>
      <c r="C1403" t="n">
        <v>0</v>
      </c>
      <c r="D1403" t="n">
        <v>6</v>
      </c>
      <c r="E1403" t="s">
        <v>1398</v>
      </c>
      <c r="F1403" t="s"/>
      <c r="G1403" t="s"/>
      <c r="H1403" t="s"/>
      <c r="I1403" t="s"/>
      <c r="J1403" t="n">
        <v>0</v>
      </c>
      <c r="K1403" t="n">
        <v>0</v>
      </c>
      <c r="L1403" t="n">
        <v>1</v>
      </c>
      <c r="M1403" t="n">
        <v>0</v>
      </c>
    </row>
    <row r="1404" spans="1:13">
      <c r="A1404" s="1">
        <f>HYPERLINK("http://www.twitter.com/NathanBLawrence/status/989197068253253634", "989197068253253634")</f>
        <v/>
      </c>
      <c r="B1404" s="2" t="n">
        <v>43215.73534722222</v>
      </c>
      <c r="C1404" t="n">
        <v>0</v>
      </c>
      <c r="D1404" t="n">
        <v>6</v>
      </c>
      <c r="E1404" t="s">
        <v>1399</v>
      </c>
      <c r="F1404" t="s"/>
      <c r="G1404" t="s"/>
      <c r="H1404" t="s"/>
      <c r="I1404" t="s"/>
      <c r="J1404" t="n">
        <v>0.3612</v>
      </c>
      <c r="K1404" t="n">
        <v>0</v>
      </c>
      <c r="L1404" t="n">
        <v>0.878</v>
      </c>
      <c r="M1404" t="n">
        <v>0.122</v>
      </c>
    </row>
    <row r="1405" spans="1:13">
      <c r="A1405" s="1">
        <f>HYPERLINK("http://www.twitter.com/NathanBLawrence/status/989197051882766337", "989197051882766337")</f>
        <v/>
      </c>
      <c r="B1405" s="2" t="n">
        <v>43215.73530092592</v>
      </c>
      <c r="C1405" t="n">
        <v>0</v>
      </c>
      <c r="D1405" t="n">
        <v>5</v>
      </c>
      <c r="E1405" t="s">
        <v>1400</v>
      </c>
      <c r="F1405" t="s"/>
      <c r="G1405" t="s"/>
      <c r="H1405" t="s"/>
      <c r="I1405" t="s"/>
      <c r="J1405" t="n">
        <v>0.3612</v>
      </c>
      <c r="K1405" t="n">
        <v>0</v>
      </c>
      <c r="L1405" t="n">
        <v>0.872</v>
      </c>
      <c r="M1405" t="n">
        <v>0.128</v>
      </c>
    </row>
    <row r="1406" spans="1:13">
      <c r="A1406" s="1">
        <f>HYPERLINK("http://www.twitter.com/NathanBLawrence/status/989197038788202497", "989197038788202497")</f>
        <v/>
      </c>
      <c r="B1406" s="2" t="n">
        <v>43215.7352662037</v>
      </c>
      <c r="C1406" t="n">
        <v>0</v>
      </c>
      <c r="D1406" t="n">
        <v>63</v>
      </c>
      <c r="E1406" t="s">
        <v>1401</v>
      </c>
      <c r="F1406" t="s"/>
      <c r="G1406" t="s"/>
      <c r="H1406" t="s"/>
      <c r="I1406" t="s"/>
      <c r="J1406" t="n">
        <v>0</v>
      </c>
      <c r="K1406" t="n">
        <v>0</v>
      </c>
      <c r="L1406" t="n">
        <v>1</v>
      </c>
      <c r="M1406" t="n">
        <v>0</v>
      </c>
    </row>
    <row r="1407" spans="1:13">
      <c r="A1407" s="1">
        <f>HYPERLINK("http://www.twitter.com/NathanBLawrence/status/989197018710134784", "989197018710134784")</f>
        <v/>
      </c>
      <c r="B1407" s="2" t="n">
        <v>43215.73520833333</v>
      </c>
      <c r="C1407" t="n">
        <v>0</v>
      </c>
      <c r="D1407" t="n">
        <v>10</v>
      </c>
      <c r="E1407" t="s">
        <v>1402</v>
      </c>
      <c r="F1407" t="s"/>
      <c r="G1407" t="s"/>
      <c r="H1407" t="s"/>
      <c r="I1407" t="s"/>
      <c r="J1407" t="n">
        <v>-0.7783</v>
      </c>
      <c r="K1407" t="n">
        <v>0.312</v>
      </c>
      <c r="L1407" t="n">
        <v>0.6879999999999999</v>
      </c>
      <c r="M1407" t="n">
        <v>0</v>
      </c>
    </row>
    <row r="1408" spans="1:13">
      <c r="A1408" s="1">
        <f>HYPERLINK("http://www.twitter.com/NathanBLawrence/status/989196989157036034", "989196989157036034")</f>
        <v/>
      </c>
      <c r="B1408" s="2" t="n">
        <v>43215.73512731482</v>
      </c>
      <c r="C1408" t="n">
        <v>0</v>
      </c>
      <c r="D1408" t="n">
        <v>8</v>
      </c>
      <c r="E1408" t="s">
        <v>1403</v>
      </c>
      <c r="F1408" t="s"/>
      <c r="G1408" t="s"/>
      <c r="H1408" t="s"/>
      <c r="I1408" t="s"/>
      <c r="J1408" t="n">
        <v>-0.25</v>
      </c>
      <c r="K1408" t="n">
        <v>0.13</v>
      </c>
      <c r="L1408" t="n">
        <v>0.775</v>
      </c>
      <c r="M1408" t="n">
        <v>0.095</v>
      </c>
    </row>
    <row r="1409" spans="1:13">
      <c r="A1409" s="1">
        <f>HYPERLINK("http://www.twitter.com/NathanBLawrence/status/989196937537695744", "989196937537695744")</f>
        <v/>
      </c>
      <c r="B1409" s="2" t="n">
        <v>43215.73497685185</v>
      </c>
      <c r="C1409" t="n">
        <v>0</v>
      </c>
      <c r="D1409" t="n">
        <v>7</v>
      </c>
      <c r="E1409" t="s">
        <v>1404</v>
      </c>
      <c r="F1409" t="s"/>
      <c r="G1409" t="s"/>
      <c r="H1409" t="s"/>
      <c r="I1409" t="s"/>
      <c r="J1409" t="n">
        <v>-0.4019</v>
      </c>
      <c r="K1409" t="n">
        <v>0.153</v>
      </c>
      <c r="L1409" t="n">
        <v>0.847</v>
      </c>
      <c r="M1409" t="n">
        <v>0</v>
      </c>
    </row>
    <row r="1410" spans="1:13">
      <c r="A1410" s="1">
        <f>HYPERLINK("http://www.twitter.com/NathanBLawrence/status/989196712475549699", "989196712475549699")</f>
        <v/>
      </c>
      <c r="B1410" s="2" t="n">
        <v>43215.73436342592</v>
      </c>
      <c r="C1410" t="n">
        <v>0</v>
      </c>
      <c r="D1410" t="n">
        <v>25</v>
      </c>
      <c r="E1410" t="s">
        <v>1405</v>
      </c>
      <c r="F1410">
        <f>HYPERLINK("http://pbs.twimg.com/media/DbpLpd1XUAEWv5a.jpg", "http://pbs.twimg.com/media/DbpLpd1XUAEWv5a.jpg")</f>
        <v/>
      </c>
      <c r="G1410">
        <f>HYPERLINK("http://pbs.twimg.com/media/DbpLpd0X4AAoUkJ.jpg", "http://pbs.twimg.com/media/DbpLpd0X4AAoUkJ.jpg")</f>
        <v/>
      </c>
      <c r="H1410">
        <f>HYPERLINK("http://pbs.twimg.com/media/DbpLpd0XUAUOJp3.jpg", "http://pbs.twimg.com/media/DbpLpd0XUAUOJp3.jpg")</f>
        <v/>
      </c>
      <c r="I1410">
        <f>HYPERLINK("http://pbs.twimg.com/media/DbpLpd3WkAAJ87I.jpg", "http://pbs.twimg.com/media/DbpLpd3WkAAJ87I.jpg")</f>
        <v/>
      </c>
      <c r="J1410" t="n">
        <v>-0.7906</v>
      </c>
      <c r="K1410" t="n">
        <v>0.269</v>
      </c>
      <c r="L1410" t="n">
        <v>0.731</v>
      </c>
      <c r="M1410" t="n">
        <v>0</v>
      </c>
    </row>
    <row r="1411" spans="1:13">
      <c r="A1411" s="1">
        <f>HYPERLINK("http://www.twitter.com/NathanBLawrence/status/989196641356910592", "989196641356910592")</f>
        <v/>
      </c>
      <c r="B1411" s="2" t="n">
        <v>43215.73416666667</v>
      </c>
      <c r="C1411" t="n">
        <v>0</v>
      </c>
      <c r="D1411" t="n">
        <v>13</v>
      </c>
      <c r="E1411" t="s">
        <v>1362</v>
      </c>
      <c r="F1411">
        <f>HYPERLINK("http://pbs.twimg.com/media/DbpOJ2ZUwAEjEXr.jpg", "http://pbs.twimg.com/media/DbpOJ2ZUwAEjEXr.jpg")</f>
        <v/>
      </c>
      <c r="G1411" t="s"/>
      <c r="H1411" t="s"/>
      <c r="I1411" t="s"/>
      <c r="J1411" t="n">
        <v>0</v>
      </c>
      <c r="K1411" t="n">
        <v>0</v>
      </c>
      <c r="L1411" t="n">
        <v>1</v>
      </c>
      <c r="M1411" t="n">
        <v>0</v>
      </c>
    </row>
    <row r="1412" spans="1:13">
      <c r="A1412" s="1">
        <f>HYPERLINK("http://www.twitter.com/NathanBLawrence/status/989196580447227907", "989196580447227907")</f>
        <v/>
      </c>
      <c r="B1412" s="2" t="n">
        <v>43215.73399305555</v>
      </c>
      <c r="C1412" t="n">
        <v>0</v>
      </c>
      <c r="D1412" t="n">
        <v>12</v>
      </c>
      <c r="E1412" t="s">
        <v>1406</v>
      </c>
      <c r="F1412">
        <f>HYPERLINK("http://pbs.twimg.com/media/DbpTV0xXkAA7imT.jpg", "http://pbs.twimg.com/media/DbpTV0xXkAA7imT.jpg")</f>
        <v/>
      </c>
      <c r="G1412" t="s"/>
      <c r="H1412" t="s"/>
      <c r="I1412" t="s"/>
      <c r="J1412" t="n">
        <v>0.7184</v>
      </c>
      <c r="K1412" t="n">
        <v>0</v>
      </c>
      <c r="L1412" t="n">
        <v>0.76</v>
      </c>
      <c r="M1412" t="n">
        <v>0.24</v>
      </c>
    </row>
    <row r="1413" spans="1:13">
      <c r="A1413" s="1">
        <f>HYPERLINK("http://www.twitter.com/NathanBLawrence/status/989143826479624192", "989143826479624192")</f>
        <v/>
      </c>
      <c r="B1413" s="2" t="n">
        <v>43215.58842592593</v>
      </c>
      <c r="C1413" t="n">
        <v>0</v>
      </c>
      <c r="D1413" t="n">
        <v>0</v>
      </c>
      <c r="E1413" t="s">
        <v>1407</v>
      </c>
      <c r="F1413" t="s"/>
      <c r="G1413" t="s"/>
      <c r="H1413" t="s"/>
      <c r="I1413" t="s"/>
      <c r="J1413" t="n">
        <v>0</v>
      </c>
      <c r="K1413" t="n">
        <v>0</v>
      </c>
      <c r="L1413" t="n">
        <v>1</v>
      </c>
      <c r="M1413" t="n">
        <v>0</v>
      </c>
    </row>
    <row r="1414" spans="1:13">
      <c r="A1414" s="1">
        <f>HYPERLINK("http://www.twitter.com/NathanBLawrence/status/988947674450808832", "988947674450808832")</f>
        <v/>
      </c>
      <c r="B1414" s="2" t="n">
        <v>43215.04715277778</v>
      </c>
      <c r="C1414" t="n">
        <v>0</v>
      </c>
      <c r="D1414" t="n">
        <v>1084</v>
      </c>
      <c r="E1414" t="s">
        <v>1408</v>
      </c>
      <c r="F1414">
        <f>HYPERLINK("http://pbs.twimg.com/media/Dbf3l4YWkAEzeEP.jpg", "http://pbs.twimg.com/media/Dbf3l4YWkAEzeEP.jpg")</f>
        <v/>
      </c>
      <c r="G1414" t="s"/>
      <c r="H1414" t="s"/>
      <c r="I1414" t="s"/>
      <c r="J1414" t="n">
        <v>0</v>
      </c>
      <c r="K1414" t="n">
        <v>0</v>
      </c>
      <c r="L1414" t="n">
        <v>1</v>
      </c>
      <c r="M1414" t="n">
        <v>0</v>
      </c>
    </row>
    <row r="1415" spans="1:13">
      <c r="A1415" s="1">
        <f>HYPERLINK("http://www.twitter.com/NathanBLawrence/status/988947621401317376", "988947621401317376")</f>
        <v/>
      </c>
      <c r="B1415" s="2" t="n">
        <v>43215.04700231482</v>
      </c>
      <c r="C1415" t="n">
        <v>0</v>
      </c>
      <c r="D1415" t="n">
        <v>1831</v>
      </c>
      <c r="E1415" t="s">
        <v>1409</v>
      </c>
      <c r="F1415">
        <f>HYPERLINK("https://video.twimg.com/ext_tw_video/988926293545807872/pu/vid/720x720/y_S8zHK0rA8KV_CV.mp4?tag=3", "https://video.twimg.com/ext_tw_video/988926293545807872/pu/vid/720x720/y_S8zHK0rA8KV_CV.mp4?tag=3")</f>
        <v/>
      </c>
      <c r="G1415" t="s"/>
      <c r="H1415" t="s"/>
      <c r="I1415" t="s"/>
      <c r="J1415" t="n">
        <v>0.4404</v>
      </c>
      <c r="K1415" t="n">
        <v>0</v>
      </c>
      <c r="L1415" t="n">
        <v>0.775</v>
      </c>
      <c r="M1415" t="n">
        <v>0.225</v>
      </c>
    </row>
    <row r="1416" spans="1:13">
      <c r="A1416" s="1">
        <f>HYPERLINK("http://www.twitter.com/NathanBLawrence/status/988947536697282560", "988947536697282560")</f>
        <v/>
      </c>
      <c r="B1416" s="2" t="n">
        <v>43215.04677083333</v>
      </c>
      <c r="C1416" t="n">
        <v>0</v>
      </c>
      <c r="D1416" t="n">
        <v>259</v>
      </c>
      <c r="E1416" t="s">
        <v>1410</v>
      </c>
      <c r="F1416" t="s"/>
      <c r="G1416" t="s"/>
      <c r="H1416" t="s"/>
      <c r="I1416" t="s"/>
      <c r="J1416" t="n">
        <v>-0.0258</v>
      </c>
      <c r="K1416" t="n">
        <v>0.149</v>
      </c>
      <c r="L1416" t="n">
        <v>0.709</v>
      </c>
      <c r="M1416" t="n">
        <v>0.142</v>
      </c>
    </row>
    <row r="1417" spans="1:13">
      <c r="A1417" s="1">
        <f>HYPERLINK("http://www.twitter.com/NathanBLawrence/status/988945507975299072", "988945507975299072")</f>
        <v/>
      </c>
      <c r="B1417" s="2" t="n">
        <v>43215.04116898148</v>
      </c>
      <c r="C1417" t="n">
        <v>0</v>
      </c>
      <c r="D1417" t="n">
        <v>58</v>
      </c>
      <c r="E1417" t="s">
        <v>1411</v>
      </c>
      <c r="F1417" t="s"/>
      <c r="G1417" t="s"/>
      <c r="H1417" t="s"/>
      <c r="I1417" t="s"/>
      <c r="J1417" t="n">
        <v>-0.4404</v>
      </c>
      <c r="K1417" t="n">
        <v>0.162</v>
      </c>
      <c r="L1417" t="n">
        <v>0.838</v>
      </c>
      <c r="M1417" t="n">
        <v>0</v>
      </c>
    </row>
    <row r="1418" spans="1:13">
      <c r="A1418" s="1">
        <f>HYPERLINK("http://www.twitter.com/NathanBLawrence/status/988941727921856512", "988941727921856512")</f>
        <v/>
      </c>
      <c r="B1418" s="2" t="n">
        <v>43215.03074074074</v>
      </c>
      <c r="C1418" t="n">
        <v>0</v>
      </c>
      <c r="D1418" t="n">
        <v>6579</v>
      </c>
      <c r="E1418" t="s">
        <v>1412</v>
      </c>
      <c r="F1418" t="s"/>
      <c r="G1418" t="s"/>
      <c r="H1418" t="s"/>
      <c r="I1418" t="s"/>
      <c r="J1418" t="n">
        <v>-0.2268</v>
      </c>
      <c r="K1418" t="n">
        <v>0.176</v>
      </c>
      <c r="L1418" t="n">
        <v>0.681</v>
      </c>
      <c r="M1418" t="n">
        <v>0.143</v>
      </c>
    </row>
    <row r="1419" spans="1:13">
      <c r="A1419" s="1">
        <f>HYPERLINK("http://www.twitter.com/NathanBLawrence/status/988941644367060992", "988941644367060992")</f>
        <v/>
      </c>
      <c r="B1419" s="2" t="n">
        <v>43215.03050925926</v>
      </c>
      <c r="C1419" t="n">
        <v>0</v>
      </c>
      <c r="D1419" t="n">
        <v>6463</v>
      </c>
      <c r="E1419" t="s">
        <v>1413</v>
      </c>
      <c r="F1419" t="s"/>
      <c r="G1419" t="s"/>
      <c r="H1419" t="s"/>
      <c r="I1419" t="s"/>
      <c r="J1419" t="n">
        <v>0.0258</v>
      </c>
      <c r="K1419" t="n">
        <v>0.099</v>
      </c>
      <c r="L1419" t="n">
        <v>0.798</v>
      </c>
      <c r="M1419" t="n">
        <v>0.103</v>
      </c>
    </row>
    <row r="1420" spans="1:13">
      <c r="A1420" s="1">
        <f>HYPERLINK("http://www.twitter.com/NathanBLawrence/status/988939039481921536", "988939039481921536")</f>
        <v/>
      </c>
      <c r="B1420" s="2" t="n">
        <v>43215.02332175926</v>
      </c>
      <c r="C1420" t="n">
        <v>0</v>
      </c>
      <c r="D1420" t="n">
        <v>8</v>
      </c>
      <c r="E1420" t="s">
        <v>1414</v>
      </c>
      <c r="F1420" t="s"/>
      <c r="G1420" t="s"/>
      <c r="H1420" t="s"/>
      <c r="I1420" t="s"/>
      <c r="J1420" t="n">
        <v>0</v>
      </c>
      <c r="K1420" t="n">
        <v>0</v>
      </c>
      <c r="L1420" t="n">
        <v>1</v>
      </c>
      <c r="M1420" t="n">
        <v>0</v>
      </c>
    </row>
    <row r="1421" spans="1:13">
      <c r="A1421" s="1">
        <f>HYPERLINK("http://www.twitter.com/NathanBLawrence/status/988917765133275136", "988917765133275136")</f>
        <v/>
      </c>
      <c r="B1421" s="2" t="n">
        <v>43214.96461805556</v>
      </c>
      <c r="C1421" t="n">
        <v>0</v>
      </c>
      <c r="D1421" t="n">
        <v>109</v>
      </c>
      <c r="E1421" t="s">
        <v>1415</v>
      </c>
      <c r="F1421" t="s"/>
      <c r="G1421" t="s"/>
      <c r="H1421" t="s"/>
      <c r="I1421" t="s"/>
      <c r="J1421" t="n">
        <v>0.5622</v>
      </c>
      <c r="K1421" t="n">
        <v>0</v>
      </c>
      <c r="L1421" t="n">
        <v>0.8149999999999999</v>
      </c>
      <c r="M1421" t="n">
        <v>0.185</v>
      </c>
    </row>
    <row r="1422" spans="1:13">
      <c r="A1422" s="1">
        <f>HYPERLINK("http://www.twitter.com/NathanBLawrence/status/988917699358183424", "988917699358183424")</f>
        <v/>
      </c>
      <c r="B1422" s="2" t="n">
        <v>43214.96443287037</v>
      </c>
      <c r="C1422" t="n">
        <v>0</v>
      </c>
      <c r="D1422" t="n">
        <v>8</v>
      </c>
      <c r="E1422" t="s">
        <v>1416</v>
      </c>
      <c r="F1422" t="s"/>
      <c r="G1422" t="s"/>
      <c r="H1422" t="s"/>
      <c r="I1422" t="s"/>
      <c r="J1422" t="n">
        <v>0</v>
      </c>
      <c r="K1422" t="n">
        <v>0</v>
      </c>
      <c r="L1422" t="n">
        <v>1</v>
      </c>
      <c r="M1422" t="n">
        <v>0</v>
      </c>
    </row>
    <row r="1423" spans="1:13">
      <c r="A1423" s="1">
        <f>HYPERLINK("http://www.twitter.com/NathanBLawrence/status/988916851014078466", "988916851014078466")</f>
        <v/>
      </c>
      <c r="B1423" s="2" t="n">
        <v>43214.96209490741</v>
      </c>
      <c r="C1423" t="n">
        <v>0</v>
      </c>
      <c r="D1423" t="n">
        <v>9</v>
      </c>
      <c r="E1423" t="s">
        <v>1417</v>
      </c>
      <c r="F1423" t="s"/>
      <c r="G1423" t="s"/>
      <c r="H1423" t="s"/>
      <c r="I1423" t="s"/>
      <c r="J1423" t="n">
        <v>-0.3182</v>
      </c>
      <c r="K1423" t="n">
        <v>0.113</v>
      </c>
      <c r="L1423" t="n">
        <v>0.887</v>
      </c>
      <c r="M1423" t="n">
        <v>0</v>
      </c>
    </row>
    <row r="1424" spans="1:13">
      <c r="A1424" s="1">
        <f>HYPERLINK("http://www.twitter.com/NathanBLawrence/status/988916756721922049", "988916756721922049")</f>
        <v/>
      </c>
      <c r="B1424" s="2" t="n">
        <v>43214.9618287037</v>
      </c>
      <c r="C1424" t="n">
        <v>0</v>
      </c>
      <c r="D1424" t="n">
        <v>13</v>
      </c>
      <c r="E1424" t="s">
        <v>1418</v>
      </c>
      <c r="F1424" t="s"/>
      <c r="G1424" t="s"/>
      <c r="H1424" t="s"/>
      <c r="I1424" t="s"/>
      <c r="J1424" t="n">
        <v>0.0258</v>
      </c>
      <c r="K1424" t="n">
        <v>0.08599999999999999</v>
      </c>
      <c r="L1424" t="n">
        <v>0.787</v>
      </c>
      <c r="M1424" t="n">
        <v>0.127</v>
      </c>
    </row>
    <row r="1425" spans="1:13">
      <c r="A1425" s="1">
        <f>HYPERLINK("http://www.twitter.com/NathanBLawrence/status/988916261638852608", "988916261638852608")</f>
        <v/>
      </c>
      <c r="B1425" s="2" t="n">
        <v>43214.96046296296</v>
      </c>
      <c r="C1425" t="n">
        <v>0</v>
      </c>
      <c r="D1425" t="n">
        <v>9</v>
      </c>
      <c r="E1425" t="s">
        <v>695</v>
      </c>
      <c r="F1425">
        <f>HYPERLINK("http://pbs.twimg.com/media/DblTZFvV0AAdE-k.jpg", "http://pbs.twimg.com/media/DblTZFvV0AAdE-k.jpg")</f>
        <v/>
      </c>
      <c r="G1425" t="s"/>
      <c r="H1425" t="s"/>
      <c r="I1425" t="s"/>
      <c r="J1425" t="n">
        <v>-0.5106000000000001</v>
      </c>
      <c r="K1425" t="n">
        <v>0.217</v>
      </c>
      <c r="L1425" t="n">
        <v>0.6860000000000001</v>
      </c>
      <c r="M1425" t="n">
        <v>0.097</v>
      </c>
    </row>
    <row r="1426" spans="1:13">
      <c r="A1426" s="1">
        <f>HYPERLINK("http://www.twitter.com/NathanBLawrence/status/988890250419359744", "988890250419359744")</f>
        <v/>
      </c>
      <c r="B1426" s="2" t="n">
        <v>43214.88869212963</v>
      </c>
      <c r="C1426" t="n">
        <v>0</v>
      </c>
      <c r="D1426" t="n">
        <v>1417</v>
      </c>
      <c r="E1426" t="s">
        <v>1419</v>
      </c>
      <c r="F1426" t="s"/>
      <c r="G1426" t="s"/>
      <c r="H1426" t="s"/>
      <c r="I1426" t="s"/>
      <c r="J1426" t="n">
        <v>0.5502</v>
      </c>
      <c r="K1426" t="n">
        <v>0</v>
      </c>
      <c r="L1426" t="n">
        <v>0.861</v>
      </c>
      <c r="M1426" t="n">
        <v>0.139</v>
      </c>
    </row>
    <row r="1427" spans="1:13">
      <c r="A1427" s="1">
        <f>HYPERLINK("http://www.twitter.com/NathanBLawrence/status/988890114775572481", "988890114775572481")</f>
        <v/>
      </c>
      <c r="B1427" s="2" t="n">
        <v>43214.88831018518</v>
      </c>
      <c r="C1427" t="n">
        <v>0</v>
      </c>
      <c r="D1427" t="n">
        <v>1502</v>
      </c>
      <c r="E1427" t="s">
        <v>1420</v>
      </c>
      <c r="F1427">
        <f>HYPERLINK("http://pbs.twimg.com/media/DbkPsg-VMAAxFY5.jpg", "http://pbs.twimg.com/media/DbkPsg-VMAAxFY5.jpg")</f>
        <v/>
      </c>
      <c r="G1427" t="s"/>
      <c r="H1427" t="s"/>
      <c r="I1427" t="s"/>
      <c r="J1427" t="n">
        <v>-0.4019</v>
      </c>
      <c r="K1427" t="n">
        <v>0.213</v>
      </c>
      <c r="L1427" t="n">
        <v>0.787</v>
      </c>
      <c r="M1427" t="n">
        <v>0</v>
      </c>
    </row>
    <row r="1428" spans="1:13">
      <c r="A1428" s="1">
        <f>HYPERLINK("http://www.twitter.com/NathanBLawrence/status/988890091023192064", "988890091023192064")</f>
        <v/>
      </c>
      <c r="B1428" s="2" t="n">
        <v>43214.88825231481</v>
      </c>
      <c r="C1428" t="n">
        <v>0</v>
      </c>
      <c r="D1428" t="n">
        <v>38</v>
      </c>
      <c r="E1428" t="s">
        <v>1421</v>
      </c>
      <c r="F1428">
        <f>HYPERLINK("http://pbs.twimg.com/media/Dbj40Y6WAAABCHb.jpg", "http://pbs.twimg.com/media/Dbj40Y6WAAABCHb.jpg")</f>
        <v/>
      </c>
      <c r="G1428" t="s"/>
      <c r="H1428" t="s"/>
      <c r="I1428" t="s"/>
      <c r="J1428" t="n">
        <v>0</v>
      </c>
      <c r="K1428" t="n">
        <v>0</v>
      </c>
      <c r="L1428" t="n">
        <v>1</v>
      </c>
      <c r="M1428" t="n">
        <v>0</v>
      </c>
    </row>
    <row r="1429" spans="1:13">
      <c r="A1429" s="1">
        <f>HYPERLINK("http://www.twitter.com/NathanBLawrence/status/988885395151769600", "988885395151769600")</f>
        <v/>
      </c>
      <c r="B1429" s="2" t="n">
        <v>43214.87528935185</v>
      </c>
      <c r="C1429" t="n">
        <v>0</v>
      </c>
      <c r="D1429" t="n">
        <v>2</v>
      </c>
      <c r="E1429" t="s">
        <v>1422</v>
      </c>
      <c r="F1429" t="s"/>
      <c r="G1429" t="s"/>
      <c r="H1429" t="s"/>
      <c r="I1429" t="s"/>
      <c r="J1429" t="n">
        <v>0.6588000000000001</v>
      </c>
      <c r="K1429" t="n">
        <v>0</v>
      </c>
      <c r="L1429" t="n">
        <v>0.577</v>
      </c>
      <c r="M1429" t="n">
        <v>0.423</v>
      </c>
    </row>
    <row r="1430" spans="1:13">
      <c r="A1430" s="1">
        <f>HYPERLINK("http://www.twitter.com/NathanBLawrence/status/988885363669291008", "988885363669291008")</f>
        <v/>
      </c>
      <c r="B1430" s="2" t="n">
        <v>43214.87519675926</v>
      </c>
      <c r="C1430" t="n">
        <v>0</v>
      </c>
      <c r="D1430" t="n">
        <v>0</v>
      </c>
      <c r="E1430" t="s">
        <v>1423</v>
      </c>
      <c r="F1430" t="s"/>
      <c r="G1430" t="s"/>
      <c r="H1430" t="s"/>
      <c r="I1430" t="s"/>
      <c r="J1430" t="n">
        <v>-0.5707</v>
      </c>
      <c r="K1430" t="n">
        <v>0.48</v>
      </c>
      <c r="L1430" t="n">
        <v>0.52</v>
      </c>
      <c r="M1430" t="n">
        <v>0</v>
      </c>
    </row>
    <row r="1431" spans="1:13">
      <c r="A1431" s="1">
        <f>HYPERLINK("http://www.twitter.com/NathanBLawrence/status/988885203677523969", "988885203677523969")</f>
        <v/>
      </c>
      <c r="B1431" s="2" t="n">
        <v>43214.87475694445</v>
      </c>
      <c r="C1431" t="n">
        <v>0</v>
      </c>
      <c r="D1431" t="n">
        <v>3</v>
      </c>
      <c r="E1431" t="s">
        <v>1424</v>
      </c>
      <c r="F1431" t="s"/>
      <c r="G1431" t="s"/>
      <c r="H1431" t="s"/>
      <c r="I1431" t="s"/>
      <c r="J1431" t="n">
        <v>-0.4767</v>
      </c>
      <c r="K1431" t="n">
        <v>0.147</v>
      </c>
      <c r="L1431" t="n">
        <v>0.853</v>
      </c>
      <c r="M1431" t="n">
        <v>0</v>
      </c>
    </row>
    <row r="1432" spans="1:13">
      <c r="A1432" s="1">
        <f>HYPERLINK("http://www.twitter.com/NathanBLawrence/status/988885136166084609", "988885136166084609")</f>
        <v/>
      </c>
      <c r="B1432" s="2" t="n">
        <v>43214.87457175926</v>
      </c>
      <c r="C1432" t="n">
        <v>2</v>
      </c>
      <c r="D1432" t="n">
        <v>0</v>
      </c>
      <c r="E1432" t="s">
        <v>1425</v>
      </c>
      <c r="F1432" t="s"/>
      <c r="G1432" t="s"/>
      <c r="H1432" t="s"/>
      <c r="I1432" t="s"/>
      <c r="J1432" t="n">
        <v>0.4215</v>
      </c>
      <c r="K1432" t="n">
        <v>0.068</v>
      </c>
      <c r="L1432" t="n">
        <v>0.776</v>
      </c>
      <c r="M1432" t="n">
        <v>0.155</v>
      </c>
    </row>
    <row r="1433" spans="1:13">
      <c r="A1433" s="1">
        <f>HYPERLINK("http://www.twitter.com/NathanBLawrence/status/988884643226234880", "988884643226234880")</f>
        <v/>
      </c>
      <c r="B1433" s="2" t="n">
        <v>43214.87321759259</v>
      </c>
      <c r="C1433" t="n">
        <v>0</v>
      </c>
      <c r="D1433" t="n">
        <v>3</v>
      </c>
      <c r="E1433" t="s">
        <v>1426</v>
      </c>
      <c r="F1433">
        <f>HYPERLINK("https://video.twimg.com/ext_tw_video/988868986921086978/pu/vid/1280x720/PHsEl8L8lyb7DGN0.mp4?tag=3", "https://video.twimg.com/ext_tw_video/988868986921086978/pu/vid/1280x720/PHsEl8L8lyb7DGN0.mp4?tag=3")</f>
        <v/>
      </c>
      <c r="G1433" t="s"/>
      <c r="H1433" t="s"/>
      <c r="I1433" t="s"/>
      <c r="J1433" t="n">
        <v>0</v>
      </c>
      <c r="K1433" t="n">
        <v>0</v>
      </c>
      <c r="L1433" t="n">
        <v>1</v>
      </c>
      <c r="M1433" t="n">
        <v>0</v>
      </c>
    </row>
    <row r="1434" spans="1:13">
      <c r="A1434" s="1">
        <f>HYPERLINK("http://www.twitter.com/NathanBLawrence/status/988884626423861248", "988884626423861248")</f>
        <v/>
      </c>
      <c r="B1434" s="2" t="n">
        <v>43214.8731712963</v>
      </c>
      <c r="C1434" t="n">
        <v>0</v>
      </c>
      <c r="D1434" t="n">
        <v>9</v>
      </c>
      <c r="E1434" t="s">
        <v>1427</v>
      </c>
      <c r="F1434" t="s"/>
      <c r="G1434" t="s"/>
      <c r="H1434" t="s"/>
      <c r="I1434" t="s"/>
      <c r="J1434" t="n">
        <v>0.128</v>
      </c>
      <c r="K1434" t="n">
        <v>0</v>
      </c>
      <c r="L1434" t="n">
        <v>0.93</v>
      </c>
      <c r="M1434" t="n">
        <v>0.07000000000000001</v>
      </c>
    </row>
    <row r="1435" spans="1:13">
      <c r="A1435" s="1">
        <f>HYPERLINK("http://www.twitter.com/NathanBLawrence/status/988884517099368449", "988884517099368449")</f>
        <v/>
      </c>
      <c r="B1435" s="2" t="n">
        <v>43214.87287037037</v>
      </c>
      <c r="C1435" t="n">
        <v>0</v>
      </c>
      <c r="D1435" t="n">
        <v>11</v>
      </c>
      <c r="E1435" t="s">
        <v>1428</v>
      </c>
      <c r="F1435">
        <f>HYPERLINK("https://video.twimg.com/ext_tw_video/988877698549370885/pu/vid/1280x720/N0sqqlxubRUW_iMU.mp4?tag=3", "https://video.twimg.com/ext_tw_video/988877698549370885/pu/vid/1280x720/N0sqqlxubRUW_iMU.mp4?tag=3")</f>
        <v/>
      </c>
      <c r="G1435" t="s"/>
      <c r="H1435" t="s"/>
      <c r="I1435" t="s"/>
      <c r="J1435" t="n">
        <v>0</v>
      </c>
      <c r="K1435" t="n">
        <v>0</v>
      </c>
      <c r="L1435" t="n">
        <v>1</v>
      </c>
      <c r="M1435" t="n">
        <v>0</v>
      </c>
    </row>
    <row r="1436" spans="1:13">
      <c r="A1436" s="1">
        <f>HYPERLINK("http://www.twitter.com/NathanBLawrence/status/988884470190272512", "988884470190272512")</f>
        <v/>
      </c>
      <c r="B1436" s="2" t="n">
        <v>43214.87273148148</v>
      </c>
      <c r="C1436" t="n">
        <v>0</v>
      </c>
      <c r="D1436" t="n">
        <v>4</v>
      </c>
      <c r="E1436" t="s">
        <v>1429</v>
      </c>
      <c r="F1436" t="s"/>
      <c r="G1436" t="s"/>
      <c r="H1436" t="s"/>
      <c r="I1436" t="s"/>
      <c r="J1436" t="n">
        <v>0.5266999999999999</v>
      </c>
      <c r="K1436" t="n">
        <v>0.068</v>
      </c>
      <c r="L1436" t="n">
        <v>0.737</v>
      </c>
      <c r="M1436" t="n">
        <v>0.195</v>
      </c>
    </row>
    <row r="1437" spans="1:13">
      <c r="A1437" s="1">
        <f>HYPERLINK("http://www.twitter.com/NathanBLawrence/status/988884457305276416", "988884457305276416")</f>
        <v/>
      </c>
      <c r="B1437" s="2" t="n">
        <v>43214.87269675926</v>
      </c>
      <c r="C1437" t="n">
        <v>0</v>
      </c>
      <c r="D1437" t="n">
        <v>7</v>
      </c>
      <c r="E1437" t="s">
        <v>1430</v>
      </c>
      <c r="F1437" t="s"/>
      <c r="G1437" t="s"/>
      <c r="H1437" t="s"/>
      <c r="I1437" t="s"/>
      <c r="J1437" t="n">
        <v>-0.1316</v>
      </c>
      <c r="K1437" t="n">
        <v>0.07000000000000001</v>
      </c>
      <c r="L1437" t="n">
        <v>0.93</v>
      </c>
      <c r="M1437" t="n">
        <v>0</v>
      </c>
    </row>
    <row r="1438" spans="1:13">
      <c r="A1438" s="1">
        <f>HYPERLINK("http://www.twitter.com/NathanBLawrence/status/988884443342561280", "988884443342561280")</f>
        <v/>
      </c>
      <c r="B1438" s="2" t="n">
        <v>43214.87266203704</v>
      </c>
      <c r="C1438" t="n">
        <v>0</v>
      </c>
      <c r="D1438" t="n">
        <v>4</v>
      </c>
      <c r="E1438" t="s">
        <v>1431</v>
      </c>
      <c r="F1438" t="s"/>
      <c r="G1438" t="s"/>
      <c r="H1438" t="s"/>
      <c r="I1438" t="s"/>
      <c r="J1438" t="n">
        <v>0.2023</v>
      </c>
      <c r="K1438" t="n">
        <v>0</v>
      </c>
      <c r="L1438" t="n">
        <v>0.899</v>
      </c>
      <c r="M1438" t="n">
        <v>0.101</v>
      </c>
    </row>
    <row r="1439" spans="1:13">
      <c r="A1439" s="1">
        <f>HYPERLINK("http://www.twitter.com/NathanBLawrence/status/988884427748139014", "988884427748139014")</f>
        <v/>
      </c>
      <c r="B1439" s="2" t="n">
        <v>43214.87261574074</v>
      </c>
      <c r="C1439" t="n">
        <v>0</v>
      </c>
      <c r="D1439" t="n">
        <v>5</v>
      </c>
      <c r="E1439" t="s">
        <v>1432</v>
      </c>
      <c r="F1439">
        <f>HYPERLINK("http://pbs.twimg.com/media/Dbk3ZB8WsAcTMzi.jpg", "http://pbs.twimg.com/media/Dbk3ZB8WsAcTMzi.jpg")</f>
        <v/>
      </c>
      <c r="G1439" t="s"/>
      <c r="H1439" t="s"/>
      <c r="I1439" t="s"/>
      <c r="J1439" t="n">
        <v>0</v>
      </c>
      <c r="K1439" t="n">
        <v>0</v>
      </c>
      <c r="L1439" t="n">
        <v>1</v>
      </c>
      <c r="M1439" t="n">
        <v>0</v>
      </c>
    </row>
    <row r="1440" spans="1:13">
      <c r="A1440" s="1">
        <f>HYPERLINK("http://www.twitter.com/NathanBLawrence/status/988884406164246528", "988884406164246528")</f>
        <v/>
      </c>
      <c r="B1440" s="2" t="n">
        <v>43214.87255787037</v>
      </c>
      <c r="C1440" t="n">
        <v>0</v>
      </c>
      <c r="D1440" t="n">
        <v>5</v>
      </c>
      <c r="E1440" t="s">
        <v>1433</v>
      </c>
      <c r="F1440" t="s"/>
      <c r="G1440" t="s"/>
      <c r="H1440" t="s"/>
      <c r="I1440" t="s"/>
      <c r="J1440" t="n">
        <v>0.2023</v>
      </c>
      <c r="K1440" t="n">
        <v>0.12</v>
      </c>
      <c r="L1440" t="n">
        <v>0.721</v>
      </c>
      <c r="M1440" t="n">
        <v>0.159</v>
      </c>
    </row>
    <row r="1441" spans="1:13">
      <c r="A1441" s="1">
        <f>HYPERLINK("http://www.twitter.com/NathanBLawrence/status/988884387029807104", "988884387029807104")</f>
        <v/>
      </c>
      <c r="B1441" s="2" t="n">
        <v>43214.87251157407</v>
      </c>
      <c r="C1441" t="n">
        <v>0</v>
      </c>
      <c r="D1441" t="n">
        <v>6</v>
      </c>
      <c r="E1441" t="s">
        <v>1434</v>
      </c>
      <c r="F1441" t="s"/>
      <c r="G1441" t="s"/>
      <c r="H1441" t="s"/>
      <c r="I1441" t="s"/>
      <c r="J1441" t="n">
        <v>0</v>
      </c>
      <c r="K1441" t="n">
        <v>0</v>
      </c>
      <c r="L1441" t="n">
        <v>1</v>
      </c>
      <c r="M1441" t="n">
        <v>0</v>
      </c>
    </row>
    <row r="1442" spans="1:13">
      <c r="A1442" s="1">
        <f>HYPERLINK("http://www.twitter.com/NathanBLawrence/status/988884273217359877", "988884273217359877")</f>
        <v/>
      </c>
      <c r="B1442" s="2" t="n">
        <v>43214.8721875</v>
      </c>
      <c r="C1442" t="n">
        <v>0</v>
      </c>
      <c r="D1442" t="n">
        <v>17</v>
      </c>
      <c r="E1442" t="s">
        <v>1435</v>
      </c>
      <c r="F1442">
        <f>HYPERLINK("http://pbs.twimg.com/media/DbkPuqCVwAAqd58.jpg", "http://pbs.twimg.com/media/DbkPuqCVwAAqd58.jpg")</f>
        <v/>
      </c>
      <c r="G1442" t="s"/>
      <c r="H1442" t="s"/>
      <c r="I1442" t="s"/>
      <c r="J1442" t="n">
        <v>0.6486</v>
      </c>
      <c r="K1442" t="n">
        <v>0</v>
      </c>
      <c r="L1442" t="n">
        <v>0.751</v>
      </c>
      <c r="M1442" t="n">
        <v>0.249</v>
      </c>
    </row>
    <row r="1443" spans="1:13">
      <c r="A1443" s="1">
        <f>HYPERLINK("http://www.twitter.com/NathanBLawrence/status/988884257547476992", "988884257547476992")</f>
        <v/>
      </c>
      <c r="B1443" s="2" t="n">
        <v>43214.87215277777</v>
      </c>
      <c r="C1443" t="n">
        <v>0</v>
      </c>
      <c r="D1443" t="n">
        <v>10</v>
      </c>
      <c r="E1443" t="s">
        <v>1436</v>
      </c>
      <c r="F1443" t="s"/>
      <c r="G1443" t="s"/>
      <c r="H1443" t="s"/>
      <c r="I1443" t="s"/>
      <c r="J1443" t="n">
        <v>0.7506</v>
      </c>
      <c r="K1443" t="n">
        <v>0</v>
      </c>
      <c r="L1443" t="n">
        <v>0.726</v>
      </c>
      <c r="M1443" t="n">
        <v>0.274</v>
      </c>
    </row>
    <row r="1444" spans="1:13">
      <c r="A1444" s="1">
        <f>HYPERLINK("http://www.twitter.com/NathanBLawrence/status/988884088101769216", "988884088101769216")</f>
        <v/>
      </c>
      <c r="B1444" s="2" t="n">
        <v>43214.87167824074</v>
      </c>
      <c r="C1444" t="n">
        <v>0</v>
      </c>
      <c r="D1444" t="n">
        <v>0</v>
      </c>
      <c r="E1444" t="s">
        <v>1437</v>
      </c>
      <c r="F1444" t="s"/>
      <c r="G1444" t="s"/>
      <c r="H1444" t="s"/>
      <c r="I1444" t="s"/>
      <c r="J1444" t="n">
        <v>0.327</v>
      </c>
      <c r="K1444" t="n">
        <v>0.066</v>
      </c>
      <c r="L1444" t="n">
        <v>0.8159999999999999</v>
      </c>
      <c r="M1444" t="n">
        <v>0.118</v>
      </c>
    </row>
    <row r="1445" spans="1:13">
      <c r="A1445" s="1">
        <f>HYPERLINK("http://www.twitter.com/NathanBLawrence/status/988881475415302144", "988881475415302144")</f>
        <v/>
      </c>
      <c r="B1445" s="2" t="n">
        <v>43214.86446759259</v>
      </c>
      <c r="C1445" t="n">
        <v>0</v>
      </c>
      <c r="D1445" t="n">
        <v>0</v>
      </c>
      <c r="E1445" t="s">
        <v>1438</v>
      </c>
      <c r="F1445" t="s"/>
      <c r="G1445" t="s"/>
      <c r="H1445" t="s"/>
      <c r="I1445" t="s"/>
      <c r="J1445" t="n">
        <v>-0.4767</v>
      </c>
      <c r="K1445" t="n">
        <v>0.383</v>
      </c>
      <c r="L1445" t="n">
        <v>0.617</v>
      </c>
      <c r="M1445" t="n">
        <v>0</v>
      </c>
    </row>
    <row r="1446" spans="1:13">
      <c r="A1446" s="1">
        <f>HYPERLINK("http://www.twitter.com/NathanBLawrence/status/988881416053194752", "988881416053194752")</f>
        <v/>
      </c>
      <c r="B1446" s="2" t="n">
        <v>43214.86430555556</v>
      </c>
      <c r="C1446" t="n">
        <v>0</v>
      </c>
      <c r="D1446" t="n">
        <v>2</v>
      </c>
      <c r="E1446" t="s">
        <v>1439</v>
      </c>
      <c r="F1446" t="s"/>
      <c r="G1446" t="s"/>
      <c r="H1446" t="s"/>
      <c r="I1446" t="s"/>
      <c r="J1446" t="n">
        <v>0</v>
      </c>
      <c r="K1446" t="n">
        <v>0</v>
      </c>
      <c r="L1446" t="n">
        <v>1</v>
      </c>
      <c r="M1446" t="n">
        <v>0</v>
      </c>
    </row>
    <row r="1447" spans="1:13">
      <c r="A1447" s="1">
        <f>HYPERLINK("http://www.twitter.com/NathanBLawrence/status/988881390707118082", "988881390707118082")</f>
        <v/>
      </c>
      <c r="B1447" s="2" t="n">
        <v>43214.86423611111</v>
      </c>
      <c r="C1447" t="n">
        <v>0</v>
      </c>
      <c r="D1447" t="n">
        <v>2</v>
      </c>
      <c r="E1447" t="s">
        <v>1440</v>
      </c>
      <c r="F1447" t="s"/>
      <c r="G1447" t="s"/>
      <c r="H1447" t="s"/>
      <c r="I1447" t="s"/>
      <c r="J1447" t="n">
        <v>-0.6908</v>
      </c>
      <c r="K1447" t="n">
        <v>0.533</v>
      </c>
      <c r="L1447" t="n">
        <v>0.467</v>
      </c>
      <c r="M1447" t="n">
        <v>0</v>
      </c>
    </row>
    <row r="1448" spans="1:13">
      <c r="A1448" s="1">
        <f>HYPERLINK("http://www.twitter.com/NathanBLawrence/status/988881364413046785", "988881364413046785")</f>
        <v/>
      </c>
      <c r="B1448" s="2" t="n">
        <v>43214.86416666667</v>
      </c>
      <c r="C1448" t="n">
        <v>0</v>
      </c>
      <c r="D1448" t="n">
        <v>11</v>
      </c>
      <c r="E1448" t="s">
        <v>1441</v>
      </c>
      <c r="F1448" t="s"/>
      <c r="G1448" t="s"/>
      <c r="H1448" t="s"/>
      <c r="I1448" t="s"/>
      <c r="J1448" t="n">
        <v>0.6588000000000001</v>
      </c>
      <c r="K1448" t="n">
        <v>0</v>
      </c>
      <c r="L1448" t="n">
        <v>0.747</v>
      </c>
      <c r="M1448" t="n">
        <v>0.253</v>
      </c>
    </row>
    <row r="1449" spans="1:13">
      <c r="A1449" s="1">
        <f>HYPERLINK("http://www.twitter.com/NathanBLawrence/status/988881337854636040", "988881337854636040")</f>
        <v/>
      </c>
      <c r="B1449" s="2" t="n">
        <v>43214.86409722222</v>
      </c>
      <c r="C1449" t="n">
        <v>0</v>
      </c>
      <c r="D1449" t="n">
        <v>0</v>
      </c>
      <c r="E1449" t="s">
        <v>1442</v>
      </c>
      <c r="F1449" t="s"/>
      <c r="G1449" t="s"/>
      <c r="H1449" t="s"/>
      <c r="I1449" t="s"/>
      <c r="J1449" t="n">
        <v>-0.5266999999999999</v>
      </c>
      <c r="K1449" t="n">
        <v>0.327</v>
      </c>
      <c r="L1449" t="n">
        <v>0.673</v>
      </c>
      <c r="M1449" t="n">
        <v>0</v>
      </c>
    </row>
    <row r="1450" spans="1:13">
      <c r="A1450" s="1">
        <f>HYPERLINK("http://www.twitter.com/NathanBLawrence/status/988881091397410816", "988881091397410816")</f>
        <v/>
      </c>
      <c r="B1450" s="2" t="n">
        <v>43214.86341435185</v>
      </c>
      <c r="C1450" t="n">
        <v>0</v>
      </c>
      <c r="D1450" t="n">
        <v>3</v>
      </c>
      <c r="E1450" t="s">
        <v>1443</v>
      </c>
      <c r="F1450">
        <f>HYPERLINK("http://pbs.twimg.com/media/Dbk2AtQXcAEFPop.jpg", "http://pbs.twimg.com/media/Dbk2AtQXcAEFPop.jpg")</f>
        <v/>
      </c>
      <c r="G1450" t="s"/>
      <c r="H1450" t="s"/>
      <c r="I1450" t="s"/>
      <c r="J1450" t="n">
        <v>0.3612</v>
      </c>
      <c r="K1450" t="n">
        <v>0</v>
      </c>
      <c r="L1450" t="n">
        <v>0.878</v>
      </c>
      <c r="M1450" t="n">
        <v>0.122</v>
      </c>
    </row>
    <row r="1451" spans="1:13">
      <c r="A1451" s="1">
        <f>HYPERLINK("http://www.twitter.com/NathanBLawrence/status/988880990834749445", "988880990834749445")</f>
        <v/>
      </c>
      <c r="B1451" s="2" t="n">
        <v>43214.86313657407</v>
      </c>
      <c r="C1451" t="n">
        <v>3</v>
      </c>
      <c r="D1451" t="n">
        <v>3</v>
      </c>
      <c r="E1451" t="s">
        <v>1444</v>
      </c>
      <c r="F1451">
        <f>HYPERLINK("http://pbs.twimg.com/media/Dbk2AtQXcAEFPop.jpg", "http://pbs.twimg.com/media/Dbk2AtQXcAEFPop.jpg")</f>
        <v/>
      </c>
      <c r="G1451" t="s"/>
      <c r="H1451" t="s"/>
      <c r="I1451" t="s"/>
      <c r="J1451" t="n">
        <v>0.3612</v>
      </c>
      <c r="K1451" t="n">
        <v>0</v>
      </c>
      <c r="L1451" t="n">
        <v>0.865</v>
      </c>
      <c r="M1451" t="n">
        <v>0.135</v>
      </c>
    </row>
    <row r="1452" spans="1:13">
      <c r="A1452" s="1">
        <f>HYPERLINK("http://www.twitter.com/NathanBLawrence/status/988875563954790400", "988875563954790400")</f>
        <v/>
      </c>
      <c r="B1452" s="2" t="n">
        <v>43214.84815972222</v>
      </c>
      <c r="C1452" t="n">
        <v>0</v>
      </c>
      <c r="D1452" t="n">
        <v>40</v>
      </c>
      <c r="E1452" t="s">
        <v>1445</v>
      </c>
      <c r="F1452">
        <f>HYPERLINK("http://pbs.twimg.com/media/DbkvezMU8AAbM9l.jpg", "http://pbs.twimg.com/media/DbkvezMU8AAbM9l.jpg")</f>
        <v/>
      </c>
      <c r="G1452">
        <f>HYPERLINK("http://pbs.twimg.com/media/DbkveOIVwAA_3HZ.jpg", "http://pbs.twimg.com/media/DbkveOIVwAA_3HZ.jpg")</f>
        <v/>
      </c>
      <c r="H1452">
        <f>HYPERLINK("http://pbs.twimg.com/media/DbkveOLV4AE_Hhi.jpg", "http://pbs.twimg.com/media/DbkveOLV4AE_Hhi.jpg")</f>
        <v/>
      </c>
      <c r="I1452" t="s"/>
      <c r="J1452" t="n">
        <v>0.8399</v>
      </c>
      <c r="K1452" t="n">
        <v>0</v>
      </c>
      <c r="L1452" t="n">
        <v>0.6919999999999999</v>
      </c>
      <c r="M1452" t="n">
        <v>0.308</v>
      </c>
    </row>
    <row r="1453" spans="1:13">
      <c r="A1453" s="1">
        <f>HYPERLINK("http://www.twitter.com/NathanBLawrence/status/988872760716943365", "988872760716943365")</f>
        <v/>
      </c>
      <c r="B1453" s="2" t="n">
        <v>43214.84042824074</v>
      </c>
      <c r="C1453" t="n">
        <v>0</v>
      </c>
      <c r="D1453" t="n">
        <v>13</v>
      </c>
      <c r="E1453" t="s">
        <v>1446</v>
      </c>
      <c r="F1453">
        <f>HYPERLINK("https://video.twimg.com/ext_tw_video/988867887837392896/pu/vid/1280x720/dUmudyaNvVHSLU8N.mp4?tag=3", "https://video.twimg.com/ext_tw_video/988867887837392896/pu/vid/1280x720/dUmudyaNvVHSLU8N.mp4?tag=3")</f>
        <v/>
      </c>
      <c r="G1453" t="s"/>
      <c r="H1453" t="s"/>
      <c r="I1453" t="s"/>
      <c r="J1453" t="n">
        <v>0.4263</v>
      </c>
      <c r="K1453" t="n">
        <v>0</v>
      </c>
      <c r="L1453" t="n">
        <v>0.871</v>
      </c>
      <c r="M1453" t="n">
        <v>0.129</v>
      </c>
    </row>
    <row r="1454" spans="1:13">
      <c r="A1454" s="1">
        <f>HYPERLINK("http://www.twitter.com/NathanBLawrence/status/988872726852063232", "988872726852063232")</f>
        <v/>
      </c>
      <c r="B1454" s="2" t="n">
        <v>43214.84033564815</v>
      </c>
      <c r="C1454" t="n">
        <v>0</v>
      </c>
      <c r="D1454" t="n">
        <v>18</v>
      </c>
      <c r="E1454" t="s">
        <v>1447</v>
      </c>
      <c r="F1454">
        <f>HYPERLINK("http://pbs.twimg.com/media/DbkoPj5U0AEjpHc.jpg", "http://pbs.twimg.com/media/DbkoPj5U0AEjpHc.jpg")</f>
        <v/>
      </c>
      <c r="G1454" t="s"/>
      <c r="H1454" t="s"/>
      <c r="I1454" t="s"/>
      <c r="J1454" t="n">
        <v>0</v>
      </c>
      <c r="K1454" t="n">
        <v>0</v>
      </c>
      <c r="L1454" t="n">
        <v>1</v>
      </c>
      <c r="M1454" t="n">
        <v>0</v>
      </c>
    </row>
    <row r="1455" spans="1:13">
      <c r="A1455" s="1">
        <f>HYPERLINK("http://www.twitter.com/NathanBLawrence/status/988836701211648000", "988836701211648000")</f>
        <v/>
      </c>
      <c r="B1455" s="2" t="n">
        <v>43214.74091435185</v>
      </c>
      <c r="C1455" t="n">
        <v>0</v>
      </c>
      <c r="D1455" t="n">
        <v>2</v>
      </c>
      <c r="E1455" t="s">
        <v>1448</v>
      </c>
      <c r="F1455" t="s"/>
      <c r="G1455" t="s"/>
      <c r="H1455" t="s"/>
      <c r="I1455" t="s"/>
      <c r="J1455" t="n">
        <v>-0.5965</v>
      </c>
      <c r="K1455" t="n">
        <v>0.234</v>
      </c>
      <c r="L1455" t="n">
        <v>0.766</v>
      </c>
      <c r="M1455" t="n">
        <v>0</v>
      </c>
    </row>
    <row r="1456" spans="1:13">
      <c r="A1456" s="1">
        <f>HYPERLINK("http://www.twitter.com/NathanBLawrence/status/988836479882399744", "988836479882399744")</f>
        <v/>
      </c>
      <c r="B1456" s="2" t="n">
        <v>43214.7403125</v>
      </c>
      <c r="C1456" t="n">
        <v>0</v>
      </c>
      <c r="D1456" t="n">
        <v>13</v>
      </c>
      <c r="E1456" t="s">
        <v>1449</v>
      </c>
      <c r="F1456">
        <f>HYPERLINK("http://pbs.twimg.com/media/DbjxxkyV0AEzlJa.jpg", "http://pbs.twimg.com/media/DbjxxkyV0AEzlJa.jpg")</f>
        <v/>
      </c>
      <c r="G1456" t="s"/>
      <c r="H1456" t="s"/>
      <c r="I1456" t="s"/>
      <c r="J1456" t="n">
        <v>0</v>
      </c>
      <c r="K1456" t="n">
        <v>0</v>
      </c>
      <c r="L1456" t="n">
        <v>1</v>
      </c>
      <c r="M1456" t="n">
        <v>0</v>
      </c>
    </row>
    <row r="1457" spans="1:13">
      <c r="A1457" s="1">
        <f>HYPERLINK("http://www.twitter.com/NathanBLawrence/status/988836462920642560", "988836462920642560")</f>
        <v/>
      </c>
      <c r="B1457" s="2" t="n">
        <v>43214.74026620371</v>
      </c>
      <c r="C1457" t="n">
        <v>0</v>
      </c>
      <c r="D1457" t="n">
        <v>8</v>
      </c>
      <c r="E1457" t="s">
        <v>1450</v>
      </c>
      <c r="F1457" t="s"/>
      <c r="G1457" t="s"/>
      <c r="H1457" t="s"/>
      <c r="I1457" t="s"/>
      <c r="J1457" t="n">
        <v>0.3182</v>
      </c>
      <c r="K1457" t="n">
        <v>0</v>
      </c>
      <c r="L1457" t="n">
        <v>0.905</v>
      </c>
      <c r="M1457" t="n">
        <v>0.095</v>
      </c>
    </row>
    <row r="1458" spans="1:13">
      <c r="A1458" s="1">
        <f>HYPERLINK("http://www.twitter.com/NathanBLawrence/status/988836415101431811", "988836415101431811")</f>
        <v/>
      </c>
      <c r="B1458" s="2" t="n">
        <v>43214.74012731481</v>
      </c>
      <c r="C1458" t="n">
        <v>0</v>
      </c>
      <c r="D1458" t="n">
        <v>21</v>
      </c>
      <c r="E1458" t="s">
        <v>1451</v>
      </c>
      <c r="F1458" t="s"/>
      <c r="G1458" t="s"/>
      <c r="H1458" t="s"/>
      <c r="I1458" t="s"/>
      <c r="J1458" t="n">
        <v>0</v>
      </c>
      <c r="K1458" t="n">
        <v>0</v>
      </c>
      <c r="L1458" t="n">
        <v>1</v>
      </c>
      <c r="M1458" t="n">
        <v>0</v>
      </c>
    </row>
    <row r="1459" spans="1:13">
      <c r="A1459" s="1">
        <f>HYPERLINK("http://www.twitter.com/NathanBLawrence/status/988836403076304899", "988836403076304899")</f>
        <v/>
      </c>
      <c r="B1459" s="2" t="n">
        <v>43214.74009259259</v>
      </c>
      <c r="C1459" t="n">
        <v>0</v>
      </c>
      <c r="D1459" t="n">
        <v>5</v>
      </c>
      <c r="E1459" t="s">
        <v>1452</v>
      </c>
      <c r="F1459" t="s"/>
      <c r="G1459" t="s"/>
      <c r="H1459" t="s"/>
      <c r="I1459" t="s"/>
      <c r="J1459" t="n">
        <v>-0.6908</v>
      </c>
      <c r="K1459" t="n">
        <v>0.227</v>
      </c>
      <c r="L1459" t="n">
        <v>0.694</v>
      </c>
      <c r="M1459" t="n">
        <v>0.079</v>
      </c>
    </row>
    <row r="1460" spans="1:13">
      <c r="A1460" s="1">
        <f>HYPERLINK("http://www.twitter.com/NathanBLawrence/status/988836376912257024", "988836376912257024")</f>
        <v/>
      </c>
      <c r="B1460" s="2" t="n">
        <v>43214.74002314815</v>
      </c>
      <c r="C1460" t="n">
        <v>0</v>
      </c>
      <c r="D1460" t="n">
        <v>3</v>
      </c>
      <c r="E1460" t="s">
        <v>1453</v>
      </c>
      <c r="F1460" t="s"/>
      <c r="G1460" t="s"/>
      <c r="H1460" t="s"/>
      <c r="I1460" t="s"/>
      <c r="J1460" t="n">
        <v>0</v>
      </c>
      <c r="K1460" t="n">
        <v>0</v>
      </c>
      <c r="L1460" t="n">
        <v>1</v>
      </c>
      <c r="M1460" t="n">
        <v>0</v>
      </c>
    </row>
    <row r="1461" spans="1:13">
      <c r="A1461" s="1">
        <f>HYPERLINK("http://www.twitter.com/NathanBLawrence/status/988836364807491586", "988836364807491586")</f>
        <v/>
      </c>
      <c r="B1461" s="2" t="n">
        <v>43214.73998842593</v>
      </c>
      <c r="C1461" t="n">
        <v>0</v>
      </c>
      <c r="D1461" t="n">
        <v>125</v>
      </c>
      <c r="E1461" t="s">
        <v>1454</v>
      </c>
      <c r="F1461" t="s"/>
      <c r="G1461" t="s"/>
      <c r="H1461" t="s"/>
      <c r="I1461" t="s"/>
      <c r="J1461" t="n">
        <v>-0.5266999999999999</v>
      </c>
      <c r="K1461" t="n">
        <v>0.173</v>
      </c>
      <c r="L1461" t="n">
        <v>0.827</v>
      </c>
      <c r="M1461" t="n">
        <v>0</v>
      </c>
    </row>
    <row r="1462" spans="1:13">
      <c r="A1462" s="1">
        <f>HYPERLINK("http://www.twitter.com/NathanBLawrence/status/988836331315974144", "988836331315974144")</f>
        <v/>
      </c>
      <c r="B1462" s="2" t="n">
        <v>43214.73989583334</v>
      </c>
      <c r="C1462" t="n">
        <v>0</v>
      </c>
      <c r="D1462" t="n">
        <v>59</v>
      </c>
      <c r="E1462" t="s">
        <v>1455</v>
      </c>
      <c r="F1462" t="s"/>
      <c r="G1462" t="s"/>
      <c r="H1462" t="s"/>
      <c r="I1462" t="s"/>
      <c r="J1462" t="n">
        <v>0.3612</v>
      </c>
      <c r="K1462" t="n">
        <v>0</v>
      </c>
      <c r="L1462" t="n">
        <v>0.872</v>
      </c>
      <c r="M1462" t="n">
        <v>0.128</v>
      </c>
    </row>
    <row r="1463" spans="1:13">
      <c r="A1463" s="1">
        <f>HYPERLINK("http://www.twitter.com/NathanBLawrence/status/988836319290908674", "988836319290908674")</f>
        <v/>
      </c>
      <c r="B1463" s="2" t="n">
        <v>43214.73986111111</v>
      </c>
      <c r="C1463" t="n">
        <v>0</v>
      </c>
      <c r="D1463" t="n">
        <v>3</v>
      </c>
      <c r="E1463" t="s">
        <v>1456</v>
      </c>
      <c r="F1463" t="s"/>
      <c r="G1463" t="s"/>
      <c r="H1463" t="s"/>
      <c r="I1463" t="s"/>
      <c r="J1463" t="n">
        <v>-0.5266999999999999</v>
      </c>
      <c r="K1463" t="n">
        <v>0.18</v>
      </c>
      <c r="L1463" t="n">
        <v>0.82</v>
      </c>
      <c r="M1463" t="n">
        <v>0</v>
      </c>
    </row>
    <row r="1464" spans="1:13">
      <c r="A1464" s="1">
        <f>HYPERLINK("http://www.twitter.com/NathanBLawrence/status/988836251938775040", "988836251938775040")</f>
        <v/>
      </c>
      <c r="B1464" s="2" t="n">
        <v>43214.73967592593</v>
      </c>
      <c r="C1464" t="n">
        <v>0</v>
      </c>
      <c r="D1464" t="n">
        <v>12</v>
      </c>
      <c r="E1464" t="s">
        <v>1394</v>
      </c>
      <c r="F1464" t="s"/>
      <c r="G1464" t="s"/>
      <c r="H1464" t="s"/>
      <c r="I1464" t="s"/>
      <c r="J1464" t="n">
        <v>0</v>
      </c>
      <c r="K1464" t="n">
        <v>0</v>
      </c>
      <c r="L1464" t="n">
        <v>1</v>
      </c>
      <c r="M1464" t="n">
        <v>0</v>
      </c>
    </row>
    <row r="1465" spans="1:13">
      <c r="A1465" s="1">
        <f>HYPERLINK("http://www.twitter.com/NathanBLawrence/status/988836235002171393", "988836235002171393")</f>
        <v/>
      </c>
      <c r="B1465" s="2" t="n">
        <v>43214.73962962963</v>
      </c>
      <c r="C1465" t="n">
        <v>0</v>
      </c>
      <c r="D1465" t="n">
        <v>13</v>
      </c>
      <c r="E1465" t="s">
        <v>1457</v>
      </c>
      <c r="F1465">
        <f>HYPERLINK("http://pbs.twimg.com/media/Dbj87ZRU8AAVxEY.jpg", "http://pbs.twimg.com/media/Dbj87ZRU8AAVxEY.jpg")</f>
        <v/>
      </c>
      <c r="G1465" t="s"/>
      <c r="H1465" t="s"/>
      <c r="I1465" t="s"/>
      <c r="J1465" t="n">
        <v>0.0772</v>
      </c>
      <c r="K1465" t="n">
        <v>0.117</v>
      </c>
      <c r="L1465" t="n">
        <v>0.751</v>
      </c>
      <c r="M1465" t="n">
        <v>0.131</v>
      </c>
    </row>
    <row r="1466" spans="1:13">
      <c r="A1466" s="1">
        <f>HYPERLINK("http://www.twitter.com/NathanBLawrence/status/988836191628943362", "988836191628943362")</f>
        <v/>
      </c>
      <c r="B1466" s="2" t="n">
        <v>43214.73951388889</v>
      </c>
      <c r="C1466" t="n">
        <v>0</v>
      </c>
      <c r="D1466" t="n">
        <v>0</v>
      </c>
      <c r="E1466" t="s">
        <v>1458</v>
      </c>
      <c r="F1466" t="s"/>
      <c r="G1466" t="s"/>
      <c r="H1466" t="s"/>
      <c r="I1466" t="s"/>
      <c r="J1466" t="n">
        <v>0.4215</v>
      </c>
      <c r="K1466" t="n">
        <v>0</v>
      </c>
      <c r="L1466" t="n">
        <v>0.517</v>
      </c>
      <c r="M1466" t="n">
        <v>0.483</v>
      </c>
    </row>
    <row r="1467" spans="1:13">
      <c r="A1467" s="1">
        <f>HYPERLINK("http://www.twitter.com/NathanBLawrence/status/988836146309459968", "988836146309459968")</f>
        <v/>
      </c>
      <c r="B1467" s="2" t="n">
        <v>43214.73938657407</v>
      </c>
      <c r="C1467" t="n">
        <v>0</v>
      </c>
      <c r="D1467" t="n">
        <v>2</v>
      </c>
      <c r="E1467" t="s">
        <v>1459</v>
      </c>
      <c r="F1467">
        <f>HYPERLINK("https://video.twimg.com/ext_tw_video/988820130447544320/pu/vid/1280x720/hUbR1rQ2I3HpaZnc.mp4?tag=3", "https://video.twimg.com/ext_tw_video/988820130447544320/pu/vid/1280x720/hUbR1rQ2I3HpaZnc.mp4?tag=3")</f>
        <v/>
      </c>
      <c r="G1467" t="s"/>
      <c r="H1467" t="s"/>
      <c r="I1467" t="s"/>
      <c r="J1467" t="n">
        <v>-0.4767</v>
      </c>
      <c r="K1467" t="n">
        <v>0.14</v>
      </c>
      <c r="L1467" t="n">
        <v>0.86</v>
      </c>
      <c r="M1467" t="n">
        <v>0</v>
      </c>
    </row>
    <row r="1468" spans="1:13">
      <c r="A1468" s="1">
        <f>HYPERLINK("http://www.twitter.com/NathanBLawrence/status/988836116332777472", "988836116332777472")</f>
        <v/>
      </c>
      <c r="B1468" s="2" t="n">
        <v>43214.73930555556</v>
      </c>
      <c r="C1468" t="n">
        <v>0</v>
      </c>
      <c r="D1468" t="n">
        <v>9</v>
      </c>
      <c r="E1468" t="s">
        <v>1460</v>
      </c>
      <c r="F1468" t="s"/>
      <c r="G1468" t="s"/>
      <c r="H1468" t="s"/>
      <c r="I1468" t="s"/>
      <c r="J1468" t="n">
        <v>0</v>
      </c>
      <c r="K1468" t="n">
        <v>0</v>
      </c>
      <c r="L1468" t="n">
        <v>1</v>
      </c>
      <c r="M1468" t="n">
        <v>0</v>
      </c>
    </row>
    <row r="1469" spans="1:13">
      <c r="A1469" s="1">
        <f>HYPERLINK("http://www.twitter.com/NathanBLawrence/status/988835491566047233", "988835491566047233")</f>
        <v/>
      </c>
      <c r="B1469" s="2" t="n">
        <v>43214.73758101852</v>
      </c>
      <c r="C1469" t="n">
        <v>0</v>
      </c>
      <c r="D1469" t="n">
        <v>14</v>
      </c>
      <c r="E1469" t="s">
        <v>1461</v>
      </c>
      <c r="F1469" t="s"/>
      <c r="G1469" t="s"/>
      <c r="H1469" t="s"/>
      <c r="I1469" t="s"/>
      <c r="J1469" t="n">
        <v>-0.2732</v>
      </c>
      <c r="K1469" t="n">
        <v>0.1</v>
      </c>
      <c r="L1469" t="n">
        <v>0.9</v>
      </c>
      <c r="M1469" t="n">
        <v>0</v>
      </c>
    </row>
    <row r="1470" spans="1:13">
      <c r="A1470" s="1">
        <f>HYPERLINK("http://www.twitter.com/NathanBLawrence/status/988835460435898373", "988835460435898373")</f>
        <v/>
      </c>
      <c r="B1470" s="2" t="n">
        <v>43214.7375</v>
      </c>
      <c r="C1470" t="n">
        <v>0</v>
      </c>
      <c r="D1470" t="n">
        <v>6</v>
      </c>
      <c r="E1470" t="s">
        <v>1462</v>
      </c>
      <c r="F1470" t="s"/>
      <c r="G1470" t="s"/>
      <c r="H1470" t="s"/>
      <c r="I1470" t="s"/>
      <c r="J1470" t="n">
        <v>0</v>
      </c>
      <c r="K1470" t="n">
        <v>0</v>
      </c>
      <c r="L1470" t="n">
        <v>1</v>
      </c>
      <c r="M1470" t="n">
        <v>0</v>
      </c>
    </row>
    <row r="1471" spans="1:13">
      <c r="A1471" s="1">
        <f>HYPERLINK("http://www.twitter.com/NathanBLawrence/status/988835421508591618", "988835421508591618")</f>
        <v/>
      </c>
      <c r="B1471" s="2" t="n">
        <v>43214.73738425926</v>
      </c>
      <c r="C1471" t="n">
        <v>0</v>
      </c>
      <c r="D1471" t="n">
        <v>2</v>
      </c>
      <c r="E1471" t="s">
        <v>1463</v>
      </c>
      <c r="F1471" t="s"/>
      <c r="G1471" t="s"/>
      <c r="H1471" t="s"/>
      <c r="I1471" t="s"/>
      <c r="J1471" t="n">
        <v>0</v>
      </c>
      <c r="K1471" t="n">
        <v>0</v>
      </c>
      <c r="L1471" t="n">
        <v>1</v>
      </c>
      <c r="M1471" t="n">
        <v>0</v>
      </c>
    </row>
    <row r="1472" spans="1:13">
      <c r="A1472" s="1">
        <f>HYPERLINK("http://www.twitter.com/NathanBLawrence/status/988835391104016384", "988835391104016384")</f>
        <v/>
      </c>
      <c r="B1472" s="2" t="n">
        <v>43214.73730324074</v>
      </c>
      <c r="C1472" t="n">
        <v>0</v>
      </c>
      <c r="D1472" t="n">
        <v>6</v>
      </c>
      <c r="E1472" t="s">
        <v>1464</v>
      </c>
      <c r="F1472" t="s"/>
      <c r="G1472" t="s"/>
      <c r="H1472" t="s"/>
      <c r="I1472" t="s"/>
      <c r="J1472" t="n">
        <v>-0.4199</v>
      </c>
      <c r="K1472" t="n">
        <v>0.192</v>
      </c>
      <c r="L1472" t="n">
        <v>0.8080000000000001</v>
      </c>
      <c r="M1472" t="n">
        <v>0</v>
      </c>
    </row>
    <row r="1473" spans="1:13">
      <c r="A1473" s="1">
        <f>HYPERLINK("http://www.twitter.com/NathanBLawrence/status/988835334963245059", "988835334963245059")</f>
        <v/>
      </c>
      <c r="B1473" s="2" t="n">
        <v>43214.73715277778</v>
      </c>
      <c r="C1473" t="n">
        <v>0</v>
      </c>
      <c r="D1473" t="n">
        <v>7</v>
      </c>
      <c r="E1473" t="s">
        <v>1465</v>
      </c>
      <c r="F1473">
        <f>HYPERLINK("http://pbs.twimg.com/media/DbkLKopVMAAJdcS.jpg", "http://pbs.twimg.com/media/DbkLKopVMAAJdcS.jpg")</f>
        <v/>
      </c>
      <c r="G1473" t="s"/>
      <c r="H1473" t="s"/>
      <c r="I1473" t="s"/>
      <c r="J1473" t="n">
        <v>0</v>
      </c>
      <c r="K1473" t="n">
        <v>0</v>
      </c>
      <c r="L1473" t="n">
        <v>1</v>
      </c>
      <c r="M1473" t="n">
        <v>0</v>
      </c>
    </row>
    <row r="1474" spans="1:13">
      <c r="A1474" s="1">
        <f>HYPERLINK("http://www.twitter.com/NathanBLawrence/status/988804452839755777", "988804452839755777")</f>
        <v/>
      </c>
      <c r="B1474" s="2" t="n">
        <v>43214.65193287037</v>
      </c>
      <c r="C1474" t="n">
        <v>0</v>
      </c>
      <c r="D1474" t="n">
        <v>4</v>
      </c>
      <c r="E1474" t="s">
        <v>1466</v>
      </c>
      <c r="F1474">
        <f>HYPERLINK("http://pbs.twimg.com/media/Dbf4ofgU8AA9Or_.jpg", "http://pbs.twimg.com/media/Dbf4ofgU8AA9Or_.jpg")</f>
        <v/>
      </c>
      <c r="G1474" t="s"/>
      <c r="H1474" t="s"/>
      <c r="I1474" t="s"/>
      <c r="J1474" t="n">
        <v>0</v>
      </c>
      <c r="K1474" t="n">
        <v>0</v>
      </c>
      <c r="L1474" t="n">
        <v>1</v>
      </c>
      <c r="M1474" t="n">
        <v>0</v>
      </c>
    </row>
    <row r="1475" spans="1:13">
      <c r="A1475" s="1">
        <f>HYPERLINK("http://www.twitter.com/NathanBLawrence/status/988804401451163650", "988804401451163650")</f>
        <v/>
      </c>
      <c r="B1475" s="2" t="n">
        <v>43214.65179398148</v>
      </c>
      <c r="C1475" t="n">
        <v>0</v>
      </c>
      <c r="D1475" t="n">
        <v>7</v>
      </c>
      <c r="E1475" t="s">
        <v>1467</v>
      </c>
      <c r="F1475" t="s"/>
      <c r="G1475" t="s"/>
      <c r="H1475" t="s"/>
      <c r="I1475" t="s"/>
      <c r="J1475" t="n">
        <v>0</v>
      </c>
      <c r="K1475" t="n">
        <v>0</v>
      </c>
      <c r="L1475" t="n">
        <v>1</v>
      </c>
      <c r="M1475" t="n">
        <v>0</v>
      </c>
    </row>
    <row r="1476" spans="1:13">
      <c r="A1476" s="1">
        <f>HYPERLINK("http://www.twitter.com/NathanBLawrence/status/988804177911599105", "988804177911599105")</f>
        <v/>
      </c>
      <c r="B1476" s="2" t="n">
        <v>43214.65116898148</v>
      </c>
      <c r="C1476" t="n">
        <v>0</v>
      </c>
      <c r="D1476" t="n">
        <v>2</v>
      </c>
      <c r="E1476" t="s">
        <v>1468</v>
      </c>
      <c r="F1476" t="s"/>
      <c r="G1476" t="s"/>
      <c r="H1476" t="s"/>
      <c r="I1476" t="s"/>
      <c r="J1476" t="n">
        <v>0.0772</v>
      </c>
      <c r="K1476" t="n">
        <v>0.101</v>
      </c>
      <c r="L1476" t="n">
        <v>0.783</v>
      </c>
      <c r="M1476" t="n">
        <v>0.115</v>
      </c>
    </row>
    <row r="1477" spans="1:13">
      <c r="A1477" s="1">
        <f>HYPERLINK("http://www.twitter.com/NathanBLawrence/status/988804151625822213", "988804151625822213")</f>
        <v/>
      </c>
      <c r="B1477" s="2" t="n">
        <v>43214.65109953703</v>
      </c>
      <c r="C1477" t="n">
        <v>0</v>
      </c>
      <c r="D1477" t="n">
        <v>16</v>
      </c>
      <c r="E1477" t="s">
        <v>1469</v>
      </c>
      <c r="F1477" t="s"/>
      <c r="G1477" t="s"/>
      <c r="H1477" t="s"/>
      <c r="I1477" t="s"/>
      <c r="J1477" t="n">
        <v>-0.3182</v>
      </c>
      <c r="K1477" t="n">
        <v>0.113</v>
      </c>
      <c r="L1477" t="n">
        <v>0.887</v>
      </c>
      <c r="M1477" t="n">
        <v>0</v>
      </c>
    </row>
    <row r="1478" spans="1:13">
      <c r="A1478" s="1">
        <f>HYPERLINK("http://www.twitter.com/NathanBLawrence/status/988804002623213569", "988804002623213569")</f>
        <v/>
      </c>
      <c r="B1478" s="2" t="n">
        <v>43214.65068287037</v>
      </c>
      <c r="C1478" t="n">
        <v>1</v>
      </c>
      <c r="D1478" t="n">
        <v>0</v>
      </c>
      <c r="E1478" t="s">
        <v>1470</v>
      </c>
      <c r="F1478" t="s"/>
      <c r="G1478" t="s"/>
      <c r="H1478" t="s"/>
      <c r="I1478" t="s"/>
      <c r="J1478" t="n">
        <v>-0.6124000000000001</v>
      </c>
      <c r="K1478" t="n">
        <v>0.556</v>
      </c>
      <c r="L1478" t="n">
        <v>0.444</v>
      </c>
      <c r="M1478" t="n">
        <v>0</v>
      </c>
    </row>
    <row r="1479" spans="1:13">
      <c r="A1479" s="1">
        <f>HYPERLINK("http://www.twitter.com/NathanBLawrence/status/988803880229265408", "988803880229265408")</f>
        <v/>
      </c>
      <c r="B1479" s="2" t="n">
        <v>43214.65034722222</v>
      </c>
      <c r="C1479" t="n">
        <v>0</v>
      </c>
      <c r="D1479" t="n">
        <v>8</v>
      </c>
      <c r="E1479" t="s">
        <v>1471</v>
      </c>
      <c r="F1479" t="s"/>
      <c r="G1479" t="s"/>
      <c r="H1479" t="s"/>
      <c r="I1479" t="s"/>
      <c r="J1479" t="n">
        <v>-0.2263</v>
      </c>
      <c r="K1479" t="n">
        <v>0.08699999999999999</v>
      </c>
      <c r="L1479" t="n">
        <v>0.913</v>
      </c>
      <c r="M1479" t="n">
        <v>0</v>
      </c>
    </row>
    <row r="1480" spans="1:13">
      <c r="A1480" s="1">
        <f>HYPERLINK("http://www.twitter.com/NathanBLawrence/status/988803844535652353", "988803844535652353")</f>
        <v/>
      </c>
      <c r="B1480" s="2" t="n">
        <v>43214.65025462963</v>
      </c>
      <c r="C1480" t="n">
        <v>0</v>
      </c>
      <c r="D1480" t="n">
        <v>6</v>
      </c>
      <c r="E1480" t="s">
        <v>1472</v>
      </c>
      <c r="F1480" t="s"/>
      <c r="G1480" t="s"/>
      <c r="H1480" t="s"/>
      <c r="I1480" t="s"/>
      <c r="J1480" t="n">
        <v>0</v>
      </c>
      <c r="K1480" t="n">
        <v>0</v>
      </c>
      <c r="L1480" t="n">
        <v>1</v>
      </c>
      <c r="M1480" t="n">
        <v>0</v>
      </c>
    </row>
    <row r="1481" spans="1:13">
      <c r="A1481" s="1">
        <f>HYPERLINK("http://www.twitter.com/NathanBLawrence/status/988803768044150785", "988803768044150785")</f>
        <v/>
      </c>
      <c r="B1481" s="2" t="n">
        <v>43214.65004629629</v>
      </c>
      <c r="C1481" t="n">
        <v>0</v>
      </c>
      <c r="D1481" t="n">
        <v>7</v>
      </c>
      <c r="E1481" t="s">
        <v>1473</v>
      </c>
      <c r="F1481" t="s"/>
      <c r="G1481" t="s"/>
      <c r="H1481" t="s"/>
      <c r="I1481" t="s"/>
      <c r="J1481" t="n">
        <v>0</v>
      </c>
      <c r="K1481" t="n">
        <v>0</v>
      </c>
      <c r="L1481" t="n">
        <v>1</v>
      </c>
      <c r="M1481" t="n">
        <v>0</v>
      </c>
    </row>
    <row r="1482" spans="1:13">
      <c r="A1482" s="1">
        <f>HYPERLINK("http://www.twitter.com/NathanBLawrence/status/988803740525322241", "988803740525322241")</f>
        <v/>
      </c>
      <c r="B1482" s="2" t="n">
        <v>43214.64996527778</v>
      </c>
      <c r="C1482" t="n">
        <v>0</v>
      </c>
      <c r="D1482" t="n">
        <v>13</v>
      </c>
      <c r="E1482" t="s">
        <v>1474</v>
      </c>
      <c r="F1482" t="s"/>
      <c r="G1482" t="s"/>
      <c r="H1482" t="s"/>
      <c r="I1482" t="s"/>
      <c r="J1482" t="n">
        <v>-0.4215</v>
      </c>
      <c r="K1482" t="n">
        <v>0.128</v>
      </c>
      <c r="L1482" t="n">
        <v>0.872</v>
      </c>
      <c r="M1482" t="n">
        <v>0</v>
      </c>
    </row>
    <row r="1483" spans="1:13">
      <c r="A1483" s="1">
        <f>HYPERLINK("http://www.twitter.com/NathanBLawrence/status/988803713040044032", "988803713040044032")</f>
        <v/>
      </c>
      <c r="B1483" s="2" t="n">
        <v>43214.64988425926</v>
      </c>
      <c r="C1483" t="n">
        <v>0</v>
      </c>
      <c r="D1483" t="n">
        <v>8</v>
      </c>
      <c r="E1483" t="s">
        <v>1475</v>
      </c>
      <c r="F1483" t="s"/>
      <c r="G1483" t="s"/>
      <c r="H1483" t="s"/>
      <c r="I1483" t="s"/>
      <c r="J1483" t="n">
        <v>0</v>
      </c>
      <c r="K1483" t="n">
        <v>0</v>
      </c>
      <c r="L1483" t="n">
        <v>1</v>
      </c>
      <c r="M1483" t="n">
        <v>0</v>
      </c>
    </row>
    <row r="1484" spans="1:13">
      <c r="A1484" s="1">
        <f>HYPERLINK("http://www.twitter.com/NathanBLawrence/status/988803691053506562", "988803691053506562")</f>
        <v/>
      </c>
      <c r="B1484" s="2" t="n">
        <v>43214.64982638889</v>
      </c>
      <c r="C1484" t="n">
        <v>0</v>
      </c>
      <c r="D1484" t="n">
        <v>7</v>
      </c>
      <c r="E1484" t="s">
        <v>1476</v>
      </c>
      <c r="F1484" t="s"/>
      <c r="G1484" t="s"/>
      <c r="H1484" t="s"/>
      <c r="I1484" t="s"/>
      <c r="J1484" t="n">
        <v>-0.1027</v>
      </c>
      <c r="K1484" t="n">
        <v>0.107</v>
      </c>
      <c r="L1484" t="n">
        <v>0.802</v>
      </c>
      <c r="M1484" t="n">
        <v>0.092</v>
      </c>
    </row>
    <row r="1485" spans="1:13">
      <c r="A1485" s="1">
        <f>HYPERLINK("http://www.twitter.com/NathanBLawrence/status/988803660602847234", "988803660602847234")</f>
        <v/>
      </c>
      <c r="B1485" s="2" t="n">
        <v>43214.64974537037</v>
      </c>
      <c r="C1485" t="n">
        <v>0</v>
      </c>
      <c r="D1485" t="n">
        <v>10</v>
      </c>
      <c r="E1485" t="s">
        <v>1477</v>
      </c>
      <c r="F1485" t="s"/>
      <c r="G1485" t="s"/>
      <c r="H1485" t="s"/>
      <c r="I1485" t="s"/>
      <c r="J1485" t="n">
        <v>0.2732</v>
      </c>
      <c r="K1485" t="n">
        <v>0</v>
      </c>
      <c r="L1485" t="n">
        <v>0.866</v>
      </c>
      <c r="M1485" t="n">
        <v>0.134</v>
      </c>
    </row>
    <row r="1486" spans="1:13">
      <c r="A1486" s="1">
        <f>HYPERLINK("http://www.twitter.com/NathanBLawrence/status/988803626184400897", "988803626184400897")</f>
        <v/>
      </c>
      <c r="B1486" s="2" t="n">
        <v>43214.64965277778</v>
      </c>
      <c r="C1486" t="n">
        <v>0</v>
      </c>
      <c r="D1486" t="n">
        <v>14</v>
      </c>
      <c r="E1486" t="s">
        <v>1478</v>
      </c>
      <c r="F1486" t="s"/>
      <c r="G1486" t="s"/>
      <c r="H1486" t="s"/>
      <c r="I1486" t="s"/>
      <c r="J1486" t="n">
        <v>0</v>
      </c>
      <c r="K1486" t="n">
        <v>0</v>
      </c>
      <c r="L1486" t="n">
        <v>1</v>
      </c>
      <c r="M1486" t="n">
        <v>0</v>
      </c>
    </row>
    <row r="1487" spans="1:13">
      <c r="A1487" s="1">
        <f>HYPERLINK("http://www.twitter.com/NathanBLawrence/status/988803588938960897", "988803588938960897")</f>
        <v/>
      </c>
      <c r="B1487" s="2" t="n">
        <v>43214.64954861111</v>
      </c>
      <c r="C1487" t="n">
        <v>0</v>
      </c>
      <c r="D1487" t="n">
        <v>10</v>
      </c>
      <c r="E1487" t="s">
        <v>1479</v>
      </c>
      <c r="F1487" t="s"/>
      <c r="G1487" t="s"/>
      <c r="H1487" t="s"/>
      <c r="I1487" t="s"/>
      <c r="J1487" t="n">
        <v>0</v>
      </c>
      <c r="K1487" t="n">
        <v>0</v>
      </c>
      <c r="L1487" t="n">
        <v>1</v>
      </c>
      <c r="M1487" t="n">
        <v>0</v>
      </c>
    </row>
    <row r="1488" spans="1:13">
      <c r="A1488" s="1">
        <f>HYPERLINK("http://www.twitter.com/NathanBLawrence/status/988803554839154688", "988803554839154688")</f>
        <v/>
      </c>
      <c r="B1488" s="2" t="n">
        <v>43214.64945601852</v>
      </c>
      <c r="C1488" t="n">
        <v>0</v>
      </c>
      <c r="D1488" t="n">
        <v>11</v>
      </c>
      <c r="E1488" t="s">
        <v>1480</v>
      </c>
      <c r="F1488">
        <f>HYPERLINK("http://pbs.twimg.com/media/DbdzlBhUQAAX0Gz.jpg", "http://pbs.twimg.com/media/DbdzlBhUQAAX0Gz.jpg")</f>
        <v/>
      </c>
      <c r="G1488" t="s"/>
      <c r="H1488" t="s"/>
      <c r="I1488" t="s"/>
      <c r="J1488" t="n">
        <v>0.25</v>
      </c>
      <c r="K1488" t="n">
        <v>0.08699999999999999</v>
      </c>
      <c r="L1488" t="n">
        <v>0.748</v>
      </c>
      <c r="M1488" t="n">
        <v>0.165</v>
      </c>
    </row>
    <row r="1489" spans="1:13">
      <c r="A1489" s="1">
        <f>HYPERLINK("http://www.twitter.com/NathanBLawrence/status/988803483653541890", "988803483653541890")</f>
        <v/>
      </c>
      <c r="B1489" s="2" t="n">
        <v>43214.64925925926</v>
      </c>
      <c r="C1489" t="n">
        <v>0</v>
      </c>
      <c r="D1489" t="n">
        <v>7</v>
      </c>
      <c r="E1489" t="s">
        <v>1481</v>
      </c>
      <c r="F1489" t="s"/>
      <c r="G1489" t="s"/>
      <c r="H1489" t="s"/>
      <c r="I1489" t="s"/>
      <c r="J1489" t="n">
        <v>0</v>
      </c>
      <c r="K1489" t="n">
        <v>0</v>
      </c>
      <c r="L1489" t="n">
        <v>1</v>
      </c>
      <c r="M1489" t="n">
        <v>0</v>
      </c>
    </row>
    <row r="1490" spans="1:13">
      <c r="A1490" s="1">
        <f>HYPERLINK("http://www.twitter.com/NathanBLawrence/status/988803454347997184", "988803454347997184")</f>
        <v/>
      </c>
      <c r="B1490" s="2" t="n">
        <v>43214.64917824074</v>
      </c>
      <c r="C1490" t="n">
        <v>0</v>
      </c>
      <c r="D1490" t="n">
        <v>6</v>
      </c>
      <c r="E1490" t="s">
        <v>1482</v>
      </c>
      <c r="F1490">
        <f>HYPERLINK("http://pbs.twimg.com/media/DbjcaB0U8AAAUlX.jpg", "http://pbs.twimg.com/media/DbjcaB0U8AAAUlX.jpg")</f>
        <v/>
      </c>
      <c r="G1490" t="s"/>
      <c r="H1490" t="s"/>
      <c r="I1490" t="s"/>
      <c r="J1490" t="n">
        <v>0</v>
      </c>
      <c r="K1490" t="n">
        <v>0</v>
      </c>
      <c r="L1490" t="n">
        <v>1</v>
      </c>
      <c r="M1490" t="n">
        <v>0</v>
      </c>
    </row>
    <row r="1491" spans="1:13">
      <c r="A1491" s="1">
        <f>HYPERLINK("http://www.twitter.com/NathanBLawrence/status/988803417312256006", "988803417312256006")</f>
        <v/>
      </c>
      <c r="B1491" s="2" t="n">
        <v>43214.64907407408</v>
      </c>
      <c r="C1491" t="n">
        <v>0</v>
      </c>
      <c r="D1491" t="n">
        <v>7</v>
      </c>
      <c r="E1491" t="s">
        <v>1483</v>
      </c>
      <c r="F1491" t="s"/>
      <c r="G1491" t="s"/>
      <c r="H1491" t="s"/>
      <c r="I1491" t="s"/>
      <c r="J1491" t="n">
        <v>0</v>
      </c>
      <c r="K1491" t="n">
        <v>0</v>
      </c>
      <c r="L1491" t="n">
        <v>1</v>
      </c>
      <c r="M1491" t="n">
        <v>0</v>
      </c>
    </row>
    <row r="1492" spans="1:13">
      <c r="A1492" s="1">
        <f>HYPERLINK("http://www.twitter.com/NathanBLawrence/status/988803368301858816", "988803368301858816")</f>
        <v/>
      </c>
      <c r="B1492" s="2" t="n">
        <v>43214.64893518519</v>
      </c>
      <c r="C1492" t="n">
        <v>0</v>
      </c>
      <c r="D1492" t="n">
        <v>38</v>
      </c>
      <c r="E1492" t="s">
        <v>1484</v>
      </c>
      <c r="F1492" t="s"/>
      <c r="G1492" t="s"/>
      <c r="H1492" t="s"/>
      <c r="I1492" t="s"/>
      <c r="J1492" t="n">
        <v>-0.3612</v>
      </c>
      <c r="K1492" t="n">
        <v>0.111</v>
      </c>
      <c r="L1492" t="n">
        <v>0.889</v>
      </c>
      <c r="M1492" t="n">
        <v>0</v>
      </c>
    </row>
    <row r="1493" spans="1:13">
      <c r="A1493" s="1">
        <f>HYPERLINK("http://www.twitter.com/NathanBLawrence/status/988803318771220480", "988803318771220480")</f>
        <v/>
      </c>
      <c r="B1493" s="2" t="n">
        <v>43214.64879629629</v>
      </c>
      <c r="C1493" t="n">
        <v>0</v>
      </c>
      <c r="D1493" t="n">
        <v>8</v>
      </c>
      <c r="E1493" t="s">
        <v>1485</v>
      </c>
      <c r="F1493" t="s"/>
      <c r="G1493" t="s"/>
      <c r="H1493" t="s"/>
      <c r="I1493" t="s"/>
      <c r="J1493" t="n">
        <v>0.4404</v>
      </c>
      <c r="K1493" t="n">
        <v>0</v>
      </c>
      <c r="L1493" t="n">
        <v>0.868</v>
      </c>
      <c r="M1493" t="n">
        <v>0.132</v>
      </c>
    </row>
    <row r="1494" spans="1:13">
      <c r="A1494" s="1">
        <f>HYPERLINK("http://www.twitter.com/NathanBLawrence/status/988803266908745729", "988803266908745729")</f>
        <v/>
      </c>
      <c r="B1494" s="2" t="n">
        <v>43214.64865740741</v>
      </c>
      <c r="C1494" t="n">
        <v>0</v>
      </c>
      <c r="D1494" t="n">
        <v>6</v>
      </c>
      <c r="E1494" t="s">
        <v>1486</v>
      </c>
      <c r="F1494" t="s"/>
      <c r="G1494" t="s"/>
      <c r="H1494" t="s"/>
      <c r="I1494" t="s"/>
      <c r="J1494" t="n">
        <v>0</v>
      </c>
      <c r="K1494" t="n">
        <v>0</v>
      </c>
      <c r="L1494" t="n">
        <v>1</v>
      </c>
      <c r="M1494" t="n">
        <v>0</v>
      </c>
    </row>
    <row r="1495" spans="1:13">
      <c r="A1495" s="1">
        <f>HYPERLINK("http://www.twitter.com/NathanBLawrence/status/988803244238491648", "988803244238491648")</f>
        <v/>
      </c>
      <c r="B1495" s="2" t="n">
        <v>43214.64859953704</v>
      </c>
      <c r="C1495" t="n">
        <v>0</v>
      </c>
      <c r="D1495" t="n">
        <v>11</v>
      </c>
      <c r="E1495" t="s">
        <v>1382</v>
      </c>
      <c r="F1495">
        <f>HYPERLINK("http://pbs.twimg.com/media/DbjorioX4AAGSEg.jpg", "http://pbs.twimg.com/media/DbjorioX4AAGSEg.jpg")</f>
        <v/>
      </c>
      <c r="G1495" t="s"/>
      <c r="H1495" t="s"/>
      <c r="I1495" t="s"/>
      <c r="J1495" t="n">
        <v>0.4404</v>
      </c>
      <c r="K1495" t="n">
        <v>0</v>
      </c>
      <c r="L1495" t="n">
        <v>0.8179999999999999</v>
      </c>
      <c r="M1495" t="n">
        <v>0.182</v>
      </c>
    </row>
    <row r="1496" spans="1:13">
      <c r="A1496" s="1">
        <f>HYPERLINK("http://www.twitter.com/NathanBLawrence/status/988803229701038080", "988803229701038080")</f>
        <v/>
      </c>
      <c r="B1496" s="2" t="n">
        <v>43214.64855324074</v>
      </c>
      <c r="C1496" t="n">
        <v>0</v>
      </c>
      <c r="D1496" t="n">
        <v>13</v>
      </c>
      <c r="E1496" t="s">
        <v>1487</v>
      </c>
      <c r="F1496" t="s"/>
      <c r="G1496" t="s"/>
      <c r="H1496" t="s"/>
      <c r="I1496" t="s"/>
      <c r="J1496" t="n">
        <v>0.5859</v>
      </c>
      <c r="K1496" t="n">
        <v>0</v>
      </c>
      <c r="L1496" t="n">
        <v>0.833</v>
      </c>
      <c r="M1496" t="n">
        <v>0.167</v>
      </c>
    </row>
    <row r="1497" spans="1:13">
      <c r="A1497" s="1">
        <f>HYPERLINK("http://www.twitter.com/NathanBLawrence/status/988803217638207491", "988803217638207491")</f>
        <v/>
      </c>
      <c r="B1497" s="2" t="n">
        <v>43214.64851851852</v>
      </c>
      <c r="C1497" t="n">
        <v>0</v>
      </c>
      <c r="D1497" t="n">
        <v>11</v>
      </c>
      <c r="E1497" t="s">
        <v>1488</v>
      </c>
      <c r="F1497">
        <f>HYPERLINK("http://pbs.twimg.com/media/DbjTbPEUQAExp25.jpg", "http://pbs.twimg.com/media/DbjTbPEUQAExp25.jpg")</f>
        <v/>
      </c>
      <c r="G1497">
        <f>HYPERLINK("http://pbs.twimg.com/media/DbjTbO8U8AEQhWv.jpg", "http://pbs.twimg.com/media/DbjTbO8U8AEQhWv.jpg")</f>
        <v/>
      </c>
      <c r="H1497" t="s"/>
      <c r="I1497" t="s"/>
      <c r="J1497" t="n">
        <v>0.5709</v>
      </c>
      <c r="K1497" t="n">
        <v>0</v>
      </c>
      <c r="L1497" t="n">
        <v>0.831</v>
      </c>
      <c r="M1497" t="n">
        <v>0.169</v>
      </c>
    </row>
    <row r="1498" spans="1:13">
      <c r="A1498" s="1">
        <f>HYPERLINK("http://www.twitter.com/NathanBLawrence/status/988803184176091136", "988803184176091136")</f>
        <v/>
      </c>
      <c r="B1498" s="2" t="n">
        <v>43214.64842592592</v>
      </c>
      <c r="C1498" t="n">
        <v>0</v>
      </c>
      <c r="D1498" t="n">
        <v>102</v>
      </c>
      <c r="E1498" t="s">
        <v>1489</v>
      </c>
      <c r="F1498" t="s"/>
      <c r="G1498" t="s"/>
      <c r="H1498" t="s"/>
      <c r="I1498" t="s"/>
      <c r="J1498" t="n">
        <v>-0.25</v>
      </c>
      <c r="K1498" t="n">
        <v>0.1</v>
      </c>
      <c r="L1498" t="n">
        <v>0.84</v>
      </c>
      <c r="M1498" t="n">
        <v>0.06</v>
      </c>
    </row>
    <row r="1499" spans="1:13">
      <c r="A1499" s="1">
        <f>HYPERLINK("http://www.twitter.com/NathanBLawrence/status/988803153859670021", "988803153859670021")</f>
        <v/>
      </c>
      <c r="B1499" s="2" t="n">
        <v>43214.64834490741</v>
      </c>
      <c r="C1499" t="n">
        <v>0</v>
      </c>
      <c r="D1499" t="n">
        <v>78</v>
      </c>
      <c r="E1499" t="s">
        <v>1490</v>
      </c>
      <c r="F1499" t="s"/>
      <c r="G1499" t="s"/>
      <c r="H1499" t="s"/>
      <c r="I1499" t="s"/>
      <c r="J1499" t="n">
        <v>0.3612</v>
      </c>
      <c r="K1499" t="n">
        <v>0</v>
      </c>
      <c r="L1499" t="n">
        <v>0.898</v>
      </c>
      <c r="M1499" t="n">
        <v>0.102</v>
      </c>
    </row>
    <row r="1500" spans="1:13">
      <c r="A1500" s="1">
        <f>HYPERLINK("http://www.twitter.com/NathanBLawrence/status/988803137426292736", "988803137426292736")</f>
        <v/>
      </c>
      <c r="B1500" s="2" t="n">
        <v>43214.64829861111</v>
      </c>
      <c r="C1500" t="n">
        <v>0</v>
      </c>
      <c r="D1500" t="n">
        <v>24</v>
      </c>
      <c r="E1500" t="s">
        <v>1491</v>
      </c>
      <c r="F1500" t="s"/>
      <c r="G1500" t="s"/>
      <c r="H1500" t="s"/>
      <c r="I1500" t="s"/>
      <c r="J1500" t="n">
        <v>0</v>
      </c>
      <c r="K1500" t="n">
        <v>0</v>
      </c>
      <c r="L1500" t="n">
        <v>1</v>
      </c>
      <c r="M1500" t="n">
        <v>0</v>
      </c>
    </row>
    <row r="1501" spans="1:13">
      <c r="A1501" s="1">
        <f>HYPERLINK("http://www.twitter.com/NathanBLawrence/status/988803121781624833", "988803121781624833")</f>
        <v/>
      </c>
      <c r="B1501" s="2" t="n">
        <v>43214.64825231482</v>
      </c>
      <c r="C1501" t="n">
        <v>0</v>
      </c>
      <c r="D1501" t="n">
        <v>14</v>
      </c>
      <c r="E1501" t="s">
        <v>1492</v>
      </c>
      <c r="F1501">
        <f>HYPERLINK("http://pbs.twimg.com/media/DbjSvMRVQAEvz_u.jpg", "http://pbs.twimg.com/media/DbjSvMRVQAEvz_u.jpg")</f>
        <v/>
      </c>
      <c r="G1501" t="s"/>
      <c r="H1501" t="s"/>
      <c r="I1501" t="s"/>
      <c r="J1501" t="n">
        <v>0.6369</v>
      </c>
      <c r="K1501" t="n">
        <v>0.089</v>
      </c>
      <c r="L1501" t="n">
        <v>0.674</v>
      </c>
      <c r="M1501" t="n">
        <v>0.238</v>
      </c>
    </row>
    <row r="1502" spans="1:13">
      <c r="A1502" s="1">
        <f>HYPERLINK("http://www.twitter.com/NathanBLawrence/status/988636924771487744", "988636924771487744")</f>
        <v/>
      </c>
      <c r="B1502" s="2" t="n">
        <v>43214.1896412037</v>
      </c>
      <c r="C1502" t="n">
        <v>0</v>
      </c>
      <c r="D1502" t="n">
        <v>7</v>
      </c>
      <c r="E1502" t="s">
        <v>1493</v>
      </c>
      <c r="F1502" t="s"/>
      <c r="G1502" t="s"/>
      <c r="H1502" t="s"/>
      <c r="I1502" t="s"/>
      <c r="J1502" t="n">
        <v>0</v>
      </c>
      <c r="K1502" t="n">
        <v>0</v>
      </c>
      <c r="L1502" t="n">
        <v>1</v>
      </c>
      <c r="M1502" t="n">
        <v>0</v>
      </c>
    </row>
    <row r="1503" spans="1:13">
      <c r="A1503" s="1">
        <f>HYPERLINK("http://www.twitter.com/NathanBLawrence/status/988615860662218752", "988615860662218752")</f>
        <v/>
      </c>
      <c r="B1503" s="2" t="n">
        <v>43214.13151620371</v>
      </c>
      <c r="C1503" t="n">
        <v>0</v>
      </c>
      <c r="D1503" t="n">
        <v>8</v>
      </c>
      <c r="E1503" t="s">
        <v>1494</v>
      </c>
      <c r="F1503" t="s"/>
      <c r="G1503" t="s"/>
      <c r="H1503" t="s"/>
      <c r="I1503" t="s"/>
      <c r="J1503" t="n">
        <v>0</v>
      </c>
      <c r="K1503" t="n">
        <v>0</v>
      </c>
      <c r="L1503" t="n">
        <v>1</v>
      </c>
      <c r="M1503" t="n">
        <v>0</v>
      </c>
    </row>
    <row r="1504" spans="1:13">
      <c r="A1504" s="1">
        <f>HYPERLINK("http://www.twitter.com/NathanBLawrence/status/988615847873740803", "988615847873740803")</f>
        <v/>
      </c>
      <c r="B1504" s="2" t="n">
        <v>43214.13148148148</v>
      </c>
      <c r="C1504" t="n">
        <v>0</v>
      </c>
      <c r="D1504" t="n">
        <v>8</v>
      </c>
      <c r="E1504" t="s">
        <v>1495</v>
      </c>
      <c r="F1504" t="s"/>
      <c r="G1504" t="s"/>
      <c r="H1504" t="s"/>
      <c r="I1504" t="s"/>
      <c r="J1504" t="n">
        <v>0</v>
      </c>
      <c r="K1504" t="n">
        <v>0</v>
      </c>
      <c r="L1504" t="n">
        <v>1</v>
      </c>
      <c r="M1504" t="n">
        <v>0</v>
      </c>
    </row>
    <row r="1505" spans="1:13">
      <c r="A1505" s="1">
        <f>HYPERLINK("http://www.twitter.com/NathanBLawrence/status/988615821399412736", "988615821399412736")</f>
        <v/>
      </c>
      <c r="B1505" s="2" t="n">
        <v>43214.13141203704</v>
      </c>
      <c r="C1505" t="n">
        <v>0</v>
      </c>
      <c r="D1505" t="n">
        <v>14</v>
      </c>
      <c r="E1505" t="s">
        <v>1496</v>
      </c>
      <c r="F1505" t="s"/>
      <c r="G1505" t="s"/>
      <c r="H1505" t="s"/>
      <c r="I1505" t="s"/>
      <c r="J1505" t="n">
        <v>0</v>
      </c>
      <c r="K1505" t="n">
        <v>0</v>
      </c>
      <c r="L1505" t="n">
        <v>1</v>
      </c>
      <c r="M1505" t="n">
        <v>0</v>
      </c>
    </row>
    <row r="1506" spans="1:13">
      <c r="A1506" s="1">
        <f>HYPERLINK("http://www.twitter.com/NathanBLawrence/status/988615750352097281", "988615750352097281")</f>
        <v/>
      </c>
      <c r="B1506" s="2" t="n">
        <v>43214.13121527778</v>
      </c>
      <c r="C1506" t="n">
        <v>0</v>
      </c>
      <c r="D1506" t="n">
        <v>12</v>
      </c>
      <c r="E1506" t="s">
        <v>1497</v>
      </c>
      <c r="F1506">
        <f>HYPERLINK("http://pbs.twimg.com/media/Dbf0oyfU8AA4Tbe.jpg", "http://pbs.twimg.com/media/Dbf0oyfU8AA4Tbe.jpg")</f>
        <v/>
      </c>
      <c r="G1506" t="s"/>
      <c r="H1506" t="s"/>
      <c r="I1506" t="s"/>
      <c r="J1506" t="n">
        <v>0</v>
      </c>
      <c r="K1506" t="n">
        <v>0</v>
      </c>
      <c r="L1506" t="n">
        <v>1</v>
      </c>
      <c r="M1506" t="n">
        <v>0</v>
      </c>
    </row>
    <row r="1507" spans="1:13">
      <c r="A1507" s="1">
        <f>HYPERLINK("http://www.twitter.com/NathanBLawrence/status/988615729875505156", "988615729875505156")</f>
        <v/>
      </c>
      <c r="B1507" s="2" t="n">
        <v>43214.13115740741</v>
      </c>
      <c r="C1507" t="n">
        <v>0</v>
      </c>
      <c r="D1507" t="n">
        <v>57</v>
      </c>
      <c r="E1507" t="s">
        <v>1498</v>
      </c>
      <c r="F1507" t="s"/>
      <c r="G1507" t="s"/>
      <c r="H1507" t="s"/>
      <c r="I1507" t="s"/>
      <c r="J1507" t="n">
        <v>-0.5859</v>
      </c>
      <c r="K1507" t="n">
        <v>0.194</v>
      </c>
      <c r="L1507" t="n">
        <v>0.806</v>
      </c>
      <c r="M1507" t="n">
        <v>0</v>
      </c>
    </row>
    <row r="1508" spans="1:13">
      <c r="A1508" s="1">
        <f>HYPERLINK("http://www.twitter.com/NathanBLawrence/status/988615709843476480", "988615709843476480")</f>
        <v/>
      </c>
      <c r="B1508" s="2" t="n">
        <v>43214.13109953704</v>
      </c>
      <c r="C1508" t="n">
        <v>0</v>
      </c>
      <c r="D1508" t="n">
        <v>10</v>
      </c>
      <c r="E1508" t="s">
        <v>1499</v>
      </c>
      <c r="F1508" t="s"/>
      <c r="G1508" t="s"/>
      <c r="H1508" t="s"/>
      <c r="I1508" t="s"/>
      <c r="J1508" t="n">
        <v>-0.296</v>
      </c>
      <c r="K1508" t="n">
        <v>0.091</v>
      </c>
      <c r="L1508" t="n">
        <v>0.909</v>
      </c>
      <c r="M1508" t="n">
        <v>0</v>
      </c>
    </row>
    <row r="1509" spans="1:13">
      <c r="A1509" s="1">
        <f>HYPERLINK("http://www.twitter.com/NathanBLawrence/status/988615696446783489", "988615696446783489")</f>
        <v/>
      </c>
      <c r="B1509" s="2" t="n">
        <v>43214.13106481481</v>
      </c>
      <c r="C1509" t="n">
        <v>0</v>
      </c>
      <c r="D1509" t="n">
        <v>13</v>
      </c>
      <c r="E1509" t="s">
        <v>1500</v>
      </c>
      <c r="F1509" t="s"/>
      <c r="G1509" t="s"/>
      <c r="H1509" t="s"/>
      <c r="I1509" t="s"/>
      <c r="J1509" t="n">
        <v>0</v>
      </c>
      <c r="K1509" t="n">
        <v>0</v>
      </c>
      <c r="L1509" t="n">
        <v>1</v>
      </c>
      <c r="M1509" t="n">
        <v>0</v>
      </c>
    </row>
    <row r="1510" spans="1:13">
      <c r="A1510" s="1">
        <f>HYPERLINK("http://www.twitter.com/NathanBLawrence/status/988615686485368833", "988615686485368833")</f>
        <v/>
      </c>
      <c r="B1510" s="2" t="n">
        <v>43214.13103009259</v>
      </c>
      <c r="C1510" t="n">
        <v>0</v>
      </c>
      <c r="D1510" t="n">
        <v>12</v>
      </c>
      <c r="E1510" t="s">
        <v>1501</v>
      </c>
      <c r="F1510">
        <f>HYPERLINK("http://pbs.twimg.com/media/Dbf0kviXkAAx0Kd.jpg", "http://pbs.twimg.com/media/Dbf0kviXkAAx0Kd.jpg")</f>
        <v/>
      </c>
      <c r="G1510" t="s"/>
      <c r="H1510" t="s"/>
      <c r="I1510" t="s"/>
      <c r="J1510" t="n">
        <v>0</v>
      </c>
      <c r="K1510" t="n">
        <v>0</v>
      </c>
      <c r="L1510" t="n">
        <v>1</v>
      </c>
      <c r="M1510" t="n">
        <v>0</v>
      </c>
    </row>
    <row r="1511" spans="1:13">
      <c r="A1511" s="1">
        <f>HYPERLINK("http://www.twitter.com/NathanBLawrence/status/988615670869962754", "988615670869962754")</f>
        <v/>
      </c>
      <c r="B1511" s="2" t="n">
        <v>43214.13099537037</v>
      </c>
      <c r="C1511" t="n">
        <v>0</v>
      </c>
      <c r="D1511" t="n">
        <v>20</v>
      </c>
      <c r="E1511" t="s">
        <v>1502</v>
      </c>
      <c r="F1511" t="s"/>
      <c r="G1511" t="s"/>
      <c r="H1511" t="s"/>
      <c r="I1511" t="s"/>
      <c r="J1511" t="n">
        <v>0</v>
      </c>
      <c r="K1511" t="n">
        <v>0</v>
      </c>
      <c r="L1511" t="n">
        <v>1</v>
      </c>
      <c r="M1511" t="n">
        <v>0</v>
      </c>
    </row>
    <row r="1512" spans="1:13">
      <c r="A1512" s="1">
        <f>HYPERLINK("http://www.twitter.com/NathanBLawrence/status/988615607259160576", "988615607259160576")</f>
        <v/>
      </c>
      <c r="B1512" s="2" t="n">
        <v>43214.13082175926</v>
      </c>
      <c r="C1512" t="n">
        <v>0</v>
      </c>
      <c r="D1512" t="n">
        <v>7</v>
      </c>
      <c r="E1512" t="s">
        <v>1503</v>
      </c>
      <c r="F1512">
        <f>HYPERLINK("http://pbs.twimg.com/media/DbgJe6mV0AAW05A.jpg", "http://pbs.twimg.com/media/DbgJe6mV0AAW05A.jpg")</f>
        <v/>
      </c>
      <c r="G1512" t="s"/>
      <c r="H1512" t="s"/>
      <c r="I1512" t="s"/>
      <c r="J1512" t="n">
        <v>0</v>
      </c>
      <c r="K1512" t="n">
        <v>0</v>
      </c>
      <c r="L1512" t="n">
        <v>1</v>
      </c>
      <c r="M1512" t="n">
        <v>0</v>
      </c>
    </row>
    <row r="1513" spans="1:13">
      <c r="A1513" s="1">
        <f>HYPERLINK("http://www.twitter.com/NathanBLawrence/status/988615591492800513", "988615591492800513")</f>
        <v/>
      </c>
      <c r="B1513" s="2" t="n">
        <v>43214.13077546296</v>
      </c>
      <c r="C1513" t="n">
        <v>0</v>
      </c>
      <c r="D1513" t="n">
        <v>4</v>
      </c>
      <c r="E1513" t="s">
        <v>1504</v>
      </c>
      <c r="F1513" t="s"/>
      <c r="G1513" t="s"/>
      <c r="H1513" t="s"/>
      <c r="I1513" t="s"/>
      <c r="J1513" t="n">
        <v>0.3612</v>
      </c>
      <c r="K1513" t="n">
        <v>0</v>
      </c>
      <c r="L1513" t="n">
        <v>0.884</v>
      </c>
      <c r="M1513" t="n">
        <v>0.116</v>
      </c>
    </row>
    <row r="1514" spans="1:13">
      <c r="A1514" s="1">
        <f>HYPERLINK("http://www.twitter.com/NathanBLawrence/status/988615562979930112", "988615562979930112")</f>
        <v/>
      </c>
      <c r="B1514" s="2" t="n">
        <v>43214.13069444444</v>
      </c>
      <c r="C1514" t="n">
        <v>0</v>
      </c>
      <c r="D1514" t="n">
        <v>32</v>
      </c>
      <c r="E1514" t="s">
        <v>1505</v>
      </c>
      <c r="F1514" t="s"/>
      <c r="G1514" t="s"/>
      <c r="H1514" t="s"/>
      <c r="I1514" t="s"/>
      <c r="J1514" t="n">
        <v>0</v>
      </c>
      <c r="K1514" t="n">
        <v>0</v>
      </c>
      <c r="L1514" t="n">
        <v>1</v>
      </c>
      <c r="M1514" t="n">
        <v>0</v>
      </c>
    </row>
    <row r="1515" spans="1:13">
      <c r="A1515" s="1">
        <f>HYPERLINK("http://www.twitter.com/NathanBLawrence/status/988615546924158976", "988615546924158976")</f>
        <v/>
      </c>
      <c r="B1515" s="2" t="n">
        <v>43214.13064814815</v>
      </c>
      <c r="C1515" t="n">
        <v>0</v>
      </c>
      <c r="D1515" t="n">
        <v>7</v>
      </c>
      <c r="E1515" t="s">
        <v>1506</v>
      </c>
      <c r="F1515">
        <f>HYPERLINK("http://pbs.twimg.com/media/DbfktSpVMAALalK.jpg", "http://pbs.twimg.com/media/DbfktSpVMAALalK.jpg")</f>
        <v/>
      </c>
      <c r="G1515" t="s"/>
      <c r="H1515" t="s"/>
      <c r="I1515" t="s"/>
      <c r="J1515" t="n">
        <v>0.296</v>
      </c>
      <c r="K1515" t="n">
        <v>0.081</v>
      </c>
      <c r="L1515" t="n">
        <v>0.791</v>
      </c>
      <c r="M1515" t="n">
        <v>0.128</v>
      </c>
    </row>
    <row r="1516" spans="1:13">
      <c r="A1516" s="1">
        <f>HYPERLINK("http://www.twitter.com/NathanBLawrence/status/988615523373146112", "988615523373146112")</f>
        <v/>
      </c>
      <c r="B1516" s="2" t="n">
        <v>43214.13059027777</v>
      </c>
      <c r="C1516" t="n">
        <v>0</v>
      </c>
      <c r="D1516" t="n">
        <v>9</v>
      </c>
      <c r="E1516" t="s">
        <v>1507</v>
      </c>
      <c r="F1516" t="s"/>
      <c r="G1516" t="s"/>
      <c r="H1516" t="s"/>
      <c r="I1516" t="s"/>
      <c r="J1516" t="n">
        <v>0.6124000000000001</v>
      </c>
      <c r="K1516" t="n">
        <v>0.077</v>
      </c>
      <c r="L1516" t="n">
        <v>0.669</v>
      </c>
      <c r="M1516" t="n">
        <v>0.254</v>
      </c>
    </row>
    <row r="1517" spans="1:13">
      <c r="A1517" s="1">
        <f>HYPERLINK("http://www.twitter.com/NathanBLawrence/status/988615509804535808", "988615509804535808")</f>
        <v/>
      </c>
      <c r="B1517" s="2" t="n">
        <v>43214.13054398148</v>
      </c>
      <c r="C1517" t="n">
        <v>0</v>
      </c>
      <c r="D1517" t="n">
        <v>18</v>
      </c>
      <c r="E1517" t="s">
        <v>1508</v>
      </c>
      <c r="F1517" t="s"/>
      <c r="G1517" t="s"/>
      <c r="H1517" t="s"/>
      <c r="I1517" t="s"/>
      <c r="J1517" t="n">
        <v>0</v>
      </c>
      <c r="K1517" t="n">
        <v>0</v>
      </c>
      <c r="L1517" t="n">
        <v>1</v>
      </c>
      <c r="M1517" t="n">
        <v>0</v>
      </c>
    </row>
    <row r="1518" spans="1:13">
      <c r="A1518" s="1">
        <f>HYPERLINK("http://www.twitter.com/NathanBLawrence/status/988615499633262593", "988615499633262593")</f>
        <v/>
      </c>
      <c r="B1518" s="2" t="n">
        <v>43214.13052083334</v>
      </c>
      <c r="C1518" t="n">
        <v>0</v>
      </c>
      <c r="D1518" t="n">
        <v>18</v>
      </c>
      <c r="E1518" t="s">
        <v>1509</v>
      </c>
      <c r="F1518" t="s"/>
      <c r="G1518" t="s"/>
      <c r="H1518" t="s"/>
      <c r="I1518" t="s"/>
      <c r="J1518" t="n">
        <v>-0.296</v>
      </c>
      <c r="K1518" t="n">
        <v>0.128</v>
      </c>
      <c r="L1518" t="n">
        <v>0.872</v>
      </c>
      <c r="M1518" t="n">
        <v>0</v>
      </c>
    </row>
    <row r="1519" spans="1:13">
      <c r="A1519" s="1">
        <f>HYPERLINK("http://www.twitter.com/NathanBLawrence/status/988615488929398784", "988615488929398784")</f>
        <v/>
      </c>
      <c r="B1519" s="2" t="n">
        <v>43214.13048611111</v>
      </c>
      <c r="C1519" t="n">
        <v>0</v>
      </c>
      <c r="D1519" t="n">
        <v>33</v>
      </c>
      <c r="E1519" t="s">
        <v>1510</v>
      </c>
      <c r="F1519" t="s"/>
      <c r="G1519" t="s"/>
      <c r="H1519" t="s"/>
      <c r="I1519" t="s"/>
      <c r="J1519" t="n">
        <v>0.128</v>
      </c>
      <c r="K1519" t="n">
        <v>0</v>
      </c>
      <c r="L1519" t="n">
        <v>0.9360000000000001</v>
      </c>
      <c r="M1519" t="n">
        <v>0.064</v>
      </c>
    </row>
    <row r="1520" spans="1:13">
      <c r="A1520" s="1">
        <f>HYPERLINK("http://www.twitter.com/NathanBLawrence/status/988615467903475713", "988615467903475713")</f>
        <v/>
      </c>
      <c r="B1520" s="2" t="n">
        <v>43214.13042824074</v>
      </c>
      <c r="C1520" t="n">
        <v>0</v>
      </c>
      <c r="D1520" t="n">
        <v>18</v>
      </c>
      <c r="E1520" t="s">
        <v>1511</v>
      </c>
      <c r="F1520" t="s"/>
      <c r="G1520" t="s"/>
      <c r="H1520" t="s"/>
      <c r="I1520" t="s"/>
      <c r="J1520" t="n">
        <v>0</v>
      </c>
      <c r="K1520" t="n">
        <v>0</v>
      </c>
      <c r="L1520" t="n">
        <v>1</v>
      </c>
      <c r="M1520" t="n">
        <v>0</v>
      </c>
    </row>
    <row r="1521" spans="1:13">
      <c r="A1521" s="1">
        <f>HYPERLINK("http://www.twitter.com/NathanBLawrence/status/988615270808915968", "988615270808915968")</f>
        <v/>
      </c>
      <c r="B1521" s="2" t="n">
        <v>43214.12988425926</v>
      </c>
      <c r="C1521" t="n">
        <v>0</v>
      </c>
      <c r="D1521" t="n">
        <v>10</v>
      </c>
      <c r="E1521" t="s">
        <v>1512</v>
      </c>
      <c r="F1521" t="s"/>
      <c r="G1521" t="s"/>
      <c r="H1521" t="s"/>
      <c r="I1521" t="s"/>
      <c r="J1521" t="n">
        <v>0</v>
      </c>
      <c r="K1521" t="n">
        <v>0</v>
      </c>
      <c r="L1521" t="n">
        <v>1</v>
      </c>
      <c r="M1521" t="n">
        <v>0</v>
      </c>
    </row>
    <row r="1522" spans="1:13">
      <c r="A1522" s="1">
        <f>HYPERLINK("http://www.twitter.com/NathanBLawrence/status/988615249313091585", "988615249313091585")</f>
        <v/>
      </c>
      <c r="B1522" s="2" t="n">
        <v>43214.12982638889</v>
      </c>
      <c r="C1522" t="n">
        <v>0</v>
      </c>
      <c r="D1522" t="n">
        <v>11</v>
      </c>
      <c r="E1522" t="s">
        <v>1513</v>
      </c>
      <c r="F1522" t="s"/>
      <c r="G1522" t="s"/>
      <c r="H1522" t="s"/>
      <c r="I1522" t="s"/>
      <c r="J1522" t="n">
        <v>0</v>
      </c>
      <c r="K1522" t="n">
        <v>0</v>
      </c>
      <c r="L1522" t="n">
        <v>1</v>
      </c>
      <c r="M1522" t="n">
        <v>0</v>
      </c>
    </row>
    <row r="1523" spans="1:13">
      <c r="A1523" s="1">
        <f>HYPERLINK("http://www.twitter.com/NathanBLawrence/status/988615233320243201", "988615233320243201")</f>
        <v/>
      </c>
      <c r="B1523" s="2" t="n">
        <v>43214.12978009259</v>
      </c>
      <c r="C1523" t="n">
        <v>0</v>
      </c>
      <c r="D1523" t="n">
        <v>6</v>
      </c>
      <c r="E1523" t="s">
        <v>1514</v>
      </c>
      <c r="F1523">
        <f>HYPERLINK("http://pbs.twimg.com/media/DbgsO7bX0AQWXJh.jpg", "http://pbs.twimg.com/media/DbgsO7bX0AQWXJh.jpg")</f>
        <v/>
      </c>
      <c r="G1523" t="s"/>
      <c r="H1523" t="s"/>
      <c r="I1523" t="s"/>
      <c r="J1523" t="n">
        <v>0.7717000000000001</v>
      </c>
      <c r="K1523" t="n">
        <v>0</v>
      </c>
      <c r="L1523" t="n">
        <v>0.705</v>
      </c>
      <c r="M1523" t="n">
        <v>0.295</v>
      </c>
    </row>
    <row r="1524" spans="1:13">
      <c r="A1524" s="1">
        <f>HYPERLINK("http://www.twitter.com/NathanBLawrence/status/988615215162982401", "988615215162982401")</f>
        <v/>
      </c>
      <c r="B1524" s="2" t="n">
        <v>43214.1297337963</v>
      </c>
      <c r="C1524" t="n">
        <v>0</v>
      </c>
      <c r="D1524" t="n">
        <v>13</v>
      </c>
      <c r="E1524" t="s">
        <v>1515</v>
      </c>
      <c r="F1524">
        <f>HYPERLINK("http://pbs.twimg.com/media/Dbf3eRYV4AA_9vt.jpg", "http://pbs.twimg.com/media/Dbf3eRYV4AA_9vt.jpg")</f>
        <v/>
      </c>
      <c r="G1524" t="s"/>
      <c r="H1524" t="s"/>
      <c r="I1524" t="s"/>
      <c r="J1524" t="n">
        <v>-0.5719</v>
      </c>
      <c r="K1524" t="n">
        <v>0.144</v>
      </c>
      <c r="L1524" t="n">
        <v>0.856</v>
      </c>
      <c r="M1524" t="n">
        <v>0</v>
      </c>
    </row>
    <row r="1525" spans="1:13">
      <c r="A1525" s="1">
        <f>HYPERLINK("http://www.twitter.com/NathanBLawrence/status/988615166878273536", "988615166878273536")</f>
        <v/>
      </c>
      <c r="B1525" s="2" t="n">
        <v>43214.12960648148</v>
      </c>
      <c r="C1525" t="n">
        <v>0</v>
      </c>
      <c r="D1525" t="n">
        <v>7</v>
      </c>
      <c r="E1525" t="s">
        <v>1516</v>
      </c>
      <c r="F1525">
        <f>HYPERLINK("http://pbs.twimg.com/media/Dbevx3gWsAEPkW9.jpg", "http://pbs.twimg.com/media/Dbevx3gWsAEPkW9.jpg")</f>
        <v/>
      </c>
      <c r="G1525" t="s"/>
      <c r="H1525" t="s"/>
      <c r="I1525" t="s"/>
      <c r="J1525" t="n">
        <v>-0.3612</v>
      </c>
      <c r="K1525" t="n">
        <v>0.098</v>
      </c>
      <c r="L1525" t="n">
        <v>0.902</v>
      </c>
      <c r="M1525" t="n">
        <v>0</v>
      </c>
    </row>
    <row r="1526" spans="1:13">
      <c r="A1526" s="1">
        <f>HYPERLINK("http://www.twitter.com/NathanBLawrence/status/988615134657568768", "988615134657568768")</f>
        <v/>
      </c>
      <c r="B1526" s="2" t="n">
        <v>43214.12951388889</v>
      </c>
      <c r="C1526" t="n">
        <v>0</v>
      </c>
      <c r="D1526" t="n">
        <v>12</v>
      </c>
      <c r="E1526" t="s">
        <v>1517</v>
      </c>
      <c r="F1526" t="s"/>
      <c r="G1526" t="s"/>
      <c r="H1526" t="s"/>
      <c r="I1526" t="s"/>
      <c r="J1526" t="n">
        <v>0.1779</v>
      </c>
      <c r="K1526" t="n">
        <v>0.081</v>
      </c>
      <c r="L1526" t="n">
        <v>0.8129999999999999</v>
      </c>
      <c r="M1526" t="n">
        <v>0.106</v>
      </c>
    </row>
    <row r="1527" spans="1:13">
      <c r="A1527" s="1">
        <f>HYPERLINK("http://www.twitter.com/NathanBLawrence/status/988615113031782400", "988615113031782400")</f>
        <v/>
      </c>
      <c r="B1527" s="2" t="n">
        <v>43214.12945601852</v>
      </c>
      <c r="C1527" t="n">
        <v>0</v>
      </c>
      <c r="D1527" t="n">
        <v>16</v>
      </c>
      <c r="E1527" t="s">
        <v>1518</v>
      </c>
      <c r="F1527" t="s"/>
      <c r="G1527" t="s"/>
      <c r="H1527" t="s"/>
      <c r="I1527" t="s"/>
      <c r="J1527" t="n">
        <v>-0.296</v>
      </c>
      <c r="K1527" t="n">
        <v>0.104</v>
      </c>
      <c r="L1527" t="n">
        <v>0.896</v>
      </c>
      <c r="M1527" t="n">
        <v>0</v>
      </c>
    </row>
    <row r="1528" spans="1:13">
      <c r="A1528" s="1">
        <f>HYPERLINK("http://www.twitter.com/NathanBLawrence/status/988615097802280960", "988615097802280960")</f>
        <v/>
      </c>
      <c r="B1528" s="2" t="n">
        <v>43214.12940972222</v>
      </c>
      <c r="C1528" t="n">
        <v>0</v>
      </c>
      <c r="D1528" t="n">
        <v>12</v>
      </c>
      <c r="E1528" t="s">
        <v>1519</v>
      </c>
      <c r="F1528">
        <f>HYPERLINK("http://pbs.twimg.com/media/DbgQrEiUwAAt8Bc.jpg", "http://pbs.twimg.com/media/DbgQrEiUwAAt8Bc.jpg")</f>
        <v/>
      </c>
      <c r="G1528" t="s"/>
      <c r="H1528" t="s"/>
      <c r="I1528" t="s"/>
      <c r="J1528" t="n">
        <v>0.4404</v>
      </c>
      <c r="K1528" t="n">
        <v>0</v>
      </c>
      <c r="L1528" t="n">
        <v>0.854</v>
      </c>
      <c r="M1528" t="n">
        <v>0.146</v>
      </c>
    </row>
    <row r="1529" spans="1:13">
      <c r="A1529" s="1">
        <f>HYPERLINK("http://www.twitter.com/NathanBLawrence/status/988615078982205441", "988615078982205441")</f>
        <v/>
      </c>
      <c r="B1529" s="2" t="n">
        <v>43214.12936342593</v>
      </c>
      <c r="C1529" t="n">
        <v>0</v>
      </c>
      <c r="D1529" t="n">
        <v>15</v>
      </c>
      <c r="E1529" t="s">
        <v>1520</v>
      </c>
      <c r="F1529">
        <f>HYPERLINK("http://pbs.twimg.com/media/DbgCG1eX0AExvgY.jpg", "http://pbs.twimg.com/media/DbgCG1eX0AExvgY.jpg")</f>
        <v/>
      </c>
      <c r="G1529" t="s"/>
      <c r="H1529" t="s"/>
      <c r="I1529" t="s"/>
      <c r="J1529" t="n">
        <v>0.4926</v>
      </c>
      <c r="K1529" t="n">
        <v>0</v>
      </c>
      <c r="L1529" t="n">
        <v>0.849</v>
      </c>
      <c r="M1529" t="n">
        <v>0.151</v>
      </c>
    </row>
    <row r="1530" spans="1:13">
      <c r="A1530" s="1">
        <f>HYPERLINK("http://www.twitter.com/NathanBLawrence/status/988614996115509248", "988614996115509248")</f>
        <v/>
      </c>
      <c r="B1530" s="2" t="n">
        <v>43214.12913194444</v>
      </c>
      <c r="C1530" t="n">
        <v>0</v>
      </c>
      <c r="D1530" t="n">
        <v>68</v>
      </c>
      <c r="E1530" t="s">
        <v>1521</v>
      </c>
      <c r="F1530" t="s"/>
      <c r="G1530" t="s"/>
      <c r="H1530" t="s"/>
      <c r="I1530" t="s"/>
      <c r="J1530" t="n">
        <v>0.5719</v>
      </c>
      <c r="K1530" t="n">
        <v>0</v>
      </c>
      <c r="L1530" t="n">
        <v>0.85</v>
      </c>
      <c r="M1530" t="n">
        <v>0.15</v>
      </c>
    </row>
    <row r="1531" spans="1:13">
      <c r="A1531" s="1">
        <f>HYPERLINK("http://www.twitter.com/NathanBLawrence/status/988568664629825541", "988568664629825541")</f>
        <v/>
      </c>
      <c r="B1531" s="2" t="n">
        <v>43214.00128472222</v>
      </c>
      <c r="C1531" t="n">
        <v>0</v>
      </c>
      <c r="D1531" t="n">
        <v>0</v>
      </c>
      <c r="E1531" t="s">
        <v>1125</v>
      </c>
      <c r="F1531" t="s"/>
      <c r="G1531" t="s"/>
      <c r="H1531" t="s"/>
      <c r="I1531" t="s"/>
      <c r="J1531" t="n">
        <v>0.4215</v>
      </c>
      <c r="K1531" t="n">
        <v>0</v>
      </c>
      <c r="L1531" t="n">
        <v>0.263</v>
      </c>
      <c r="M1531" t="n">
        <v>0.737</v>
      </c>
    </row>
    <row r="1532" spans="1:13">
      <c r="A1532" s="1">
        <f>HYPERLINK("http://www.twitter.com/NathanBLawrence/status/988568638222422016", "988568638222422016")</f>
        <v/>
      </c>
      <c r="B1532" s="2" t="n">
        <v>43214.0012037037</v>
      </c>
      <c r="C1532" t="n">
        <v>0</v>
      </c>
      <c r="D1532" t="n">
        <v>12</v>
      </c>
      <c r="E1532" t="s">
        <v>1522</v>
      </c>
      <c r="F1532">
        <f>HYPERLINK("http://pbs.twimg.com/media/DbgSkAiU0AA-c-f.jpg", "http://pbs.twimg.com/media/DbgSkAiU0AA-c-f.jpg")</f>
        <v/>
      </c>
      <c r="G1532" t="s"/>
      <c r="H1532" t="s"/>
      <c r="I1532" t="s"/>
      <c r="J1532" t="n">
        <v>0.4019</v>
      </c>
      <c r="K1532" t="n">
        <v>0</v>
      </c>
      <c r="L1532" t="n">
        <v>0.856</v>
      </c>
      <c r="M1532" t="n">
        <v>0.144</v>
      </c>
    </row>
    <row r="1533" spans="1:13">
      <c r="A1533" s="1">
        <f>HYPERLINK("http://www.twitter.com/NathanBLawrence/status/988558934112899072", "988558934112899072")</f>
        <v/>
      </c>
      <c r="B1533" s="2" t="n">
        <v>43213.97443287037</v>
      </c>
      <c r="C1533" t="n">
        <v>0</v>
      </c>
      <c r="D1533" t="n">
        <v>19</v>
      </c>
      <c r="E1533" t="s">
        <v>1523</v>
      </c>
      <c r="F1533" t="s"/>
      <c r="G1533" t="s"/>
      <c r="H1533" t="s"/>
      <c r="I1533" t="s"/>
      <c r="J1533" t="n">
        <v>-0.5622</v>
      </c>
      <c r="K1533" t="n">
        <v>0.168</v>
      </c>
      <c r="L1533" t="n">
        <v>0.832</v>
      </c>
      <c r="M1533" t="n">
        <v>0</v>
      </c>
    </row>
    <row r="1534" spans="1:13">
      <c r="A1534" s="1">
        <f>HYPERLINK("http://www.twitter.com/NathanBLawrence/status/988558848989515782", "988558848989515782")</f>
        <v/>
      </c>
      <c r="B1534" s="2" t="n">
        <v>43213.97418981481</v>
      </c>
      <c r="C1534" t="n">
        <v>0</v>
      </c>
      <c r="D1534" t="n">
        <v>26</v>
      </c>
      <c r="E1534" t="s">
        <v>1524</v>
      </c>
      <c r="F1534" t="s"/>
      <c r="G1534" t="s"/>
      <c r="H1534" t="s"/>
      <c r="I1534" t="s"/>
      <c r="J1534" t="n">
        <v>0.4019</v>
      </c>
      <c r="K1534" t="n">
        <v>0</v>
      </c>
      <c r="L1534" t="n">
        <v>0.828</v>
      </c>
      <c r="M1534" t="n">
        <v>0.172</v>
      </c>
    </row>
    <row r="1535" spans="1:13">
      <c r="A1535" s="1">
        <f>HYPERLINK("http://www.twitter.com/NathanBLawrence/status/988472688975994882", "988472688975994882")</f>
        <v/>
      </c>
      <c r="B1535" s="2" t="n">
        <v>43213.73643518519</v>
      </c>
      <c r="C1535" t="n">
        <v>0</v>
      </c>
      <c r="D1535" t="n">
        <v>4</v>
      </c>
      <c r="E1535" t="s">
        <v>1525</v>
      </c>
      <c r="F1535" t="s"/>
      <c r="G1535" t="s"/>
      <c r="H1535" t="s"/>
      <c r="I1535" t="s"/>
      <c r="J1535" t="n">
        <v>0.0516</v>
      </c>
      <c r="K1535" t="n">
        <v>0</v>
      </c>
      <c r="L1535" t="n">
        <v>0.954</v>
      </c>
      <c r="M1535" t="n">
        <v>0.046</v>
      </c>
    </row>
    <row r="1536" spans="1:13">
      <c r="A1536" s="1">
        <f>HYPERLINK("http://www.twitter.com/NathanBLawrence/status/988472666238709762", "988472666238709762")</f>
        <v/>
      </c>
      <c r="B1536" s="2" t="n">
        <v>43213.73637731482</v>
      </c>
      <c r="C1536" t="n">
        <v>0</v>
      </c>
      <c r="D1536" t="n">
        <v>54</v>
      </c>
      <c r="E1536" t="s">
        <v>1526</v>
      </c>
      <c r="F1536" t="s"/>
      <c r="G1536" t="s"/>
      <c r="H1536" t="s"/>
      <c r="I1536" t="s"/>
      <c r="J1536" t="n">
        <v>-0.5719</v>
      </c>
      <c r="K1536" t="n">
        <v>0.179</v>
      </c>
      <c r="L1536" t="n">
        <v>0.821</v>
      </c>
      <c r="M1536" t="n">
        <v>0</v>
      </c>
    </row>
    <row r="1537" spans="1:13">
      <c r="A1537" s="1">
        <f>HYPERLINK("http://www.twitter.com/NathanBLawrence/status/988472615202369538", "988472615202369538")</f>
        <v/>
      </c>
      <c r="B1537" s="2" t="n">
        <v>43213.73623842592</v>
      </c>
      <c r="C1537" t="n">
        <v>0</v>
      </c>
      <c r="D1537" t="n">
        <v>1</v>
      </c>
      <c r="E1537" t="s">
        <v>1527</v>
      </c>
      <c r="F1537" t="s"/>
      <c r="G1537" t="s"/>
      <c r="H1537" t="s"/>
      <c r="I1537" t="s"/>
      <c r="J1537" t="n">
        <v>-0.4023</v>
      </c>
      <c r="K1537" t="n">
        <v>0.137</v>
      </c>
      <c r="L1537" t="n">
        <v>0.863</v>
      </c>
      <c r="M1537" t="n">
        <v>0</v>
      </c>
    </row>
    <row r="1538" spans="1:13">
      <c r="A1538" s="1">
        <f>HYPERLINK("http://www.twitter.com/NathanBLawrence/status/988472509191335937", "988472509191335937")</f>
        <v/>
      </c>
      <c r="B1538" s="2" t="n">
        <v>43213.7359375</v>
      </c>
      <c r="C1538" t="n">
        <v>0</v>
      </c>
      <c r="D1538" t="n">
        <v>9</v>
      </c>
      <c r="E1538" t="s">
        <v>1528</v>
      </c>
      <c r="F1538" t="s"/>
      <c r="G1538" t="s"/>
      <c r="H1538" t="s"/>
      <c r="I1538" t="s"/>
      <c r="J1538" t="n">
        <v>-0.7627</v>
      </c>
      <c r="K1538" t="n">
        <v>0.293</v>
      </c>
      <c r="L1538" t="n">
        <v>0.617</v>
      </c>
      <c r="M1538" t="n">
        <v>0.091</v>
      </c>
    </row>
    <row r="1539" spans="1:13">
      <c r="A1539" s="1">
        <f>HYPERLINK("http://www.twitter.com/NathanBLawrence/status/988472450546569217", "988472450546569217")</f>
        <v/>
      </c>
      <c r="B1539" s="2" t="n">
        <v>43213.73577546296</v>
      </c>
      <c r="C1539" t="n">
        <v>0</v>
      </c>
      <c r="D1539" t="n">
        <v>3677</v>
      </c>
      <c r="E1539" t="s">
        <v>1529</v>
      </c>
      <c r="F1539">
        <f>HYPERLINK("https://video.twimg.com/ext_tw_video/988452242884780033/pu/vid/720x1280/nWf8DccLBBAS0WUY.mp4?tag=3", "https://video.twimg.com/ext_tw_video/988452242884780033/pu/vid/720x1280/nWf8DccLBBAS0WUY.mp4?tag=3")</f>
        <v/>
      </c>
      <c r="G1539" t="s"/>
      <c r="H1539" t="s"/>
      <c r="I1539" t="s"/>
      <c r="J1539" t="n">
        <v>0</v>
      </c>
      <c r="K1539" t="n">
        <v>0</v>
      </c>
      <c r="L1539" t="n">
        <v>1</v>
      </c>
      <c r="M1539" t="n">
        <v>0</v>
      </c>
    </row>
    <row r="1540" spans="1:13">
      <c r="A1540" s="1">
        <f>HYPERLINK("http://www.twitter.com/NathanBLawrence/status/988440960236474368", "988440960236474368")</f>
        <v/>
      </c>
      <c r="B1540" s="2" t="n">
        <v>43213.64887731482</v>
      </c>
      <c r="C1540" t="n">
        <v>0</v>
      </c>
      <c r="D1540" t="n">
        <v>2</v>
      </c>
      <c r="E1540" t="s">
        <v>1530</v>
      </c>
      <c r="F1540" t="s"/>
      <c r="G1540" t="s"/>
      <c r="H1540" t="s"/>
      <c r="I1540" t="s"/>
      <c r="J1540" t="n">
        <v>0.8070000000000001</v>
      </c>
      <c r="K1540" t="n">
        <v>0.083</v>
      </c>
      <c r="L1540" t="n">
        <v>0.572</v>
      </c>
      <c r="M1540" t="n">
        <v>0.346</v>
      </c>
    </row>
    <row r="1541" spans="1:13">
      <c r="A1541" s="1">
        <f>HYPERLINK("http://www.twitter.com/NathanBLawrence/status/988440900807340033", "988440900807340033")</f>
        <v/>
      </c>
      <c r="B1541" s="2" t="n">
        <v>43213.64871527778</v>
      </c>
      <c r="C1541" t="n">
        <v>0</v>
      </c>
      <c r="D1541" t="n">
        <v>49</v>
      </c>
      <c r="E1541" t="s">
        <v>1531</v>
      </c>
      <c r="F1541" t="s"/>
      <c r="G1541" t="s"/>
      <c r="H1541" t="s"/>
      <c r="I1541" t="s"/>
      <c r="J1541" t="n">
        <v>0.4926</v>
      </c>
      <c r="K1541" t="n">
        <v>0.106</v>
      </c>
      <c r="L1541" t="n">
        <v>0.674</v>
      </c>
      <c r="M1541" t="n">
        <v>0.22</v>
      </c>
    </row>
    <row r="1542" spans="1:13">
      <c r="A1542" s="1">
        <f>HYPERLINK("http://www.twitter.com/NathanBLawrence/status/988440655914467329", "988440655914467329")</f>
        <v/>
      </c>
      <c r="B1542" s="2" t="n">
        <v>43213.64804398148</v>
      </c>
      <c r="C1542" t="n">
        <v>0</v>
      </c>
      <c r="D1542" t="n">
        <v>13</v>
      </c>
      <c r="E1542" t="s">
        <v>1532</v>
      </c>
      <c r="F1542" t="s"/>
      <c r="G1542" t="s"/>
      <c r="H1542" t="s"/>
      <c r="I1542" t="s"/>
      <c r="J1542" t="n">
        <v>-0.5719</v>
      </c>
      <c r="K1542" t="n">
        <v>0.218</v>
      </c>
      <c r="L1542" t="n">
        <v>0.701</v>
      </c>
      <c r="M1542" t="n">
        <v>0.081</v>
      </c>
    </row>
    <row r="1543" spans="1:13">
      <c r="A1543" s="1">
        <f>HYPERLINK("http://www.twitter.com/NathanBLawrence/status/988440552222920704", "988440552222920704")</f>
        <v/>
      </c>
      <c r="B1543" s="2" t="n">
        <v>43213.64775462963</v>
      </c>
      <c r="C1543" t="n">
        <v>0</v>
      </c>
      <c r="D1543" t="n">
        <v>33</v>
      </c>
      <c r="E1543" t="s">
        <v>1533</v>
      </c>
      <c r="F1543">
        <f>HYPERLINK("http://pbs.twimg.com/media/DbWMhC6U0AAuEb_.jpg", "http://pbs.twimg.com/media/DbWMhC6U0AAuEb_.jpg")</f>
        <v/>
      </c>
      <c r="G1543" t="s"/>
      <c r="H1543" t="s"/>
      <c r="I1543" t="s"/>
      <c r="J1543" t="n">
        <v>0.4199</v>
      </c>
      <c r="K1543" t="n">
        <v>0</v>
      </c>
      <c r="L1543" t="n">
        <v>0.798</v>
      </c>
      <c r="M1543" t="n">
        <v>0.202</v>
      </c>
    </row>
    <row r="1544" spans="1:13">
      <c r="A1544" s="1">
        <f>HYPERLINK("http://www.twitter.com/NathanBLawrence/status/988440529271689218", "988440529271689218")</f>
        <v/>
      </c>
      <c r="B1544" s="2" t="n">
        <v>43213.64769675926</v>
      </c>
      <c r="C1544" t="n">
        <v>0</v>
      </c>
      <c r="D1544" t="n">
        <v>18</v>
      </c>
      <c r="E1544" t="s">
        <v>1534</v>
      </c>
      <c r="F1544" t="s"/>
      <c r="G1544" t="s"/>
      <c r="H1544" t="s"/>
      <c r="I1544" t="s"/>
      <c r="J1544" t="n">
        <v>-0.3818</v>
      </c>
      <c r="K1544" t="n">
        <v>0.131</v>
      </c>
      <c r="L1544" t="n">
        <v>0.805</v>
      </c>
      <c r="M1544" t="n">
        <v>0.064</v>
      </c>
    </row>
    <row r="1545" spans="1:13">
      <c r="A1545" s="1">
        <f>HYPERLINK("http://www.twitter.com/NathanBLawrence/status/988440493779451907", "988440493779451907")</f>
        <v/>
      </c>
      <c r="B1545" s="2" t="n">
        <v>43213.64759259259</v>
      </c>
      <c r="C1545" t="n">
        <v>0</v>
      </c>
      <c r="D1545" t="n">
        <v>41</v>
      </c>
      <c r="E1545" t="s">
        <v>1535</v>
      </c>
      <c r="F1545">
        <f>HYPERLINK("http://pbs.twimg.com/media/Dbb679pU0AAaYE7.jpg", "http://pbs.twimg.com/media/Dbb679pU0AAaYE7.jpg")</f>
        <v/>
      </c>
      <c r="G1545" t="s"/>
      <c r="H1545" t="s"/>
      <c r="I1545" t="s"/>
      <c r="J1545" t="n">
        <v>0.7906</v>
      </c>
      <c r="K1545" t="n">
        <v>0</v>
      </c>
      <c r="L1545" t="n">
        <v>0.579</v>
      </c>
      <c r="M1545" t="n">
        <v>0.421</v>
      </c>
    </row>
    <row r="1546" spans="1:13">
      <c r="A1546" s="1">
        <f>HYPERLINK("http://www.twitter.com/NathanBLawrence/status/988440483427909632", "988440483427909632")</f>
        <v/>
      </c>
      <c r="B1546" s="2" t="n">
        <v>43213.64756944445</v>
      </c>
      <c r="C1546" t="n">
        <v>0</v>
      </c>
      <c r="D1546" t="n">
        <v>16</v>
      </c>
      <c r="E1546" t="s">
        <v>1536</v>
      </c>
      <c r="F1546">
        <f>HYPERLINK("http://pbs.twimg.com/media/DbZtFm0UwAEMQu5.jpg", "http://pbs.twimg.com/media/DbZtFm0UwAEMQu5.jpg")</f>
        <v/>
      </c>
      <c r="G1546" t="s"/>
      <c r="H1546" t="s"/>
      <c r="I1546" t="s"/>
      <c r="J1546" t="n">
        <v>0.8401999999999999</v>
      </c>
      <c r="K1546" t="n">
        <v>0</v>
      </c>
      <c r="L1546" t="n">
        <v>0.679</v>
      </c>
      <c r="M1546" t="n">
        <v>0.321</v>
      </c>
    </row>
    <row r="1547" spans="1:13">
      <c r="A1547" s="1">
        <f>HYPERLINK("http://www.twitter.com/NathanBLawrence/status/988440391233036289", "988440391233036289")</f>
        <v/>
      </c>
      <c r="B1547" s="2" t="n">
        <v>43213.64731481481</v>
      </c>
      <c r="C1547" t="n">
        <v>0</v>
      </c>
      <c r="D1547" t="n">
        <v>6</v>
      </c>
      <c r="E1547" t="s">
        <v>1537</v>
      </c>
      <c r="F1547" t="s"/>
      <c r="G1547" t="s"/>
      <c r="H1547" t="s"/>
      <c r="I1547" t="s"/>
      <c r="J1547" t="n">
        <v>-0.0772</v>
      </c>
      <c r="K1547" t="n">
        <v>0.058</v>
      </c>
      <c r="L1547" t="n">
        <v>0.9419999999999999</v>
      </c>
      <c r="M1547" t="n">
        <v>0</v>
      </c>
    </row>
    <row r="1548" spans="1:13">
      <c r="A1548" s="1">
        <f>HYPERLINK("http://www.twitter.com/NathanBLawrence/status/988440372316704768", "988440372316704768")</f>
        <v/>
      </c>
      <c r="B1548" s="2" t="n">
        <v>43213.64725694444</v>
      </c>
      <c r="C1548" t="n">
        <v>0</v>
      </c>
      <c r="D1548" t="n">
        <v>6</v>
      </c>
      <c r="E1548" t="s">
        <v>1538</v>
      </c>
      <c r="F1548" t="s"/>
      <c r="G1548" t="s"/>
      <c r="H1548" t="s"/>
      <c r="I1548" t="s"/>
      <c r="J1548" t="n">
        <v>0</v>
      </c>
      <c r="K1548" t="n">
        <v>0</v>
      </c>
      <c r="L1548" t="n">
        <v>1</v>
      </c>
      <c r="M1548" t="n">
        <v>0</v>
      </c>
    </row>
    <row r="1549" spans="1:13">
      <c r="A1549" s="1">
        <f>HYPERLINK("http://www.twitter.com/NathanBLawrence/status/988440311260176384", "988440311260176384")</f>
        <v/>
      </c>
      <c r="B1549" s="2" t="n">
        <v>43213.64709490741</v>
      </c>
      <c r="C1549" t="n">
        <v>0</v>
      </c>
      <c r="D1549" t="n">
        <v>13</v>
      </c>
      <c r="E1549" t="s">
        <v>1539</v>
      </c>
      <c r="F1549" t="s"/>
      <c r="G1549" t="s"/>
      <c r="H1549" t="s"/>
      <c r="I1549" t="s"/>
      <c r="J1549" t="n">
        <v>0.68</v>
      </c>
      <c r="K1549" t="n">
        <v>0</v>
      </c>
      <c r="L1549" t="n">
        <v>0.763</v>
      </c>
      <c r="M1549" t="n">
        <v>0.237</v>
      </c>
    </row>
    <row r="1550" spans="1:13">
      <c r="A1550" s="1">
        <f>HYPERLINK("http://www.twitter.com/NathanBLawrence/status/988440188400668672", "988440188400668672")</f>
        <v/>
      </c>
      <c r="B1550" s="2" t="n">
        <v>43213.64674768518</v>
      </c>
      <c r="C1550" t="n">
        <v>0</v>
      </c>
      <c r="D1550" t="n">
        <v>23</v>
      </c>
      <c r="E1550" t="s">
        <v>1540</v>
      </c>
      <c r="F1550">
        <f>HYPERLINK("http://pbs.twimg.com/media/DbeelY-XUAEDaDB.jpg", "http://pbs.twimg.com/media/DbeelY-XUAEDaDB.jpg")</f>
        <v/>
      </c>
      <c r="G1550" t="s"/>
      <c r="H1550" t="s"/>
      <c r="I1550" t="s"/>
      <c r="J1550" t="n">
        <v>-0.1323</v>
      </c>
      <c r="K1550" t="n">
        <v>0.13</v>
      </c>
      <c r="L1550" t="n">
        <v>0.76</v>
      </c>
      <c r="M1550" t="n">
        <v>0.11</v>
      </c>
    </row>
    <row r="1551" spans="1:13">
      <c r="A1551" s="1">
        <f>HYPERLINK("http://www.twitter.com/NathanBLawrence/status/988440168616091658", "988440168616091658")</f>
        <v/>
      </c>
      <c r="B1551" s="2" t="n">
        <v>43213.64670138889</v>
      </c>
      <c r="C1551" t="n">
        <v>0</v>
      </c>
      <c r="D1551" t="n">
        <v>9</v>
      </c>
      <c r="E1551" t="s">
        <v>1541</v>
      </c>
      <c r="F1551" t="s"/>
      <c r="G1551" t="s"/>
      <c r="H1551" t="s"/>
      <c r="I1551" t="s"/>
      <c r="J1551" t="n">
        <v>0.4714</v>
      </c>
      <c r="K1551" t="n">
        <v>0</v>
      </c>
      <c r="L1551" t="n">
        <v>0.872</v>
      </c>
      <c r="M1551" t="n">
        <v>0.128</v>
      </c>
    </row>
    <row r="1552" spans="1:13">
      <c r="A1552" s="1">
        <f>HYPERLINK("http://www.twitter.com/NathanBLawrence/status/988440153277550593", "988440153277550593")</f>
        <v/>
      </c>
      <c r="B1552" s="2" t="n">
        <v>43213.64665509259</v>
      </c>
      <c r="C1552" t="n">
        <v>0</v>
      </c>
      <c r="D1552" t="n">
        <v>10</v>
      </c>
      <c r="E1552" t="s">
        <v>1542</v>
      </c>
      <c r="F1552" t="s"/>
      <c r="G1552" t="s"/>
      <c r="H1552" t="s"/>
      <c r="I1552" t="s"/>
      <c r="J1552" t="n">
        <v>0</v>
      </c>
      <c r="K1552" t="n">
        <v>0</v>
      </c>
      <c r="L1552" t="n">
        <v>1</v>
      </c>
      <c r="M1552" t="n">
        <v>0</v>
      </c>
    </row>
    <row r="1553" spans="1:13">
      <c r="A1553" s="1">
        <f>HYPERLINK("http://www.twitter.com/NathanBLawrence/status/988440032343199745", "988440032343199745")</f>
        <v/>
      </c>
      <c r="B1553" s="2" t="n">
        <v>43213.64631944444</v>
      </c>
      <c r="C1553" t="n">
        <v>0</v>
      </c>
      <c r="D1553" t="n">
        <v>38</v>
      </c>
      <c r="E1553" t="s">
        <v>1543</v>
      </c>
      <c r="F1553" t="s"/>
      <c r="G1553" t="s"/>
      <c r="H1553" t="s"/>
      <c r="I1553" t="s"/>
      <c r="J1553" t="n">
        <v>-0.3818</v>
      </c>
      <c r="K1553" t="n">
        <v>0.14</v>
      </c>
      <c r="L1553" t="n">
        <v>0.86</v>
      </c>
      <c r="M1553" t="n">
        <v>0</v>
      </c>
    </row>
    <row r="1554" spans="1:13">
      <c r="A1554" s="1">
        <f>HYPERLINK("http://www.twitter.com/NathanBLawrence/status/988440001691242502", "988440001691242502")</f>
        <v/>
      </c>
      <c r="B1554" s="2" t="n">
        <v>43213.64623842593</v>
      </c>
      <c r="C1554" t="n">
        <v>0</v>
      </c>
      <c r="D1554" t="n">
        <v>29</v>
      </c>
      <c r="E1554" t="s">
        <v>1544</v>
      </c>
      <c r="F1554">
        <f>HYPERLINK("http://pbs.twimg.com/media/DbeI4d5V0AAEKlg.jpg", "http://pbs.twimg.com/media/DbeI4d5V0AAEKlg.jpg")</f>
        <v/>
      </c>
      <c r="G1554" t="s"/>
      <c r="H1554" t="s"/>
      <c r="I1554" t="s"/>
      <c r="J1554" t="n">
        <v>-0.8070000000000001</v>
      </c>
      <c r="K1554" t="n">
        <v>0.328</v>
      </c>
      <c r="L1554" t="n">
        <v>0.672</v>
      </c>
      <c r="M1554" t="n">
        <v>0</v>
      </c>
    </row>
    <row r="1555" spans="1:13">
      <c r="A1555" s="1">
        <f>HYPERLINK("http://www.twitter.com/NathanBLawrence/status/988439925904289792", "988439925904289792")</f>
        <v/>
      </c>
      <c r="B1555" s="2" t="n">
        <v>43213.64603009259</v>
      </c>
      <c r="C1555" t="n">
        <v>0</v>
      </c>
      <c r="D1555" t="n">
        <v>0</v>
      </c>
      <c r="E1555" t="s">
        <v>1545</v>
      </c>
      <c r="F1555" t="s"/>
      <c r="G1555" t="s"/>
      <c r="H1555" t="s"/>
      <c r="I1555" t="s"/>
      <c r="J1555" t="n">
        <v>0.2732</v>
      </c>
      <c r="K1555" t="n">
        <v>0</v>
      </c>
      <c r="L1555" t="n">
        <v>0.87</v>
      </c>
      <c r="M1555" t="n">
        <v>0.13</v>
      </c>
    </row>
    <row r="1556" spans="1:13">
      <c r="A1556" s="1">
        <f>HYPERLINK("http://www.twitter.com/NathanBLawrence/status/988439662501990400", "988439662501990400")</f>
        <v/>
      </c>
      <c r="B1556" s="2" t="n">
        <v>43213.64530092593</v>
      </c>
      <c r="C1556" t="n">
        <v>0</v>
      </c>
      <c r="D1556" t="n">
        <v>49</v>
      </c>
      <c r="E1556" t="s">
        <v>1546</v>
      </c>
      <c r="F1556" t="s"/>
      <c r="G1556" t="s"/>
      <c r="H1556" t="s"/>
      <c r="I1556" t="s"/>
      <c r="J1556" t="n">
        <v>0</v>
      </c>
      <c r="K1556" t="n">
        <v>0</v>
      </c>
      <c r="L1556" t="n">
        <v>1</v>
      </c>
      <c r="M1556" t="n">
        <v>0</v>
      </c>
    </row>
    <row r="1557" spans="1:13">
      <c r="A1557" s="1">
        <f>HYPERLINK("http://www.twitter.com/NathanBLawrence/status/988439510324215813", "988439510324215813")</f>
        <v/>
      </c>
      <c r="B1557" s="2" t="n">
        <v>43213.64488425926</v>
      </c>
      <c r="C1557" t="n">
        <v>0</v>
      </c>
      <c r="D1557" t="n">
        <v>4</v>
      </c>
      <c r="E1557" t="s">
        <v>1547</v>
      </c>
      <c r="F1557" t="s"/>
      <c r="G1557" t="s"/>
      <c r="H1557" t="s"/>
      <c r="I1557" t="s"/>
      <c r="J1557" t="n">
        <v>-0.8705000000000001</v>
      </c>
      <c r="K1557" t="n">
        <v>0.354</v>
      </c>
      <c r="L1557" t="n">
        <v>0.646</v>
      </c>
      <c r="M1557" t="n">
        <v>0</v>
      </c>
    </row>
    <row r="1558" spans="1:13">
      <c r="A1558" s="1">
        <f>HYPERLINK("http://www.twitter.com/NathanBLawrence/status/988438342269272065", "988438342269272065")</f>
        <v/>
      </c>
      <c r="B1558" s="2" t="n">
        <v>43213.64165509259</v>
      </c>
      <c r="C1558" t="n">
        <v>0</v>
      </c>
      <c r="D1558" t="n">
        <v>1</v>
      </c>
      <c r="E1558" t="s">
        <v>1548</v>
      </c>
      <c r="F1558" t="s"/>
      <c r="G1558" t="s"/>
      <c r="H1558" t="s"/>
      <c r="I1558" t="s"/>
      <c r="J1558" t="n">
        <v>-0.6817</v>
      </c>
      <c r="K1558" t="n">
        <v>0.204</v>
      </c>
      <c r="L1558" t="n">
        <v>0.796</v>
      </c>
      <c r="M1558" t="n">
        <v>0</v>
      </c>
    </row>
    <row r="1559" spans="1:13">
      <c r="A1559" s="1">
        <f>HYPERLINK("http://www.twitter.com/NathanBLawrence/status/988438305183354880", "988438305183354880")</f>
        <v/>
      </c>
      <c r="B1559" s="2" t="n">
        <v>43213.64155092592</v>
      </c>
      <c r="C1559" t="n">
        <v>0</v>
      </c>
      <c r="D1559" t="n">
        <v>3511</v>
      </c>
      <c r="E1559" t="s">
        <v>1549</v>
      </c>
      <c r="F1559" t="s"/>
      <c r="G1559" t="s"/>
      <c r="H1559" t="s"/>
      <c r="I1559" t="s"/>
      <c r="J1559" t="n">
        <v>-0.5574</v>
      </c>
      <c r="K1559" t="n">
        <v>0.231</v>
      </c>
      <c r="L1559" t="n">
        <v>0.769</v>
      </c>
      <c r="M1559" t="n">
        <v>0</v>
      </c>
    </row>
    <row r="1560" spans="1:13">
      <c r="A1560" s="1">
        <f>HYPERLINK("http://www.twitter.com/NathanBLawrence/status/988438282471137280", "988438282471137280")</f>
        <v/>
      </c>
      <c r="B1560" s="2" t="n">
        <v>43213.64149305555</v>
      </c>
      <c r="C1560" t="n">
        <v>0</v>
      </c>
      <c r="D1560" t="n">
        <v>5047</v>
      </c>
      <c r="E1560" t="s">
        <v>1550</v>
      </c>
      <c r="F1560" t="s"/>
      <c r="G1560" t="s"/>
      <c r="H1560" t="s"/>
      <c r="I1560" t="s"/>
      <c r="J1560" t="n">
        <v>0.3182</v>
      </c>
      <c r="K1560" t="n">
        <v>0</v>
      </c>
      <c r="L1560" t="n">
        <v>0.723</v>
      </c>
      <c r="M1560" t="n">
        <v>0.277</v>
      </c>
    </row>
    <row r="1561" spans="1:13">
      <c r="A1561" s="1">
        <f>HYPERLINK("http://www.twitter.com/NathanBLawrence/status/988438223138508800", "988438223138508800")</f>
        <v/>
      </c>
      <c r="B1561" s="2" t="n">
        <v>43213.64133101852</v>
      </c>
      <c r="C1561" t="n">
        <v>0</v>
      </c>
      <c r="D1561" t="n">
        <v>1</v>
      </c>
      <c r="E1561" t="s">
        <v>1551</v>
      </c>
      <c r="F1561" t="s"/>
      <c r="G1561" t="s"/>
      <c r="H1561" t="s"/>
      <c r="I1561" t="s"/>
      <c r="J1561" t="n">
        <v>0</v>
      </c>
      <c r="K1561" t="n">
        <v>0</v>
      </c>
      <c r="L1561" t="n">
        <v>1</v>
      </c>
      <c r="M1561" t="n">
        <v>0</v>
      </c>
    </row>
    <row r="1562" spans="1:13">
      <c r="A1562" s="1">
        <f>HYPERLINK("http://www.twitter.com/NathanBLawrence/status/988436536092971009", "988436536092971009")</f>
        <v/>
      </c>
      <c r="B1562" s="2" t="n">
        <v>43213.63667824074</v>
      </c>
      <c r="C1562" t="n">
        <v>0</v>
      </c>
      <c r="D1562" t="n">
        <v>167</v>
      </c>
      <c r="E1562" t="s">
        <v>1552</v>
      </c>
      <c r="F1562" t="s"/>
      <c r="G1562" t="s"/>
      <c r="H1562" t="s"/>
      <c r="I1562" t="s"/>
      <c r="J1562" t="n">
        <v>0.25</v>
      </c>
      <c r="K1562" t="n">
        <v>0</v>
      </c>
      <c r="L1562" t="n">
        <v>0.882</v>
      </c>
      <c r="M1562" t="n">
        <v>0.118</v>
      </c>
    </row>
    <row r="1563" spans="1:13">
      <c r="A1563" s="1">
        <f>HYPERLINK("http://www.twitter.com/NathanBLawrence/status/988432090613059584", "988432090613059584")</f>
        <v/>
      </c>
      <c r="B1563" s="2" t="n">
        <v>43213.62440972222</v>
      </c>
      <c r="C1563" t="n">
        <v>0</v>
      </c>
      <c r="D1563" t="n">
        <v>20040</v>
      </c>
      <c r="E1563" t="s">
        <v>1553</v>
      </c>
      <c r="F1563" t="s"/>
      <c r="G1563" t="s"/>
      <c r="H1563" t="s"/>
      <c r="I1563" t="s"/>
      <c r="J1563" t="n">
        <v>-0.4199</v>
      </c>
      <c r="K1563" t="n">
        <v>0.411</v>
      </c>
      <c r="L1563" t="n">
        <v>0.589</v>
      </c>
      <c r="M1563" t="n">
        <v>0</v>
      </c>
    </row>
    <row r="1564" spans="1:13">
      <c r="A1564" s="1">
        <f>HYPERLINK("http://www.twitter.com/NathanBLawrence/status/988432041099309056", "988432041099309056")</f>
        <v/>
      </c>
      <c r="B1564" s="2" t="n">
        <v>43213.62427083333</v>
      </c>
      <c r="C1564" t="n">
        <v>0</v>
      </c>
      <c r="D1564" t="n">
        <v>17395</v>
      </c>
      <c r="E1564" t="s">
        <v>1554</v>
      </c>
      <c r="F1564">
        <f>HYPERLINK("http://pbs.twimg.com/media/Dbab1avV4AANUCf.jpg", "http://pbs.twimg.com/media/Dbab1avV4AANUCf.jpg")</f>
        <v/>
      </c>
      <c r="G1564" t="s"/>
      <c r="H1564" t="s"/>
      <c r="I1564" t="s"/>
      <c r="J1564" t="n">
        <v>0.6597</v>
      </c>
      <c r="K1564" t="n">
        <v>0</v>
      </c>
      <c r="L1564" t="n">
        <v>0.787</v>
      </c>
      <c r="M1564" t="n">
        <v>0.213</v>
      </c>
    </row>
    <row r="1565" spans="1:13">
      <c r="A1565" s="1">
        <f>HYPERLINK("http://www.twitter.com/NathanBLawrence/status/988432018781425666", "988432018781425666")</f>
        <v/>
      </c>
      <c r="B1565" s="2" t="n">
        <v>43213.62421296296</v>
      </c>
      <c r="C1565" t="n">
        <v>0</v>
      </c>
      <c r="D1565" t="n">
        <v>25708</v>
      </c>
      <c r="E1565" t="s">
        <v>1555</v>
      </c>
      <c r="F1565" t="s"/>
      <c r="G1565" t="s"/>
      <c r="H1565" t="s"/>
      <c r="I1565" t="s"/>
      <c r="J1565" t="n">
        <v>-0.3163</v>
      </c>
      <c r="K1565" t="n">
        <v>0.162</v>
      </c>
      <c r="L1565" t="n">
        <v>0.722</v>
      </c>
      <c r="M1565" t="n">
        <v>0.116</v>
      </c>
    </row>
    <row r="1566" spans="1:13">
      <c r="A1566" s="1">
        <f>HYPERLINK("http://www.twitter.com/NathanBLawrence/status/988432003455422464", "988432003455422464")</f>
        <v/>
      </c>
      <c r="B1566" s="2" t="n">
        <v>43213.62416666667</v>
      </c>
      <c r="C1566" t="n">
        <v>0</v>
      </c>
      <c r="D1566" t="n">
        <v>25281</v>
      </c>
      <c r="E1566" t="s">
        <v>1556</v>
      </c>
      <c r="F1566" t="s"/>
      <c r="G1566" t="s"/>
      <c r="H1566" t="s"/>
      <c r="I1566" t="s"/>
      <c r="J1566" t="n">
        <v>-0.5034</v>
      </c>
      <c r="K1566" t="n">
        <v>0.169</v>
      </c>
      <c r="L1566" t="n">
        <v>0.831</v>
      </c>
      <c r="M1566" t="n">
        <v>0</v>
      </c>
    </row>
    <row r="1567" spans="1:13">
      <c r="A1567" s="1">
        <f>HYPERLINK("http://www.twitter.com/NathanBLawrence/status/988428243035443200", "988428243035443200")</f>
        <v/>
      </c>
      <c r="B1567" s="2" t="n">
        <v>43213.61378472222</v>
      </c>
      <c r="C1567" t="n">
        <v>0</v>
      </c>
      <c r="D1567" t="n">
        <v>9</v>
      </c>
      <c r="E1567" t="s">
        <v>1557</v>
      </c>
      <c r="F1567">
        <f>HYPERLINK("http://pbs.twimg.com/media/DbeaNIsVQAUcqSR.jpg", "http://pbs.twimg.com/media/DbeaNIsVQAUcqSR.jpg")</f>
        <v/>
      </c>
      <c r="G1567">
        <f>HYPERLINK("http://pbs.twimg.com/media/DbeZA2OW0AAzdVN.jpg", "http://pbs.twimg.com/media/DbeZA2OW0AAzdVN.jpg")</f>
        <v/>
      </c>
      <c r="H1567" t="s"/>
      <c r="I1567" t="s"/>
      <c r="J1567" t="n">
        <v>0</v>
      </c>
      <c r="K1567" t="n">
        <v>0</v>
      </c>
      <c r="L1567" t="n">
        <v>1</v>
      </c>
      <c r="M1567" t="n">
        <v>0</v>
      </c>
    </row>
    <row r="1568" spans="1:13">
      <c r="A1568" s="1">
        <f>HYPERLINK("http://www.twitter.com/NathanBLawrence/status/988428216787525633", "988428216787525633")</f>
        <v/>
      </c>
      <c r="B1568" s="2" t="n">
        <v>43213.61371527778</v>
      </c>
      <c r="C1568" t="n">
        <v>8</v>
      </c>
      <c r="D1568" t="n">
        <v>9</v>
      </c>
      <c r="E1568" t="s">
        <v>1558</v>
      </c>
      <c r="F1568">
        <f>HYPERLINK("http://pbs.twimg.com/media/DbeaNIsVQAUcqSR.jpg", "http://pbs.twimg.com/media/DbeaNIsVQAUcqSR.jpg")</f>
        <v/>
      </c>
      <c r="G1568">
        <f>HYPERLINK("http://pbs.twimg.com/media/DbeZA2OW0AAzdVN.jpg", "http://pbs.twimg.com/media/DbeZA2OW0AAzdVN.jpg")</f>
        <v/>
      </c>
      <c r="H1568" t="s"/>
      <c r="I1568" t="s"/>
      <c r="J1568" t="n">
        <v>0</v>
      </c>
      <c r="K1568" t="n">
        <v>0</v>
      </c>
      <c r="L1568" t="n">
        <v>1</v>
      </c>
      <c r="M1568" t="n">
        <v>0</v>
      </c>
    </row>
    <row r="1569" spans="1:13">
      <c r="A1569" s="1">
        <f>HYPERLINK("http://www.twitter.com/NathanBLawrence/status/988427771037798405", "988427771037798405")</f>
        <v/>
      </c>
      <c r="B1569" s="2" t="n">
        <v>43213.61248842593</v>
      </c>
      <c r="C1569" t="n">
        <v>0</v>
      </c>
      <c r="D1569" t="n">
        <v>3</v>
      </c>
      <c r="E1569" t="s">
        <v>1559</v>
      </c>
      <c r="F1569">
        <f>HYPERLINK("http://pbs.twimg.com/media/DbeZA2OW0AAzdVN.jpg", "http://pbs.twimg.com/media/DbeZA2OW0AAzdVN.jpg")</f>
        <v/>
      </c>
      <c r="G1569" t="s"/>
      <c r="H1569" t="s"/>
      <c r="I1569" t="s"/>
      <c r="J1569" t="n">
        <v>0</v>
      </c>
      <c r="K1569" t="n">
        <v>0</v>
      </c>
      <c r="L1569" t="n">
        <v>1</v>
      </c>
      <c r="M1569" t="n">
        <v>0</v>
      </c>
    </row>
    <row r="1570" spans="1:13">
      <c r="A1570" s="1">
        <f>HYPERLINK("http://www.twitter.com/NathanBLawrence/status/988426963646902277", "988426963646902277")</f>
        <v/>
      </c>
      <c r="B1570" s="2" t="n">
        <v>43213.61025462963</v>
      </c>
      <c r="C1570" t="n">
        <v>4</v>
      </c>
      <c r="D1570" t="n">
        <v>3</v>
      </c>
      <c r="E1570" t="s">
        <v>1560</v>
      </c>
      <c r="F1570">
        <f>HYPERLINK("http://pbs.twimg.com/media/DbeZA2OW0AAzdVN.jpg", "http://pbs.twimg.com/media/DbeZA2OW0AAzdVN.jpg")</f>
        <v/>
      </c>
      <c r="G1570" t="s"/>
      <c r="H1570" t="s"/>
      <c r="I1570" t="s"/>
      <c r="J1570" t="n">
        <v>0</v>
      </c>
      <c r="K1570" t="n">
        <v>0</v>
      </c>
      <c r="L1570" t="n">
        <v>1</v>
      </c>
      <c r="M1570" t="n">
        <v>0</v>
      </c>
    </row>
    <row r="1571" spans="1:13">
      <c r="A1571" s="1">
        <f>HYPERLINK("http://www.twitter.com/NathanBLawrence/status/988269624100782080", "988269624100782080")</f>
        <v/>
      </c>
      <c r="B1571" s="2" t="n">
        <v>43213.17608796297</v>
      </c>
      <c r="C1571" t="n">
        <v>6</v>
      </c>
      <c r="D1571" t="n">
        <v>4</v>
      </c>
      <c r="E1571" t="s">
        <v>1561</v>
      </c>
      <c r="F1571" t="s"/>
      <c r="G1571" t="s"/>
      <c r="H1571" t="s"/>
      <c r="I1571" t="s"/>
      <c r="J1571" t="n">
        <v>-0.8381</v>
      </c>
      <c r="K1571" t="n">
        <v>0.31</v>
      </c>
      <c r="L1571" t="n">
        <v>0.547</v>
      </c>
      <c r="M1571" t="n">
        <v>0.143</v>
      </c>
    </row>
    <row r="1572" spans="1:13">
      <c r="A1572" s="1">
        <f>HYPERLINK("http://www.twitter.com/NathanBLawrence/status/988263636731940869", "988263636731940869")</f>
        <v/>
      </c>
      <c r="B1572" s="2" t="n">
        <v>43213.15956018519</v>
      </c>
      <c r="C1572" t="n">
        <v>1</v>
      </c>
      <c r="D1572" t="n">
        <v>1</v>
      </c>
      <c r="E1572" t="s">
        <v>1562</v>
      </c>
      <c r="F1572" t="s"/>
      <c r="G1572" t="s"/>
      <c r="H1572" t="s"/>
      <c r="I1572" t="s"/>
      <c r="J1572" t="n">
        <v>0.4588</v>
      </c>
      <c r="K1572" t="n">
        <v>0</v>
      </c>
      <c r="L1572" t="n">
        <v>0.6919999999999999</v>
      </c>
      <c r="M1572" t="n">
        <v>0.308</v>
      </c>
    </row>
    <row r="1573" spans="1:13">
      <c r="A1573" s="1">
        <f>HYPERLINK("http://www.twitter.com/NathanBLawrence/status/988263104172707840", "988263104172707840")</f>
        <v/>
      </c>
      <c r="B1573" s="2" t="n">
        <v>43213.15809027778</v>
      </c>
      <c r="C1573" t="n">
        <v>0</v>
      </c>
      <c r="D1573" t="n">
        <v>6</v>
      </c>
      <c r="E1573" t="s">
        <v>1563</v>
      </c>
      <c r="F1573" t="s"/>
      <c r="G1573" t="s"/>
      <c r="H1573" t="s"/>
      <c r="I1573" t="s"/>
      <c r="J1573" t="n">
        <v>0</v>
      </c>
      <c r="K1573" t="n">
        <v>0</v>
      </c>
      <c r="L1573" t="n">
        <v>1</v>
      </c>
      <c r="M1573" t="n">
        <v>0</v>
      </c>
    </row>
    <row r="1574" spans="1:13">
      <c r="A1574" s="1">
        <f>HYPERLINK("http://www.twitter.com/NathanBLawrence/status/988263017849778176", "988263017849778176")</f>
        <v/>
      </c>
      <c r="B1574" s="2" t="n">
        <v>43213.15785879629</v>
      </c>
      <c r="C1574" t="n">
        <v>0</v>
      </c>
      <c r="D1574" t="n">
        <v>11</v>
      </c>
      <c r="E1574" t="s">
        <v>1351</v>
      </c>
      <c r="F1574">
        <f>HYPERLINK("http://pbs.twimg.com/media/DbbwoSAW0AU0VLA.jpg", "http://pbs.twimg.com/media/DbbwoSAW0AU0VLA.jpg")</f>
        <v/>
      </c>
      <c r="G1574" t="s"/>
      <c r="H1574" t="s"/>
      <c r="I1574" t="s"/>
      <c r="J1574" t="n">
        <v>0.8201000000000001</v>
      </c>
      <c r="K1574" t="n">
        <v>0</v>
      </c>
      <c r="L1574" t="n">
        <v>0.643</v>
      </c>
      <c r="M1574" t="n">
        <v>0.357</v>
      </c>
    </row>
    <row r="1575" spans="1:13">
      <c r="A1575" s="1">
        <f>HYPERLINK("http://www.twitter.com/NathanBLawrence/status/988262472544079872", "988262472544079872")</f>
        <v/>
      </c>
      <c r="B1575" s="2" t="n">
        <v>43213.15635416667</v>
      </c>
      <c r="C1575" t="n">
        <v>0</v>
      </c>
      <c r="D1575" t="n">
        <v>0</v>
      </c>
      <c r="E1575" t="s">
        <v>1564</v>
      </c>
      <c r="F1575" t="s"/>
      <c r="G1575" t="s"/>
      <c r="H1575" t="s"/>
      <c r="I1575" t="s"/>
      <c r="J1575" t="n">
        <v>-0.2732</v>
      </c>
      <c r="K1575" t="n">
        <v>0.259</v>
      </c>
      <c r="L1575" t="n">
        <v>0.741</v>
      </c>
      <c r="M1575" t="n">
        <v>0</v>
      </c>
    </row>
    <row r="1576" spans="1:13">
      <c r="A1576" s="1">
        <f>HYPERLINK("http://www.twitter.com/NathanBLawrence/status/988195983455670272", "988195983455670272")</f>
        <v/>
      </c>
      <c r="B1576" s="2" t="n">
        <v>43212.97287037037</v>
      </c>
      <c r="C1576" t="n">
        <v>0</v>
      </c>
      <c r="D1576" t="n">
        <v>8</v>
      </c>
      <c r="E1576" t="s">
        <v>1565</v>
      </c>
      <c r="F1576" t="s"/>
      <c r="G1576" t="s"/>
      <c r="H1576" t="s"/>
      <c r="I1576" t="s"/>
      <c r="J1576" t="n">
        <v>0.128</v>
      </c>
      <c r="K1576" t="n">
        <v>0.097</v>
      </c>
      <c r="L1576" t="n">
        <v>0.753</v>
      </c>
      <c r="M1576" t="n">
        <v>0.151</v>
      </c>
    </row>
    <row r="1577" spans="1:13">
      <c r="A1577" s="1">
        <f>HYPERLINK("http://www.twitter.com/NathanBLawrence/status/988193616370774018", "988193616370774018")</f>
        <v/>
      </c>
      <c r="B1577" s="2" t="n">
        <v>43212.96634259259</v>
      </c>
      <c r="C1577" t="n">
        <v>0</v>
      </c>
      <c r="D1577" t="n">
        <v>0</v>
      </c>
      <c r="E1577" t="s">
        <v>1566</v>
      </c>
      <c r="F1577" t="s"/>
      <c r="G1577" t="s"/>
      <c r="H1577" t="s"/>
      <c r="I1577" t="s"/>
      <c r="J1577" t="n">
        <v>0</v>
      </c>
      <c r="K1577" t="n">
        <v>0</v>
      </c>
      <c r="L1577" t="n">
        <v>1</v>
      </c>
      <c r="M1577" t="n">
        <v>0</v>
      </c>
    </row>
    <row r="1578" spans="1:13">
      <c r="A1578" s="1">
        <f>HYPERLINK("http://www.twitter.com/NathanBLawrence/status/988178388551634944", "988178388551634944")</f>
        <v/>
      </c>
      <c r="B1578" s="2" t="n">
        <v>43212.92431712963</v>
      </c>
      <c r="C1578" t="n">
        <v>0</v>
      </c>
      <c r="D1578" t="n">
        <v>1079</v>
      </c>
      <c r="E1578" t="s">
        <v>1567</v>
      </c>
      <c r="F1578">
        <f>HYPERLINK("http://pbs.twimg.com/media/DbakgjjWkAE924f.jpg", "http://pbs.twimg.com/media/DbakgjjWkAE924f.jpg")</f>
        <v/>
      </c>
      <c r="G1578" t="s"/>
      <c r="H1578" t="s"/>
      <c r="I1578" t="s"/>
      <c r="J1578" t="n">
        <v>-0.128</v>
      </c>
      <c r="K1578" t="n">
        <v>0.064</v>
      </c>
      <c r="L1578" t="n">
        <v>0.9360000000000001</v>
      </c>
      <c r="M1578" t="n">
        <v>0</v>
      </c>
    </row>
    <row r="1579" spans="1:13">
      <c r="A1579" s="1">
        <f>HYPERLINK("http://www.twitter.com/NathanBLawrence/status/988178325859389440", "988178325859389440")</f>
        <v/>
      </c>
      <c r="B1579" s="2" t="n">
        <v>43212.92415509259</v>
      </c>
      <c r="C1579" t="n">
        <v>0</v>
      </c>
      <c r="D1579" t="n">
        <v>3</v>
      </c>
      <c r="E1579" t="s">
        <v>1568</v>
      </c>
      <c r="F1579">
        <f>HYPERLINK("http://pbs.twimg.com/media/DZFWQ3HUMAA7LE8.jpg", "http://pbs.twimg.com/media/DZFWQ3HUMAA7LE8.jpg")</f>
        <v/>
      </c>
      <c r="G1579" t="s"/>
      <c r="H1579" t="s"/>
      <c r="I1579" t="s"/>
      <c r="J1579" t="n">
        <v>0</v>
      </c>
      <c r="K1579" t="n">
        <v>0</v>
      </c>
      <c r="L1579" t="n">
        <v>1</v>
      </c>
      <c r="M1579" t="n">
        <v>0</v>
      </c>
    </row>
    <row r="1580" spans="1:13">
      <c r="A1580" s="1">
        <f>HYPERLINK("http://www.twitter.com/NathanBLawrence/status/988178091649454080", "988178091649454080")</f>
        <v/>
      </c>
      <c r="B1580" s="2" t="n">
        <v>43212.92350694445</v>
      </c>
      <c r="C1580" t="n">
        <v>0</v>
      </c>
      <c r="D1580" t="n">
        <v>62</v>
      </c>
      <c r="E1580" t="s">
        <v>1569</v>
      </c>
      <c r="F1580" t="s"/>
      <c r="G1580" t="s"/>
      <c r="H1580" t="s"/>
      <c r="I1580" t="s"/>
      <c r="J1580" t="n">
        <v>0</v>
      </c>
      <c r="K1580" t="n">
        <v>0</v>
      </c>
      <c r="L1580" t="n">
        <v>1</v>
      </c>
      <c r="M1580" t="n">
        <v>0</v>
      </c>
    </row>
    <row r="1581" spans="1:13">
      <c r="A1581" s="1">
        <f>HYPERLINK("http://www.twitter.com/NathanBLawrence/status/988178047827349506", "988178047827349506")</f>
        <v/>
      </c>
      <c r="B1581" s="2" t="n">
        <v>43212.92337962963</v>
      </c>
      <c r="C1581" t="n">
        <v>0</v>
      </c>
      <c r="D1581" t="n">
        <v>30</v>
      </c>
      <c r="E1581" t="s">
        <v>1570</v>
      </c>
      <c r="F1581" t="s"/>
      <c r="G1581" t="s"/>
      <c r="H1581" t="s"/>
      <c r="I1581" t="s"/>
      <c r="J1581" t="n">
        <v>-0.2023</v>
      </c>
      <c r="K1581" t="n">
        <v>0.093</v>
      </c>
      <c r="L1581" t="n">
        <v>0.847</v>
      </c>
      <c r="M1581" t="n">
        <v>0.059</v>
      </c>
    </row>
    <row r="1582" spans="1:13">
      <c r="A1582" s="1">
        <f>HYPERLINK("http://www.twitter.com/NathanBLawrence/status/988177875311513600", "988177875311513600")</f>
        <v/>
      </c>
      <c r="B1582" s="2" t="n">
        <v>43212.92290509259</v>
      </c>
      <c r="C1582" t="n">
        <v>0</v>
      </c>
      <c r="D1582" t="n">
        <v>251</v>
      </c>
      <c r="E1582" t="s">
        <v>1571</v>
      </c>
      <c r="F1582" t="s"/>
      <c r="G1582" t="s"/>
      <c r="H1582" t="s"/>
      <c r="I1582" t="s"/>
      <c r="J1582" t="n">
        <v>-0.5106000000000001</v>
      </c>
      <c r="K1582" t="n">
        <v>0.177</v>
      </c>
      <c r="L1582" t="n">
        <v>0.823</v>
      </c>
      <c r="M1582" t="n">
        <v>0</v>
      </c>
    </row>
    <row r="1583" spans="1:13">
      <c r="A1583" s="1">
        <f>HYPERLINK("http://www.twitter.com/NathanBLawrence/status/988177856260902914", "988177856260902914")</f>
        <v/>
      </c>
      <c r="B1583" s="2" t="n">
        <v>43212.92285879629</v>
      </c>
      <c r="C1583" t="n">
        <v>0</v>
      </c>
      <c r="D1583" t="n">
        <v>79</v>
      </c>
      <c r="E1583" t="s">
        <v>1572</v>
      </c>
      <c r="F1583" t="s"/>
      <c r="G1583" t="s"/>
      <c r="H1583" t="s"/>
      <c r="I1583" t="s"/>
      <c r="J1583" t="n">
        <v>-0.1027</v>
      </c>
      <c r="K1583" t="n">
        <v>0.057</v>
      </c>
      <c r="L1583" t="n">
        <v>0.9429999999999999</v>
      </c>
      <c r="M1583" t="n">
        <v>0</v>
      </c>
    </row>
    <row r="1584" spans="1:13">
      <c r="A1584" s="1">
        <f>HYPERLINK("http://www.twitter.com/NathanBLawrence/status/988177836111486976", "988177836111486976")</f>
        <v/>
      </c>
      <c r="B1584" s="2" t="n">
        <v>43212.92280092592</v>
      </c>
      <c r="C1584" t="n">
        <v>0</v>
      </c>
      <c r="D1584" t="n">
        <v>1503</v>
      </c>
      <c r="E1584" t="s">
        <v>1573</v>
      </c>
      <c r="F1584">
        <f>HYPERLINK("http://pbs.twimg.com/media/DbaLTRFU0AAkgVx.jpg", "http://pbs.twimg.com/media/DbaLTRFU0AAkgVx.jpg")</f>
        <v/>
      </c>
      <c r="G1584">
        <f>HYPERLINK("http://pbs.twimg.com/media/DbaLURbV4AA9RaU.jpg", "http://pbs.twimg.com/media/DbaLURbV4AA9RaU.jpg")</f>
        <v/>
      </c>
      <c r="H1584" t="s"/>
      <c r="I1584" t="s"/>
      <c r="J1584" t="n">
        <v>0.5994</v>
      </c>
      <c r="K1584" t="n">
        <v>0</v>
      </c>
      <c r="L1584" t="n">
        <v>0.804</v>
      </c>
      <c r="M1584" t="n">
        <v>0.196</v>
      </c>
    </row>
    <row r="1585" spans="1:13">
      <c r="A1585" s="1">
        <f>HYPERLINK("http://www.twitter.com/NathanBLawrence/status/988177779685511168", "988177779685511168")</f>
        <v/>
      </c>
      <c r="B1585" s="2" t="n">
        <v>43212.92263888889</v>
      </c>
      <c r="C1585" t="n">
        <v>0</v>
      </c>
      <c r="D1585" t="n">
        <v>908</v>
      </c>
      <c r="E1585" t="s">
        <v>1574</v>
      </c>
      <c r="F1585">
        <f>HYPERLINK("http://pbs.twimg.com/media/DbaVETmVAAAFCtF.jpg", "http://pbs.twimg.com/media/DbaVETmVAAAFCtF.jpg")</f>
        <v/>
      </c>
      <c r="G1585">
        <f>HYPERLINK("http://pbs.twimg.com/media/DbaVEpIUQAA7_Bh.jpg", "http://pbs.twimg.com/media/DbaVEpIUQAA7_Bh.jpg")</f>
        <v/>
      </c>
      <c r="H1585" t="s"/>
      <c r="I1585" t="s"/>
      <c r="J1585" t="n">
        <v>0.7184</v>
      </c>
      <c r="K1585" t="n">
        <v>0.099</v>
      </c>
      <c r="L1585" t="n">
        <v>0.577</v>
      </c>
      <c r="M1585" t="n">
        <v>0.324</v>
      </c>
    </row>
    <row r="1586" spans="1:13">
      <c r="A1586" s="1">
        <f>HYPERLINK("http://www.twitter.com/NathanBLawrence/status/988177701830823937", "988177701830823937")</f>
        <v/>
      </c>
      <c r="B1586" s="2" t="n">
        <v>43212.92243055555</v>
      </c>
      <c r="C1586" t="n">
        <v>0</v>
      </c>
      <c r="D1586" t="n">
        <v>0</v>
      </c>
      <c r="E1586" t="s">
        <v>1575</v>
      </c>
      <c r="F1586" t="s"/>
      <c r="G1586" t="s"/>
      <c r="H1586" t="s"/>
      <c r="I1586" t="s"/>
      <c r="J1586" t="n">
        <v>0</v>
      </c>
      <c r="K1586" t="n">
        <v>0</v>
      </c>
      <c r="L1586" t="n">
        <v>1</v>
      </c>
      <c r="M1586" t="n">
        <v>0</v>
      </c>
    </row>
    <row r="1587" spans="1:13">
      <c r="A1587" s="1">
        <f>HYPERLINK("http://www.twitter.com/NathanBLawrence/status/988177580393156608", "988177580393156608")</f>
        <v/>
      </c>
      <c r="B1587" s="2" t="n">
        <v>43212.92209490741</v>
      </c>
      <c r="C1587" t="n">
        <v>0</v>
      </c>
      <c r="D1587" t="n">
        <v>119</v>
      </c>
      <c r="E1587" t="s">
        <v>1576</v>
      </c>
      <c r="F1587" t="s"/>
      <c r="G1587" t="s"/>
      <c r="H1587" t="s"/>
      <c r="I1587" t="s"/>
      <c r="J1587" t="n">
        <v>-0.7968</v>
      </c>
      <c r="K1587" t="n">
        <v>0.31</v>
      </c>
      <c r="L1587" t="n">
        <v>0.607</v>
      </c>
      <c r="M1587" t="n">
        <v>0.083</v>
      </c>
    </row>
    <row r="1588" spans="1:13">
      <c r="A1588" s="1">
        <f>HYPERLINK("http://www.twitter.com/NathanBLawrence/status/988177459446272002", "988177459446272002")</f>
        <v/>
      </c>
      <c r="B1588" s="2" t="n">
        <v>43212.92175925926</v>
      </c>
      <c r="C1588" t="n">
        <v>0</v>
      </c>
      <c r="D1588" t="n">
        <v>10350</v>
      </c>
      <c r="E1588" t="s">
        <v>1577</v>
      </c>
      <c r="F1588" t="s"/>
      <c r="G1588" t="s"/>
      <c r="H1588" t="s"/>
      <c r="I1588" t="s"/>
      <c r="J1588" t="n">
        <v>0.1027</v>
      </c>
      <c r="K1588" t="n">
        <v>0</v>
      </c>
      <c r="L1588" t="n">
        <v>0.896</v>
      </c>
      <c r="M1588" t="n">
        <v>0.104</v>
      </c>
    </row>
    <row r="1589" spans="1:13">
      <c r="A1589" s="1">
        <f>HYPERLINK("http://www.twitter.com/NathanBLawrence/status/988177432602652672", "988177432602652672")</f>
        <v/>
      </c>
      <c r="B1589" s="2" t="n">
        <v>43212.92168981482</v>
      </c>
      <c r="C1589" t="n">
        <v>0</v>
      </c>
      <c r="D1589" t="n">
        <v>0</v>
      </c>
      <c r="E1589" t="s">
        <v>1578</v>
      </c>
      <c r="F1589" t="s"/>
      <c r="G1589" t="s"/>
      <c r="H1589" t="s"/>
      <c r="I1589" t="s"/>
      <c r="J1589" t="n">
        <v>0</v>
      </c>
      <c r="K1589" t="n">
        <v>0</v>
      </c>
      <c r="L1589" t="n">
        <v>1</v>
      </c>
      <c r="M1589" t="n">
        <v>0</v>
      </c>
    </row>
    <row r="1590" spans="1:13">
      <c r="A1590" s="1">
        <f>HYPERLINK("http://www.twitter.com/NathanBLawrence/status/988176971870990336", "988176971870990336")</f>
        <v/>
      </c>
      <c r="B1590" s="2" t="n">
        <v>43212.92041666667</v>
      </c>
      <c r="C1590" t="n">
        <v>0</v>
      </c>
      <c r="D1590" t="n">
        <v>81242</v>
      </c>
      <c r="E1590" t="s">
        <v>1579</v>
      </c>
      <c r="F1590" t="s"/>
      <c r="G1590" t="s"/>
      <c r="H1590" t="s"/>
      <c r="I1590" t="s"/>
      <c r="J1590" t="n">
        <v>-0.5106000000000001</v>
      </c>
      <c r="K1590" t="n">
        <v>0.398</v>
      </c>
      <c r="L1590" t="n">
        <v>0.602</v>
      </c>
      <c r="M1590" t="n">
        <v>0</v>
      </c>
    </row>
    <row r="1591" spans="1:13">
      <c r="A1591" s="1">
        <f>HYPERLINK("http://www.twitter.com/NathanBLawrence/status/988164731138707458", "988164731138707458")</f>
        <v/>
      </c>
      <c r="B1591" s="2" t="n">
        <v>43212.88663194444</v>
      </c>
      <c r="C1591" t="n">
        <v>0</v>
      </c>
      <c r="D1591" t="n">
        <v>330</v>
      </c>
      <c r="E1591" t="s">
        <v>1580</v>
      </c>
      <c r="F1591">
        <f>HYPERLINK("https://video.twimg.com/amplify_video/987861260527128577/vid/1280x720/PDOc6fkkiCLQ9aDw.mp4?tag=6", "https://video.twimg.com/amplify_video/987861260527128577/vid/1280x720/PDOc6fkkiCLQ9aDw.mp4?tag=6")</f>
        <v/>
      </c>
      <c r="G1591" t="s"/>
      <c r="H1591" t="s"/>
      <c r="I1591" t="s"/>
      <c r="J1591" t="n">
        <v>-0.4939</v>
      </c>
      <c r="K1591" t="n">
        <v>0.167</v>
      </c>
      <c r="L1591" t="n">
        <v>0.833</v>
      </c>
      <c r="M1591" t="n">
        <v>0</v>
      </c>
    </row>
    <row r="1592" spans="1:13">
      <c r="A1592" s="1">
        <f>HYPERLINK("http://www.twitter.com/NathanBLawrence/status/988164716869619714", "988164716869619714")</f>
        <v/>
      </c>
      <c r="B1592" s="2" t="n">
        <v>43212.88659722222</v>
      </c>
      <c r="C1592" t="n">
        <v>0</v>
      </c>
      <c r="D1592" t="n">
        <v>378</v>
      </c>
      <c r="E1592" t="s">
        <v>1581</v>
      </c>
      <c r="F1592" t="s"/>
      <c r="G1592" t="s"/>
      <c r="H1592" t="s"/>
      <c r="I1592" t="s"/>
      <c r="J1592" t="n">
        <v>-0.4588</v>
      </c>
      <c r="K1592" t="n">
        <v>0.176</v>
      </c>
      <c r="L1592" t="n">
        <v>0.824</v>
      </c>
      <c r="M1592" t="n">
        <v>0</v>
      </c>
    </row>
    <row r="1593" spans="1:13">
      <c r="A1593" s="1">
        <f>HYPERLINK("http://www.twitter.com/NathanBLawrence/status/988164474245967872", "988164474245967872")</f>
        <v/>
      </c>
      <c r="B1593" s="2" t="n">
        <v>43212.88592592593</v>
      </c>
      <c r="C1593" t="n">
        <v>0</v>
      </c>
      <c r="D1593" t="n">
        <v>130</v>
      </c>
      <c r="E1593" t="s">
        <v>1582</v>
      </c>
      <c r="F1593" t="s"/>
      <c r="G1593" t="s"/>
      <c r="H1593" t="s"/>
      <c r="I1593" t="s"/>
      <c r="J1593" t="n">
        <v>0.4019</v>
      </c>
      <c r="K1593" t="n">
        <v>0</v>
      </c>
      <c r="L1593" t="n">
        <v>0.863</v>
      </c>
      <c r="M1593" t="n">
        <v>0.137</v>
      </c>
    </row>
    <row r="1594" spans="1:13">
      <c r="A1594" s="1">
        <f>HYPERLINK("http://www.twitter.com/NathanBLawrence/status/988164361507262464", "988164361507262464")</f>
        <v/>
      </c>
      <c r="B1594" s="2" t="n">
        <v>43212.88561342593</v>
      </c>
      <c r="C1594" t="n">
        <v>0</v>
      </c>
      <c r="D1594" t="n">
        <v>444</v>
      </c>
      <c r="E1594" t="s">
        <v>1583</v>
      </c>
      <c r="F1594" t="s"/>
      <c r="G1594" t="s"/>
      <c r="H1594" t="s"/>
      <c r="I1594" t="s"/>
      <c r="J1594" t="n">
        <v>0.4588</v>
      </c>
      <c r="K1594" t="n">
        <v>0.077</v>
      </c>
      <c r="L1594" t="n">
        <v>0.739</v>
      </c>
      <c r="M1594" t="n">
        <v>0.183</v>
      </c>
    </row>
    <row r="1595" spans="1:13">
      <c r="A1595" s="1">
        <f>HYPERLINK("http://www.twitter.com/NathanBLawrence/status/988164274815160323", "988164274815160323")</f>
        <v/>
      </c>
      <c r="B1595" s="2" t="n">
        <v>43212.88537037037</v>
      </c>
      <c r="C1595" t="n">
        <v>0</v>
      </c>
      <c r="D1595" t="n">
        <v>82874</v>
      </c>
      <c r="E1595" t="s">
        <v>1584</v>
      </c>
      <c r="F1595" t="s"/>
      <c r="G1595" t="s"/>
      <c r="H1595" t="s"/>
      <c r="I1595" t="s"/>
      <c r="J1595" t="n">
        <v>0.4767</v>
      </c>
      <c r="K1595" t="n">
        <v>0</v>
      </c>
      <c r="L1595" t="n">
        <v>0.8070000000000001</v>
      </c>
      <c r="M1595" t="n">
        <v>0.193</v>
      </c>
    </row>
    <row r="1596" spans="1:13">
      <c r="A1596" s="1">
        <f>HYPERLINK("http://www.twitter.com/NathanBLawrence/status/988142147063959553", "988142147063959553")</f>
        <v/>
      </c>
      <c r="B1596" s="2" t="n">
        <v>43212.82431712963</v>
      </c>
      <c r="C1596" t="n">
        <v>0</v>
      </c>
      <c r="D1596" t="n">
        <v>0</v>
      </c>
      <c r="E1596" t="s">
        <v>1585</v>
      </c>
      <c r="F1596" t="s"/>
      <c r="G1596" t="s"/>
      <c r="H1596" t="s"/>
      <c r="I1596" t="s"/>
      <c r="J1596" t="n">
        <v>-0.6956</v>
      </c>
      <c r="K1596" t="n">
        <v>0.139</v>
      </c>
      <c r="L1596" t="n">
        <v>0.802</v>
      </c>
      <c r="M1596" t="n">
        <v>0.059</v>
      </c>
    </row>
    <row r="1597" spans="1:13">
      <c r="A1597" s="1">
        <f>HYPERLINK("http://www.twitter.com/NathanBLawrence/status/988140896448376832", "988140896448376832")</f>
        <v/>
      </c>
      <c r="B1597" s="2" t="n">
        <v>43212.82086805555</v>
      </c>
      <c r="C1597" t="n">
        <v>0</v>
      </c>
      <c r="D1597" t="n">
        <v>0</v>
      </c>
      <c r="E1597" t="s">
        <v>1586</v>
      </c>
      <c r="F1597" t="s"/>
      <c r="G1597" t="s"/>
      <c r="H1597" t="s"/>
      <c r="I1597" t="s"/>
      <c r="J1597" t="n">
        <v>0.128</v>
      </c>
      <c r="K1597" t="n">
        <v>0.105</v>
      </c>
      <c r="L1597" t="n">
        <v>0.8090000000000001</v>
      </c>
      <c r="M1597" t="n">
        <v>0.08599999999999999</v>
      </c>
    </row>
    <row r="1598" spans="1:13">
      <c r="A1598" s="1">
        <f>HYPERLINK("http://www.twitter.com/NathanBLawrence/status/988140406054555649", "988140406054555649")</f>
        <v/>
      </c>
      <c r="B1598" s="2" t="n">
        <v>43212.81951388889</v>
      </c>
      <c r="C1598" t="n">
        <v>0</v>
      </c>
      <c r="D1598" t="n">
        <v>0</v>
      </c>
      <c r="E1598" t="s">
        <v>1587</v>
      </c>
      <c r="F1598" t="s"/>
      <c r="G1598" t="s"/>
      <c r="H1598" t="s"/>
      <c r="I1598" t="s"/>
      <c r="J1598" t="n">
        <v>-0.1088</v>
      </c>
      <c r="K1598" t="n">
        <v>0.1</v>
      </c>
      <c r="L1598" t="n">
        <v>0.8129999999999999</v>
      </c>
      <c r="M1598" t="n">
        <v>0.08699999999999999</v>
      </c>
    </row>
    <row r="1599" spans="1:13">
      <c r="A1599" s="1">
        <f>HYPERLINK("http://www.twitter.com/NathanBLawrence/status/988140220624310272", "988140220624310272")</f>
        <v/>
      </c>
      <c r="B1599" s="2" t="n">
        <v>43212.81900462963</v>
      </c>
      <c r="C1599" t="n">
        <v>0</v>
      </c>
      <c r="D1599" t="n">
        <v>0</v>
      </c>
      <c r="E1599" t="s">
        <v>1588</v>
      </c>
      <c r="F1599" t="s"/>
      <c r="G1599" t="s"/>
      <c r="H1599" t="s"/>
      <c r="I1599" t="s"/>
      <c r="J1599" t="n">
        <v>-0.6369</v>
      </c>
      <c r="K1599" t="n">
        <v>0.124</v>
      </c>
      <c r="L1599" t="n">
        <v>0.876</v>
      </c>
      <c r="M1599" t="n">
        <v>0</v>
      </c>
    </row>
    <row r="1600" spans="1:13">
      <c r="A1600" s="1">
        <f>HYPERLINK("http://www.twitter.com/NathanBLawrence/status/988139812338225153", "988139812338225153")</f>
        <v/>
      </c>
      <c r="B1600" s="2" t="n">
        <v>43212.81787037037</v>
      </c>
      <c r="C1600" t="n">
        <v>0</v>
      </c>
      <c r="D1600" t="n">
        <v>0</v>
      </c>
      <c r="E1600" t="s">
        <v>1589</v>
      </c>
      <c r="F1600" t="s"/>
      <c r="G1600" t="s"/>
      <c r="H1600" t="s"/>
      <c r="I1600" t="s"/>
      <c r="J1600" t="n">
        <v>0.4685</v>
      </c>
      <c r="K1600" t="n">
        <v>0.043</v>
      </c>
      <c r="L1600" t="n">
        <v>0.841</v>
      </c>
      <c r="M1600" t="n">
        <v>0.116</v>
      </c>
    </row>
    <row r="1601" spans="1:13">
      <c r="A1601" s="1">
        <f>HYPERLINK("http://www.twitter.com/NathanBLawrence/status/988139329959727108", "988139329959727108")</f>
        <v/>
      </c>
      <c r="B1601" s="2" t="n">
        <v>43212.81653935185</v>
      </c>
      <c r="C1601" t="n">
        <v>0</v>
      </c>
      <c r="D1601" t="n">
        <v>0</v>
      </c>
      <c r="E1601" t="s">
        <v>1590</v>
      </c>
      <c r="F1601" t="s"/>
      <c r="G1601" t="s"/>
      <c r="H1601" t="s"/>
      <c r="I1601" t="s"/>
      <c r="J1601" t="n">
        <v>0</v>
      </c>
      <c r="K1601" t="n">
        <v>0</v>
      </c>
      <c r="L1601" t="n">
        <v>1</v>
      </c>
      <c r="M1601" t="n">
        <v>0</v>
      </c>
    </row>
    <row r="1602" spans="1:13">
      <c r="A1602" s="1">
        <f>HYPERLINK("http://www.twitter.com/NathanBLawrence/status/988138123858149381", "988138123858149381")</f>
        <v/>
      </c>
      <c r="B1602" s="2" t="n">
        <v>43212.81321759259</v>
      </c>
      <c r="C1602" t="n">
        <v>0</v>
      </c>
      <c r="D1602" t="n">
        <v>0</v>
      </c>
      <c r="E1602" t="s">
        <v>1591</v>
      </c>
      <c r="F1602" t="s"/>
      <c r="G1602" t="s"/>
      <c r="H1602" t="s"/>
      <c r="I1602" t="s"/>
      <c r="J1602" t="n">
        <v>-0.1901</v>
      </c>
      <c r="K1602" t="n">
        <v>0.079</v>
      </c>
      <c r="L1602" t="n">
        <v>0.88</v>
      </c>
      <c r="M1602" t="n">
        <v>0.041</v>
      </c>
    </row>
    <row r="1603" spans="1:13">
      <c r="A1603" s="1">
        <f>HYPERLINK("http://www.twitter.com/NathanBLawrence/status/988121879193047041", "988121879193047041")</f>
        <v/>
      </c>
      <c r="B1603" s="2" t="n">
        <v>43212.7683912037</v>
      </c>
      <c r="C1603" t="n">
        <v>0</v>
      </c>
      <c r="D1603" t="n">
        <v>5</v>
      </c>
      <c r="E1603" t="s">
        <v>1592</v>
      </c>
      <c r="F1603" t="s"/>
      <c r="G1603" t="s"/>
      <c r="H1603" t="s"/>
      <c r="I1603" t="s"/>
      <c r="J1603" t="n">
        <v>-0.5719</v>
      </c>
      <c r="K1603" t="n">
        <v>0.227</v>
      </c>
      <c r="L1603" t="n">
        <v>0.773</v>
      </c>
      <c r="M1603" t="n">
        <v>0</v>
      </c>
    </row>
    <row r="1604" spans="1:13">
      <c r="A1604" s="1">
        <f>HYPERLINK("http://www.twitter.com/NathanBLawrence/status/988121378569285634", "988121378569285634")</f>
        <v/>
      </c>
      <c r="B1604" s="2" t="n">
        <v>43212.76700231482</v>
      </c>
      <c r="C1604" t="n">
        <v>0</v>
      </c>
      <c r="D1604" t="n">
        <v>7</v>
      </c>
      <c r="E1604" t="s">
        <v>1593</v>
      </c>
      <c r="F1604" t="s"/>
      <c r="G1604" t="s"/>
      <c r="H1604" t="s"/>
      <c r="I1604" t="s"/>
      <c r="J1604" t="n">
        <v>-0.594</v>
      </c>
      <c r="K1604" t="n">
        <v>0.149</v>
      </c>
      <c r="L1604" t="n">
        <v>0.851</v>
      </c>
      <c r="M1604" t="n">
        <v>0</v>
      </c>
    </row>
    <row r="1605" spans="1:13">
      <c r="A1605" s="1">
        <f>HYPERLINK("http://www.twitter.com/NathanBLawrence/status/988121279596236802", "988121279596236802")</f>
        <v/>
      </c>
      <c r="B1605" s="2" t="n">
        <v>43212.76673611111</v>
      </c>
      <c r="C1605" t="n">
        <v>0</v>
      </c>
      <c r="D1605" t="n">
        <v>5</v>
      </c>
      <c r="E1605" t="s">
        <v>1594</v>
      </c>
      <c r="F1605" t="s"/>
      <c r="G1605" t="s"/>
      <c r="H1605" t="s"/>
      <c r="I1605" t="s"/>
      <c r="J1605" t="n">
        <v>-0.743</v>
      </c>
      <c r="K1605" t="n">
        <v>0.279</v>
      </c>
      <c r="L1605" t="n">
        <v>0.679</v>
      </c>
      <c r="M1605" t="n">
        <v>0.042</v>
      </c>
    </row>
    <row r="1606" spans="1:13">
      <c r="A1606" s="1">
        <f>HYPERLINK("http://www.twitter.com/NathanBLawrence/status/988121261510455297", "988121261510455297")</f>
        <v/>
      </c>
      <c r="B1606" s="2" t="n">
        <v>43212.76667824074</v>
      </c>
      <c r="C1606" t="n">
        <v>0</v>
      </c>
      <c r="D1606" t="n">
        <v>9</v>
      </c>
      <c r="E1606" t="s">
        <v>1595</v>
      </c>
      <c r="F1606" t="s"/>
      <c r="G1606" t="s"/>
      <c r="H1606" t="s"/>
      <c r="I1606" t="s"/>
      <c r="J1606" t="n">
        <v>0.6908</v>
      </c>
      <c r="K1606" t="n">
        <v>0</v>
      </c>
      <c r="L1606" t="n">
        <v>0.678</v>
      </c>
      <c r="M1606" t="n">
        <v>0.322</v>
      </c>
    </row>
    <row r="1607" spans="1:13">
      <c r="A1607" s="1">
        <f>HYPERLINK("http://www.twitter.com/NathanBLawrence/status/988121222851547136", "988121222851547136")</f>
        <v/>
      </c>
      <c r="B1607" s="2" t="n">
        <v>43212.76657407408</v>
      </c>
      <c r="C1607" t="n">
        <v>0</v>
      </c>
      <c r="D1607" t="n">
        <v>5</v>
      </c>
      <c r="E1607" t="s">
        <v>1596</v>
      </c>
      <c r="F1607" t="s"/>
      <c r="G1607" t="s"/>
      <c r="H1607" t="s"/>
      <c r="I1607" t="s"/>
      <c r="J1607" t="n">
        <v>0.5034</v>
      </c>
      <c r="K1607" t="n">
        <v>0.172</v>
      </c>
      <c r="L1607" t="n">
        <v>0.583</v>
      </c>
      <c r="M1607" t="n">
        <v>0.245</v>
      </c>
    </row>
    <row r="1608" spans="1:13">
      <c r="A1608" s="1">
        <f>HYPERLINK("http://www.twitter.com/NathanBLawrence/status/988121079628656641", "988121079628656641")</f>
        <v/>
      </c>
      <c r="B1608" s="2" t="n">
        <v>43212.76618055555</v>
      </c>
      <c r="C1608" t="n">
        <v>0</v>
      </c>
      <c r="D1608" t="n">
        <v>7</v>
      </c>
      <c r="E1608" t="s">
        <v>1597</v>
      </c>
      <c r="F1608" t="s"/>
      <c r="G1608" t="s"/>
      <c r="H1608" t="s"/>
      <c r="I1608" t="s"/>
      <c r="J1608" t="n">
        <v>-0.6381</v>
      </c>
      <c r="K1608" t="n">
        <v>0.199</v>
      </c>
      <c r="L1608" t="n">
        <v>0.801</v>
      </c>
      <c r="M1608" t="n">
        <v>0</v>
      </c>
    </row>
    <row r="1609" spans="1:13">
      <c r="A1609" s="1">
        <f>HYPERLINK("http://www.twitter.com/NathanBLawrence/status/988120950733508608", "988120950733508608")</f>
        <v/>
      </c>
      <c r="B1609" s="2" t="n">
        <v>43212.76582175926</v>
      </c>
      <c r="C1609" t="n">
        <v>0</v>
      </c>
      <c r="D1609" t="n">
        <v>5</v>
      </c>
      <c r="E1609" t="s">
        <v>1598</v>
      </c>
      <c r="F1609" t="s"/>
      <c r="G1609" t="s"/>
      <c r="H1609" t="s"/>
      <c r="I1609" t="s"/>
      <c r="J1609" t="n">
        <v>0.5719</v>
      </c>
      <c r="K1609" t="n">
        <v>0</v>
      </c>
      <c r="L1609" t="n">
        <v>0.793</v>
      </c>
      <c r="M1609" t="n">
        <v>0.207</v>
      </c>
    </row>
    <row r="1610" spans="1:13">
      <c r="A1610" s="1">
        <f>HYPERLINK("http://www.twitter.com/NathanBLawrence/status/988120859389939712", "988120859389939712")</f>
        <v/>
      </c>
      <c r="B1610" s="2" t="n">
        <v>43212.76556712963</v>
      </c>
      <c r="C1610" t="n">
        <v>0</v>
      </c>
      <c r="D1610" t="n">
        <v>8</v>
      </c>
      <c r="E1610" t="s">
        <v>1599</v>
      </c>
      <c r="F1610" t="s"/>
      <c r="G1610" t="s"/>
      <c r="H1610" t="s"/>
      <c r="I1610" t="s"/>
      <c r="J1610" t="n">
        <v>0</v>
      </c>
      <c r="K1610" t="n">
        <v>0</v>
      </c>
      <c r="L1610" t="n">
        <v>1</v>
      </c>
      <c r="M1610" t="n">
        <v>0</v>
      </c>
    </row>
    <row r="1611" spans="1:13">
      <c r="A1611" s="1">
        <f>HYPERLINK("http://www.twitter.com/NathanBLawrence/status/988120780151156736", "988120780151156736")</f>
        <v/>
      </c>
      <c r="B1611" s="2" t="n">
        <v>43212.7653587963</v>
      </c>
      <c r="C1611" t="n">
        <v>0</v>
      </c>
      <c r="D1611" t="n">
        <v>9</v>
      </c>
      <c r="E1611" t="s">
        <v>1600</v>
      </c>
      <c r="F1611">
        <f>HYPERLINK("http://pbs.twimg.com/media/DbZx4fSXUAMFCuK.jpg", "http://pbs.twimg.com/media/DbZx4fSXUAMFCuK.jpg")</f>
        <v/>
      </c>
      <c r="G1611" t="s"/>
      <c r="H1611" t="s"/>
      <c r="I1611" t="s"/>
      <c r="J1611" t="n">
        <v>-0.4404</v>
      </c>
      <c r="K1611" t="n">
        <v>0.172</v>
      </c>
      <c r="L1611" t="n">
        <v>0.828</v>
      </c>
      <c r="M1611" t="n">
        <v>0</v>
      </c>
    </row>
    <row r="1612" spans="1:13">
      <c r="A1612" s="1">
        <f>HYPERLINK("http://www.twitter.com/NathanBLawrence/status/988120751453757442", "988120751453757442")</f>
        <v/>
      </c>
      <c r="B1612" s="2" t="n">
        <v>43212.76527777778</v>
      </c>
      <c r="C1612" t="n">
        <v>0</v>
      </c>
      <c r="D1612" t="n">
        <v>8</v>
      </c>
      <c r="E1612" t="s">
        <v>1601</v>
      </c>
      <c r="F1612" t="s"/>
      <c r="G1612" t="s"/>
      <c r="H1612" t="s"/>
      <c r="I1612" t="s"/>
      <c r="J1612" t="n">
        <v>-0.4019</v>
      </c>
      <c r="K1612" t="n">
        <v>0.207</v>
      </c>
      <c r="L1612" t="n">
        <v>0.6899999999999999</v>
      </c>
      <c r="M1612" t="n">
        <v>0.103</v>
      </c>
    </row>
    <row r="1613" spans="1:13">
      <c r="A1613" s="1">
        <f>HYPERLINK("http://www.twitter.com/NathanBLawrence/status/988120719723847681", "988120719723847681")</f>
        <v/>
      </c>
      <c r="B1613" s="2" t="n">
        <v>43212.76518518518</v>
      </c>
      <c r="C1613" t="n">
        <v>0</v>
      </c>
      <c r="D1613" t="n">
        <v>5</v>
      </c>
      <c r="E1613" t="s">
        <v>1602</v>
      </c>
      <c r="F1613">
        <f>HYPERLINK("http://pbs.twimg.com/media/DbZnbP9X4AA8FSD.jpg", "http://pbs.twimg.com/media/DbZnbP9X4AA8FSD.jpg")</f>
        <v/>
      </c>
      <c r="G1613" t="s"/>
      <c r="H1613" t="s"/>
      <c r="I1613" t="s"/>
      <c r="J1613" t="n">
        <v>0.4404</v>
      </c>
      <c r="K1613" t="n">
        <v>0</v>
      </c>
      <c r="L1613" t="n">
        <v>0.838</v>
      </c>
      <c r="M1613" t="n">
        <v>0.162</v>
      </c>
    </row>
    <row r="1614" spans="1:13">
      <c r="A1614" s="1">
        <f>HYPERLINK("http://www.twitter.com/NathanBLawrence/status/988120585183092736", "988120585183092736")</f>
        <v/>
      </c>
      <c r="B1614" s="2" t="n">
        <v>43212.76481481481</v>
      </c>
      <c r="C1614" t="n">
        <v>0</v>
      </c>
      <c r="D1614" t="n">
        <v>8</v>
      </c>
      <c r="E1614" t="s">
        <v>1603</v>
      </c>
      <c r="F1614" t="s"/>
      <c r="G1614" t="s"/>
      <c r="H1614" t="s"/>
      <c r="I1614" t="s"/>
      <c r="J1614" t="n">
        <v>0</v>
      </c>
      <c r="K1614" t="n">
        <v>0</v>
      </c>
      <c r="L1614" t="n">
        <v>1</v>
      </c>
      <c r="M1614" t="n">
        <v>0</v>
      </c>
    </row>
    <row r="1615" spans="1:13">
      <c r="A1615" s="1">
        <f>HYPERLINK("http://www.twitter.com/NathanBLawrence/status/988120551150505985", "988120551150505985")</f>
        <v/>
      </c>
      <c r="B1615" s="2" t="n">
        <v>43212.76472222222</v>
      </c>
      <c r="C1615" t="n">
        <v>0</v>
      </c>
      <c r="D1615" t="n">
        <v>10</v>
      </c>
      <c r="E1615" t="s">
        <v>1604</v>
      </c>
      <c r="F1615" t="s"/>
      <c r="G1615" t="s"/>
      <c r="H1615" t="s"/>
      <c r="I1615" t="s"/>
      <c r="J1615" t="n">
        <v>-0.2263</v>
      </c>
      <c r="K1615" t="n">
        <v>0.121</v>
      </c>
      <c r="L1615" t="n">
        <v>0.792</v>
      </c>
      <c r="M1615" t="n">
        <v>0.08699999999999999</v>
      </c>
    </row>
    <row r="1616" spans="1:13">
      <c r="A1616" s="1">
        <f>HYPERLINK("http://www.twitter.com/NathanBLawrence/status/988120169766707201", "988120169766707201")</f>
        <v/>
      </c>
      <c r="B1616" s="2" t="n">
        <v>43212.76366898148</v>
      </c>
      <c r="C1616" t="n">
        <v>0</v>
      </c>
      <c r="D1616" t="n">
        <v>12</v>
      </c>
      <c r="E1616" t="s">
        <v>1605</v>
      </c>
      <c r="F1616" t="s"/>
      <c r="G1616" t="s"/>
      <c r="H1616" t="s"/>
      <c r="I1616" t="s"/>
      <c r="J1616" t="n">
        <v>-0.8126</v>
      </c>
      <c r="K1616" t="n">
        <v>0.344</v>
      </c>
      <c r="L1616" t="n">
        <v>0.511</v>
      </c>
      <c r="M1616" t="n">
        <v>0.145</v>
      </c>
    </row>
    <row r="1617" spans="1:13">
      <c r="A1617" s="1">
        <f>HYPERLINK("http://www.twitter.com/NathanBLawrence/status/988120163760463872", "988120163760463872")</f>
        <v/>
      </c>
      <c r="B1617" s="2" t="n">
        <v>43212.76365740741</v>
      </c>
      <c r="C1617" t="n">
        <v>0</v>
      </c>
      <c r="D1617" t="n">
        <v>6</v>
      </c>
      <c r="E1617" t="s">
        <v>1606</v>
      </c>
      <c r="F1617" t="s"/>
      <c r="G1617" t="s"/>
      <c r="H1617" t="s"/>
      <c r="I1617" t="s"/>
      <c r="J1617" t="n">
        <v>0</v>
      </c>
      <c r="K1617" t="n">
        <v>0</v>
      </c>
      <c r="L1617" t="n">
        <v>1</v>
      </c>
      <c r="M1617" t="n">
        <v>0</v>
      </c>
    </row>
    <row r="1618" spans="1:13">
      <c r="A1618" s="1">
        <f>HYPERLINK("http://www.twitter.com/NathanBLawrence/status/988120138305228800", "988120138305228800")</f>
        <v/>
      </c>
      <c r="B1618" s="2" t="n">
        <v>43212.76358796296</v>
      </c>
      <c r="C1618" t="n">
        <v>0</v>
      </c>
      <c r="D1618" t="n">
        <v>6</v>
      </c>
      <c r="E1618" t="s">
        <v>1607</v>
      </c>
      <c r="F1618" t="s"/>
      <c r="G1618" t="s"/>
      <c r="H1618" t="s"/>
      <c r="I1618" t="s"/>
      <c r="J1618" t="n">
        <v>-0.3535</v>
      </c>
      <c r="K1618" t="n">
        <v>0.11</v>
      </c>
      <c r="L1618" t="n">
        <v>0.89</v>
      </c>
      <c r="M1618" t="n">
        <v>0</v>
      </c>
    </row>
    <row r="1619" spans="1:13">
      <c r="A1619" s="1">
        <f>HYPERLINK("http://www.twitter.com/NathanBLawrence/status/988120122652090368", "988120122652090368")</f>
        <v/>
      </c>
      <c r="B1619" s="2" t="n">
        <v>43212.76354166667</v>
      </c>
      <c r="C1619" t="n">
        <v>0</v>
      </c>
      <c r="D1619" t="n">
        <v>9</v>
      </c>
      <c r="E1619" t="s">
        <v>1608</v>
      </c>
      <c r="F1619" t="s"/>
      <c r="G1619" t="s"/>
      <c r="H1619" t="s"/>
      <c r="I1619" t="s"/>
      <c r="J1619" t="n">
        <v>-0.7544999999999999</v>
      </c>
      <c r="K1619" t="n">
        <v>0.235</v>
      </c>
      <c r="L1619" t="n">
        <v>0.765</v>
      </c>
      <c r="M1619" t="n">
        <v>0</v>
      </c>
    </row>
    <row r="1620" spans="1:13">
      <c r="A1620" s="1">
        <f>HYPERLINK("http://www.twitter.com/NathanBLawrence/status/988120003500224513", "988120003500224513")</f>
        <v/>
      </c>
      <c r="B1620" s="2" t="n">
        <v>43212.76320601852</v>
      </c>
      <c r="C1620" t="n">
        <v>0</v>
      </c>
      <c r="D1620" t="n">
        <v>0</v>
      </c>
      <c r="E1620" t="s">
        <v>1609</v>
      </c>
      <c r="F1620" t="s"/>
      <c r="G1620" t="s"/>
      <c r="H1620" t="s"/>
      <c r="I1620" t="s"/>
      <c r="J1620" t="n">
        <v>-0.0644</v>
      </c>
      <c r="K1620" t="n">
        <v>0.045</v>
      </c>
      <c r="L1620" t="n">
        <v>0.917</v>
      </c>
      <c r="M1620" t="n">
        <v>0.038</v>
      </c>
    </row>
    <row r="1621" spans="1:13">
      <c r="A1621" s="1">
        <f>HYPERLINK("http://www.twitter.com/NathanBLawrence/status/988119674184458242", "988119674184458242")</f>
        <v/>
      </c>
      <c r="B1621" s="2" t="n">
        <v>43212.76230324074</v>
      </c>
      <c r="C1621" t="n">
        <v>0</v>
      </c>
      <c r="D1621" t="n">
        <v>17</v>
      </c>
      <c r="E1621" t="s">
        <v>1610</v>
      </c>
      <c r="F1621" t="s"/>
      <c r="G1621" t="s"/>
      <c r="H1621" t="s"/>
      <c r="I1621" t="s"/>
      <c r="J1621" t="n">
        <v>0.6705</v>
      </c>
      <c r="K1621" t="n">
        <v>0</v>
      </c>
      <c r="L1621" t="n">
        <v>0.776</v>
      </c>
      <c r="M1621" t="n">
        <v>0.224</v>
      </c>
    </row>
    <row r="1622" spans="1:13">
      <c r="A1622" s="1">
        <f>HYPERLINK("http://www.twitter.com/NathanBLawrence/status/988119664185282562", "988119664185282562")</f>
        <v/>
      </c>
      <c r="B1622" s="2" t="n">
        <v>43212.76226851852</v>
      </c>
      <c r="C1622" t="n">
        <v>0</v>
      </c>
      <c r="D1622" t="n">
        <v>22</v>
      </c>
      <c r="E1622" t="s">
        <v>1544</v>
      </c>
      <c r="F1622">
        <f>HYPERLINK("http://pbs.twimg.com/media/DbZtf-jU8AEYMlp.jpg", "http://pbs.twimg.com/media/DbZtf-jU8AEYMlp.jpg")</f>
        <v/>
      </c>
      <c r="G1622" t="s"/>
      <c r="H1622" t="s"/>
      <c r="I1622" t="s"/>
      <c r="J1622" t="n">
        <v>-0.8070000000000001</v>
      </c>
      <c r="K1622" t="n">
        <v>0.328</v>
      </c>
      <c r="L1622" t="n">
        <v>0.672</v>
      </c>
      <c r="M1622" t="n">
        <v>0</v>
      </c>
    </row>
    <row r="1623" spans="1:13">
      <c r="A1623" s="1">
        <f>HYPERLINK("http://www.twitter.com/NathanBLawrence/status/988119622103764992", "988119622103764992")</f>
        <v/>
      </c>
      <c r="B1623" s="2" t="n">
        <v>43212.76215277778</v>
      </c>
      <c r="C1623" t="n">
        <v>0</v>
      </c>
      <c r="D1623" t="n">
        <v>6</v>
      </c>
      <c r="E1623" t="s">
        <v>1611</v>
      </c>
      <c r="F1623" t="s"/>
      <c r="G1623" t="s"/>
      <c r="H1623" t="s"/>
      <c r="I1623" t="s"/>
      <c r="J1623" t="n">
        <v>0.4404</v>
      </c>
      <c r="K1623" t="n">
        <v>0</v>
      </c>
      <c r="L1623" t="n">
        <v>0.861</v>
      </c>
      <c r="M1623" t="n">
        <v>0.139</v>
      </c>
    </row>
    <row r="1624" spans="1:13">
      <c r="A1624" s="1">
        <f>HYPERLINK("http://www.twitter.com/NathanBLawrence/status/988079090497413121", "988079090497413121")</f>
        <v/>
      </c>
      <c r="B1624" s="2" t="n">
        <v>43212.6503125</v>
      </c>
      <c r="C1624" t="n">
        <v>1</v>
      </c>
      <c r="D1624" t="n">
        <v>0</v>
      </c>
      <c r="E1624" t="s">
        <v>1612</v>
      </c>
      <c r="F1624" t="s"/>
      <c r="G1624" t="s"/>
      <c r="H1624" t="s"/>
      <c r="I1624" t="s"/>
      <c r="J1624" t="n">
        <v>0</v>
      </c>
      <c r="K1624" t="n">
        <v>0</v>
      </c>
      <c r="L1624" t="n">
        <v>1</v>
      </c>
      <c r="M1624" t="n">
        <v>0</v>
      </c>
    </row>
    <row r="1625" spans="1:13">
      <c r="A1625" s="1">
        <f>HYPERLINK("http://www.twitter.com/NathanBLawrence/status/988079041440829440", "988079041440829440")</f>
        <v/>
      </c>
      <c r="B1625" s="2" t="n">
        <v>43212.65017361111</v>
      </c>
      <c r="C1625" t="n">
        <v>0</v>
      </c>
      <c r="D1625" t="n">
        <v>7</v>
      </c>
      <c r="E1625" t="s">
        <v>1613</v>
      </c>
      <c r="F1625" t="s"/>
      <c r="G1625" t="s"/>
      <c r="H1625" t="s"/>
      <c r="I1625" t="s"/>
      <c r="J1625" t="n">
        <v>0.4389</v>
      </c>
      <c r="K1625" t="n">
        <v>0</v>
      </c>
      <c r="L1625" t="n">
        <v>0.855</v>
      </c>
      <c r="M1625" t="n">
        <v>0.145</v>
      </c>
    </row>
    <row r="1626" spans="1:13">
      <c r="A1626" s="1">
        <f>HYPERLINK("http://www.twitter.com/NathanBLawrence/status/988062712952389633", "988062712952389633")</f>
        <v/>
      </c>
      <c r="B1626" s="2" t="n">
        <v>43212.60511574074</v>
      </c>
      <c r="C1626" t="n">
        <v>0</v>
      </c>
      <c r="D1626" t="n">
        <v>7</v>
      </c>
      <c r="E1626" t="s">
        <v>1614</v>
      </c>
      <c r="F1626">
        <f>HYPERLINK("http://pbs.twimg.com/media/DbZMDe_WkAAmsA_.jpg", "http://pbs.twimg.com/media/DbZMDe_WkAAmsA_.jpg")</f>
        <v/>
      </c>
      <c r="G1626" t="s"/>
      <c r="H1626" t="s"/>
      <c r="I1626" t="s"/>
      <c r="J1626" t="n">
        <v>0.2382</v>
      </c>
      <c r="K1626" t="n">
        <v>0</v>
      </c>
      <c r="L1626" t="n">
        <v>0.915</v>
      </c>
      <c r="M1626" t="n">
        <v>0.08500000000000001</v>
      </c>
    </row>
    <row r="1627" spans="1:13">
      <c r="A1627" s="1">
        <f>HYPERLINK("http://www.twitter.com/NathanBLawrence/status/988062695743262721", "988062695743262721")</f>
        <v/>
      </c>
      <c r="B1627" s="2" t="n">
        <v>43212.60506944444</v>
      </c>
      <c r="C1627" t="n">
        <v>0</v>
      </c>
      <c r="D1627" t="n">
        <v>20</v>
      </c>
      <c r="E1627" t="s">
        <v>1615</v>
      </c>
      <c r="F1627" t="s"/>
      <c r="G1627" t="s"/>
      <c r="H1627" t="s"/>
      <c r="I1627" t="s"/>
      <c r="J1627" t="n">
        <v>-0.5994</v>
      </c>
      <c r="K1627" t="n">
        <v>0.197</v>
      </c>
      <c r="L1627" t="n">
        <v>0.803</v>
      </c>
      <c r="M1627" t="n">
        <v>0</v>
      </c>
    </row>
    <row r="1628" spans="1:13">
      <c r="A1628" s="1">
        <f>HYPERLINK("http://www.twitter.com/NathanBLawrence/status/988062405669289986", "988062405669289986")</f>
        <v/>
      </c>
      <c r="B1628" s="2" t="n">
        <v>43212.60427083333</v>
      </c>
      <c r="C1628" t="n">
        <v>1</v>
      </c>
      <c r="D1628" t="n">
        <v>0</v>
      </c>
      <c r="E1628" t="s">
        <v>1616</v>
      </c>
      <c r="F1628" t="s"/>
      <c r="G1628" t="s"/>
      <c r="H1628" t="s"/>
      <c r="I1628" t="s"/>
      <c r="J1628" t="n">
        <v>0</v>
      </c>
      <c r="K1628" t="n">
        <v>0</v>
      </c>
      <c r="L1628" t="n">
        <v>1</v>
      </c>
      <c r="M1628" t="n">
        <v>0</v>
      </c>
    </row>
    <row r="1629" spans="1:13">
      <c r="A1629" s="1">
        <f>HYPERLINK("http://www.twitter.com/NathanBLawrence/status/988060812995710977", "988060812995710977")</f>
        <v/>
      </c>
      <c r="B1629" s="2" t="n">
        <v>43212.59987268518</v>
      </c>
      <c r="C1629" t="n">
        <v>12</v>
      </c>
      <c r="D1629" t="n">
        <v>7</v>
      </c>
      <c r="E1629" t="s">
        <v>1617</v>
      </c>
      <c r="F1629">
        <f>HYPERLINK("http://pbs.twimg.com/media/DbZMDe_WkAAmsA_.jpg", "http://pbs.twimg.com/media/DbZMDe_WkAAmsA_.jpg")</f>
        <v/>
      </c>
      <c r="G1629" t="s"/>
      <c r="H1629" t="s"/>
      <c r="I1629" t="s"/>
      <c r="J1629" t="n">
        <v>0.9337</v>
      </c>
      <c r="K1629" t="n">
        <v>0</v>
      </c>
      <c r="L1629" t="n">
        <v>0.744</v>
      </c>
      <c r="M1629" t="n">
        <v>0.256</v>
      </c>
    </row>
    <row r="1630" spans="1:13">
      <c r="A1630" s="1">
        <f>HYPERLINK("http://www.twitter.com/NathanBLawrence/status/988015202594643968", "988015202594643968")</f>
        <v/>
      </c>
      <c r="B1630" s="2" t="n">
        <v>43212.47401620371</v>
      </c>
      <c r="C1630" t="n">
        <v>0</v>
      </c>
      <c r="D1630" t="n">
        <v>0</v>
      </c>
      <c r="E1630" t="s">
        <v>1618</v>
      </c>
      <c r="F1630" t="s"/>
      <c r="G1630" t="s"/>
      <c r="H1630" t="s"/>
      <c r="I1630" t="s"/>
      <c r="J1630" t="n">
        <v>0.7351</v>
      </c>
      <c r="K1630" t="n">
        <v>0</v>
      </c>
      <c r="L1630" t="n">
        <v>0.841</v>
      </c>
      <c r="M1630" t="n">
        <v>0.159</v>
      </c>
    </row>
    <row r="1631" spans="1:13">
      <c r="A1631" s="1">
        <f>HYPERLINK("http://www.twitter.com/NathanBLawrence/status/987937220513402880", "987937220513402880")</f>
        <v/>
      </c>
      <c r="B1631" s="2" t="n">
        <v>43212.25883101852</v>
      </c>
      <c r="C1631" t="n">
        <v>0</v>
      </c>
      <c r="D1631" t="n">
        <v>979</v>
      </c>
      <c r="E1631" t="s">
        <v>1619</v>
      </c>
      <c r="F1631" t="s"/>
      <c r="G1631" t="s"/>
      <c r="H1631" t="s"/>
      <c r="I1631" t="s"/>
      <c r="J1631" t="n">
        <v>-0.8316</v>
      </c>
      <c r="K1631" t="n">
        <v>0.328</v>
      </c>
      <c r="L1631" t="n">
        <v>0.672</v>
      </c>
      <c r="M1631" t="n">
        <v>0</v>
      </c>
    </row>
    <row r="1632" spans="1:13">
      <c r="A1632" s="1">
        <f>HYPERLINK("http://www.twitter.com/NathanBLawrence/status/987905781138968578", "987905781138968578")</f>
        <v/>
      </c>
      <c r="B1632" s="2" t="n">
        <v>43212.17207175926</v>
      </c>
      <c r="C1632" t="n">
        <v>2</v>
      </c>
      <c r="D1632" t="n">
        <v>0</v>
      </c>
      <c r="E1632" t="s">
        <v>1620</v>
      </c>
      <c r="F1632" t="s"/>
      <c r="G1632" t="s"/>
      <c r="H1632" t="s"/>
      <c r="I1632" t="s"/>
      <c r="J1632" t="n">
        <v>-0.4215</v>
      </c>
      <c r="K1632" t="n">
        <v>0.128</v>
      </c>
      <c r="L1632" t="n">
        <v>0.872</v>
      </c>
      <c r="M1632" t="n">
        <v>0</v>
      </c>
    </row>
    <row r="1633" spans="1:13">
      <c r="A1633" s="1">
        <f>HYPERLINK("http://www.twitter.com/NathanBLawrence/status/987888906824798208", "987888906824798208")</f>
        <v/>
      </c>
      <c r="B1633" s="2" t="n">
        <v>43212.12550925926</v>
      </c>
      <c r="C1633" t="n">
        <v>0</v>
      </c>
      <c r="D1633" t="n">
        <v>370</v>
      </c>
      <c r="E1633" t="s">
        <v>1621</v>
      </c>
      <c r="F1633" t="s"/>
      <c r="G1633" t="s"/>
      <c r="H1633" t="s"/>
      <c r="I1633" t="s"/>
      <c r="J1633" t="n">
        <v>-0.6486</v>
      </c>
      <c r="K1633" t="n">
        <v>0.24</v>
      </c>
      <c r="L1633" t="n">
        <v>0.76</v>
      </c>
      <c r="M1633" t="n">
        <v>0</v>
      </c>
    </row>
    <row r="1634" spans="1:13">
      <c r="A1634" s="1">
        <f>HYPERLINK("http://www.twitter.com/NathanBLawrence/status/987888745528659969", "987888745528659969")</f>
        <v/>
      </c>
      <c r="B1634" s="2" t="n">
        <v>43212.12505787037</v>
      </c>
      <c r="C1634" t="n">
        <v>0</v>
      </c>
      <c r="D1634" t="n">
        <v>6</v>
      </c>
      <c r="E1634" t="s">
        <v>1622</v>
      </c>
      <c r="F1634">
        <f>HYPERLINK("http://pbs.twimg.com/media/DbWvaasVwAAdVUg.jpg", "http://pbs.twimg.com/media/DbWvaasVwAAdVUg.jpg")</f>
        <v/>
      </c>
      <c r="G1634" t="s"/>
      <c r="H1634" t="s"/>
      <c r="I1634" t="s"/>
      <c r="J1634" t="n">
        <v>-0.4215</v>
      </c>
      <c r="K1634" t="n">
        <v>0.149</v>
      </c>
      <c r="L1634" t="n">
        <v>0.851</v>
      </c>
      <c r="M1634" t="n">
        <v>0</v>
      </c>
    </row>
    <row r="1635" spans="1:13">
      <c r="A1635" s="1">
        <f>HYPERLINK("http://www.twitter.com/NathanBLawrence/status/987888565391642624", "987888565391642624")</f>
        <v/>
      </c>
      <c r="B1635" s="2" t="n">
        <v>43212.12456018518</v>
      </c>
      <c r="C1635" t="n">
        <v>10</v>
      </c>
      <c r="D1635" t="n">
        <v>6</v>
      </c>
      <c r="E1635" t="s">
        <v>1623</v>
      </c>
      <c r="F1635">
        <f>HYPERLINK("http://pbs.twimg.com/media/DbWvaasVwAAdVUg.jpg", "http://pbs.twimg.com/media/DbWvaasVwAAdVUg.jpg")</f>
        <v/>
      </c>
      <c r="G1635" t="s"/>
      <c r="H1635" t="s"/>
      <c r="I1635" t="s"/>
      <c r="J1635" t="n">
        <v>-0.5792</v>
      </c>
      <c r="K1635" t="n">
        <v>0.161</v>
      </c>
      <c r="L1635" t="n">
        <v>0.772</v>
      </c>
      <c r="M1635" t="n">
        <v>0.067</v>
      </c>
    </row>
    <row r="1636" spans="1:13">
      <c r="A1636" s="1">
        <f>HYPERLINK("http://www.twitter.com/NathanBLawrence/status/987887517591572481", "987887517591572481")</f>
        <v/>
      </c>
      <c r="B1636" s="2" t="n">
        <v>43212.12166666667</v>
      </c>
      <c r="C1636" t="n">
        <v>0</v>
      </c>
      <c r="D1636" t="n">
        <v>0</v>
      </c>
      <c r="E1636" t="s">
        <v>1624</v>
      </c>
      <c r="F1636" t="s"/>
      <c r="G1636" t="s"/>
      <c r="H1636" t="s"/>
      <c r="I1636" t="s"/>
      <c r="J1636" t="n">
        <v>0.3612</v>
      </c>
      <c r="K1636" t="n">
        <v>0</v>
      </c>
      <c r="L1636" t="n">
        <v>0.667</v>
      </c>
      <c r="M1636" t="n">
        <v>0.333</v>
      </c>
    </row>
    <row r="1637" spans="1:13">
      <c r="A1637" s="1">
        <f>HYPERLINK("http://www.twitter.com/NathanBLawrence/status/987887335357415424", "987887335357415424")</f>
        <v/>
      </c>
      <c r="B1637" s="2" t="n">
        <v>43212.12116898148</v>
      </c>
      <c r="C1637" t="n">
        <v>0</v>
      </c>
      <c r="D1637" t="n">
        <v>0</v>
      </c>
      <c r="E1637" t="s">
        <v>1625</v>
      </c>
      <c r="F1637" t="s"/>
      <c r="G1637" t="s"/>
      <c r="H1637" t="s"/>
      <c r="I1637" t="s"/>
      <c r="J1637" t="n">
        <v>-0.8100000000000001</v>
      </c>
      <c r="K1637" t="n">
        <v>0.261</v>
      </c>
      <c r="L1637" t="n">
        <v>0.671</v>
      </c>
      <c r="M1637" t="n">
        <v>0.068</v>
      </c>
    </row>
    <row r="1638" spans="1:13">
      <c r="A1638" s="1">
        <f>HYPERLINK("http://www.twitter.com/NathanBLawrence/status/987886983325380608", "987886983325380608")</f>
        <v/>
      </c>
      <c r="B1638" s="2" t="n">
        <v>43212.12019675926</v>
      </c>
      <c r="C1638" t="n">
        <v>1</v>
      </c>
      <c r="D1638" t="n">
        <v>1</v>
      </c>
      <c r="E1638" t="s">
        <v>1626</v>
      </c>
      <c r="F1638" t="s"/>
      <c r="G1638" t="s"/>
      <c r="H1638" t="s"/>
      <c r="I1638" t="s"/>
      <c r="J1638" t="n">
        <v>0.3182</v>
      </c>
      <c r="K1638" t="n">
        <v>0</v>
      </c>
      <c r="L1638" t="n">
        <v>0.881</v>
      </c>
      <c r="M1638" t="n">
        <v>0.119</v>
      </c>
    </row>
    <row r="1639" spans="1:13">
      <c r="A1639" s="1">
        <f>HYPERLINK("http://www.twitter.com/NathanBLawrence/status/987886397775327233", "987886397775327233")</f>
        <v/>
      </c>
      <c r="B1639" s="2" t="n">
        <v>43212.11857638889</v>
      </c>
      <c r="C1639" t="n">
        <v>0</v>
      </c>
      <c r="D1639" t="n">
        <v>7</v>
      </c>
      <c r="E1639" t="s">
        <v>1627</v>
      </c>
      <c r="F1639" t="s"/>
      <c r="G1639" t="s"/>
      <c r="H1639" t="s"/>
      <c r="I1639" t="s"/>
      <c r="J1639" t="n">
        <v>-0.4019</v>
      </c>
      <c r="K1639" t="n">
        <v>0.109</v>
      </c>
      <c r="L1639" t="n">
        <v>0.891</v>
      </c>
      <c r="M1639" t="n">
        <v>0</v>
      </c>
    </row>
    <row r="1640" spans="1:13">
      <c r="A1640" s="1">
        <f>HYPERLINK("http://www.twitter.com/NathanBLawrence/status/987886320944021509", "987886320944021509")</f>
        <v/>
      </c>
      <c r="B1640" s="2" t="n">
        <v>43212.11836805556</v>
      </c>
      <c r="C1640" t="n">
        <v>0</v>
      </c>
      <c r="D1640" t="n">
        <v>8</v>
      </c>
      <c r="E1640" t="s">
        <v>1628</v>
      </c>
      <c r="F1640">
        <f>HYPERLINK("http://pbs.twimg.com/media/DbWaZ36WAAIXVXW.jpg", "http://pbs.twimg.com/media/DbWaZ36WAAIXVXW.jpg")</f>
        <v/>
      </c>
      <c r="G1640" t="s"/>
      <c r="H1640" t="s"/>
      <c r="I1640" t="s"/>
      <c r="J1640" t="n">
        <v>0.4215</v>
      </c>
      <c r="K1640" t="n">
        <v>0.065</v>
      </c>
      <c r="L1640" t="n">
        <v>0.787</v>
      </c>
      <c r="M1640" t="n">
        <v>0.148</v>
      </c>
    </row>
    <row r="1641" spans="1:13">
      <c r="A1641" s="1">
        <f>HYPERLINK("http://www.twitter.com/NathanBLawrence/status/987886256939065344", "987886256939065344")</f>
        <v/>
      </c>
      <c r="B1641" s="2" t="n">
        <v>43212.11819444445</v>
      </c>
      <c r="C1641" t="n">
        <v>0</v>
      </c>
      <c r="D1641" t="n">
        <v>5</v>
      </c>
      <c r="E1641" t="s">
        <v>1629</v>
      </c>
      <c r="F1641" t="s"/>
      <c r="G1641" t="s"/>
      <c r="H1641" t="s"/>
      <c r="I1641" t="s"/>
      <c r="J1641" t="n">
        <v>-0.6124000000000001</v>
      </c>
      <c r="K1641" t="n">
        <v>0.182</v>
      </c>
      <c r="L1641" t="n">
        <v>0.763</v>
      </c>
      <c r="M1641" t="n">
        <v>0.055</v>
      </c>
    </row>
    <row r="1642" spans="1:13">
      <c r="A1642" s="1">
        <f>HYPERLINK("http://www.twitter.com/NathanBLawrence/status/987886200001318912", "987886200001318912")</f>
        <v/>
      </c>
      <c r="B1642" s="2" t="n">
        <v>43212.11803240741</v>
      </c>
      <c r="C1642" t="n">
        <v>1</v>
      </c>
      <c r="D1642" t="n">
        <v>0</v>
      </c>
      <c r="E1642" t="s">
        <v>1630</v>
      </c>
      <c r="F1642" t="s"/>
      <c r="G1642" t="s"/>
      <c r="H1642" t="s"/>
      <c r="I1642" t="s"/>
      <c r="J1642" t="n">
        <v>0</v>
      </c>
      <c r="K1642" t="n">
        <v>0</v>
      </c>
      <c r="L1642" t="n">
        <v>1</v>
      </c>
      <c r="M1642" t="n">
        <v>0</v>
      </c>
    </row>
    <row r="1643" spans="1:13">
      <c r="A1643" s="1">
        <f>HYPERLINK("http://www.twitter.com/NathanBLawrence/status/987885802385477632", "987885802385477632")</f>
        <v/>
      </c>
      <c r="B1643" s="2" t="n">
        <v>43212.11693287037</v>
      </c>
      <c r="C1643" t="n">
        <v>0</v>
      </c>
      <c r="D1643" t="n">
        <v>5330</v>
      </c>
      <c r="E1643" t="s">
        <v>1631</v>
      </c>
      <c r="F1643" t="s"/>
      <c r="G1643" t="s"/>
      <c r="H1643" t="s"/>
      <c r="I1643" t="s"/>
      <c r="J1643" t="n">
        <v>-0.34</v>
      </c>
      <c r="K1643" t="n">
        <v>0.103</v>
      </c>
      <c r="L1643" t="n">
        <v>0.897</v>
      </c>
      <c r="M1643" t="n">
        <v>0</v>
      </c>
    </row>
    <row r="1644" spans="1:13">
      <c r="A1644" s="1">
        <f>HYPERLINK("http://www.twitter.com/NathanBLawrence/status/987885728850960389", "987885728850960389")</f>
        <v/>
      </c>
      <c r="B1644" s="2" t="n">
        <v>43212.11673611111</v>
      </c>
      <c r="C1644" t="n">
        <v>0</v>
      </c>
      <c r="D1644" t="n">
        <v>52</v>
      </c>
      <c r="E1644" t="s">
        <v>1632</v>
      </c>
      <c r="F1644" t="s"/>
      <c r="G1644" t="s"/>
      <c r="H1644" t="s"/>
      <c r="I1644" t="s"/>
      <c r="J1644" t="n">
        <v>0</v>
      </c>
      <c r="K1644" t="n">
        <v>0</v>
      </c>
      <c r="L1644" t="n">
        <v>1</v>
      </c>
      <c r="M1644" t="n">
        <v>0</v>
      </c>
    </row>
    <row r="1645" spans="1:13">
      <c r="A1645" s="1">
        <f>HYPERLINK("http://www.twitter.com/NathanBLawrence/status/987885569643548673", "987885569643548673")</f>
        <v/>
      </c>
      <c r="B1645" s="2" t="n">
        <v>43212.1162962963</v>
      </c>
      <c r="C1645" t="n">
        <v>0</v>
      </c>
      <c r="D1645" t="n">
        <v>2396</v>
      </c>
      <c r="E1645" t="s">
        <v>1633</v>
      </c>
      <c r="F1645">
        <f>HYPERLINK("http://pbs.twimg.com/media/DbMqW_xXUAEnMc_.jpg", "http://pbs.twimg.com/media/DbMqW_xXUAEnMc_.jpg")</f>
        <v/>
      </c>
      <c r="G1645" t="s"/>
      <c r="H1645" t="s"/>
      <c r="I1645" t="s"/>
      <c r="J1645" t="n">
        <v>-0.7845</v>
      </c>
      <c r="K1645" t="n">
        <v>0.247</v>
      </c>
      <c r="L1645" t="n">
        <v>0.753</v>
      </c>
      <c r="M1645" t="n">
        <v>0</v>
      </c>
    </row>
    <row r="1646" spans="1:13">
      <c r="A1646" s="1">
        <f>HYPERLINK("http://www.twitter.com/NathanBLawrence/status/987885303816966145", "987885303816966145")</f>
        <v/>
      </c>
      <c r="B1646" s="2" t="n">
        <v>43212.11556712963</v>
      </c>
      <c r="C1646" t="n">
        <v>0</v>
      </c>
      <c r="D1646" t="n">
        <v>1</v>
      </c>
      <c r="E1646" t="s">
        <v>1634</v>
      </c>
      <c r="F1646" t="s"/>
      <c r="G1646" t="s"/>
      <c r="H1646" t="s"/>
      <c r="I1646" t="s"/>
      <c r="J1646" t="n">
        <v>-0.3612</v>
      </c>
      <c r="K1646" t="n">
        <v>0.137</v>
      </c>
      <c r="L1646" t="n">
        <v>0.788</v>
      </c>
      <c r="M1646" t="n">
        <v>0.075</v>
      </c>
    </row>
    <row r="1647" spans="1:13">
      <c r="A1647" s="1">
        <f>HYPERLINK("http://www.twitter.com/NathanBLawrence/status/987885270526779392", "987885270526779392")</f>
        <v/>
      </c>
      <c r="B1647" s="2" t="n">
        <v>43212.11547453704</v>
      </c>
      <c r="C1647" t="n">
        <v>0</v>
      </c>
      <c r="D1647" t="n">
        <v>1355</v>
      </c>
      <c r="E1647" t="s">
        <v>1635</v>
      </c>
      <c r="F1647" t="s"/>
      <c r="G1647" t="s"/>
      <c r="H1647" t="s"/>
      <c r="I1647" t="s"/>
      <c r="J1647" t="n">
        <v>0.6163999999999999</v>
      </c>
      <c r="K1647" t="n">
        <v>0.1</v>
      </c>
      <c r="L1647" t="n">
        <v>0.681</v>
      </c>
      <c r="M1647" t="n">
        <v>0.219</v>
      </c>
    </row>
    <row r="1648" spans="1:13">
      <c r="A1648" s="1">
        <f>HYPERLINK("http://www.twitter.com/NathanBLawrence/status/987885238301970432", "987885238301970432")</f>
        <v/>
      </c>
      <c r="B1648" s="2" t="n">
        <v>43212.11538194444</v>
      </c>
      <c r="C1648" t="n">
        <v>0</v>
      </c>
      <c r="D1648" t="n">
        <v>2</v>
      </c>
      <c r="E1648" t="s">
        <v>1636</v>
      </c>
      <c r="F1648" t="s"/>
      <c r="G1648" t="s"/>
      <c r="H1648" t="s"/>
      <c r="I1648" t="s"/>
      <c r="J1648" t="n">
        <v>-0.7269</v>
      </c>
      <c r="K1648" t="n">
        <v>0.341</v>
      </c>
      <c r="L1648" t="n">
        <v>0.553</v>
      </c>
      <c r="M1648" t="n">
        <v>0.106</v>
      </c>
    </row>
    <row r="1649" spans="1:13">
      <c r="A1649" s="1">
        <f>HYPERLINK("http://www.twitter.com/NathanBLawrence/status/987885019879366656", "987885019879366656")</f>
        <v/>
      </c>
      <c r="B1649" s="2" t="n">
        <v>43212.11478009259</v>
      </c>
      <c r="C1649" t="n">
        <v>0</v>
      </c>
      <c r="D1649" t="n">
        <v>0</v>
      </c>
      <c r="E1649" t="s">
        <v>1637</v>
      </c>
      <c r="F1649" t="s"/>
      <c r="G1649" t="s"/>
      <c r="H1649" t="s"/>
      <c r="I1649" t="s"/>
      <c r="J1649" t="n">
        <v>-0.8573</v>
      </c>
      <c r="K1649" t="n">
        <v>0.246</v>
      </c>
      <c r="L1649" t="n">
        <v>0.754</v>
      </c>
      <c r="M1649" t="n">
        <v>0</v>
      </c>
    </row>
    <row r="1650" spans="1:13">
      <c r="A1650" s="1">
        <f>HYPERLINK("http://www.twitter.com/NathanBLawrence/status/987884742069702661", "987884742069702661")</f>
        <v/>
      </c>
      <c r="B1650" s="2" t="n">
        <v>43212.1140162037</v>
      </c>
      <c r="C1650" t="n">
        <v>5</v>
      </c>
      <c r="D1650" t="n">
        <v>2</v>
      </c>
      <c r="E1650" t="s">
        <v>1638</v>
      </c>
      <c r="F1650" t="s"/>
      <c r="G1650" t="s"/>
      <c r="H1650" t="s"/>
      <c r="I1650" t="s"/>
      <c r="J1650" t="n">
        <v>0</v>
      </c>
      <c r="K1650" t="n">
        <v>0</v>
      </c>
      <c r="L1650" t="n">
        <v>1</v>
      </c>
      <c r="M1650" t="n">
        <v>0</v>
      </c>
    </row>
    <row r="1651" spans="1:13">
      <c r="A1651" s="1">
        <f>HYPERLINK("http://www.twitter.com/NathanBLawrence/status/987884567930593281", "987884567930593281")</f>
        <v/>
      </c>
      <c r="B1651" s="2" t="n">
        <v>43212.1135300926</v>
      </c>
      <c r="C1651" t="n">
        <v>0</v>
      </c>
      <c r="D1651" t="n">
        <v>20827</v>
      </c>
      <c r="E1651" t="s">
        <v>1639</v>
      </c>
      <c r="F1651" t="s"/>
      <c r="G1651" t="s"/>
      <c r="H1651" t="s"/>
      <c r="I1651" t="s"/>
      <c r="J1651" t="n">
        <v>0.5994</v>
      </c>
      <c r="K1651" t="n">
        <v>0</v>
      </c>
      <c r="L1651" t="n">
        <v>0.83</v>
      </c>
      <c r="M1651" t="n">
        <v>0.17</v>
      </c>
    </row>
    <row r="1652" spans="1:13">
      <c r="A1652" s="1">
        <f>HYPERLINK("http://www.twitter.com/NathanBLawrence/status/987884562918322181", "987884562918322181")</f>
        <v/>
      </c>
      <c r="B1652" s="2" t="n">
        <v>43212.11351851852</v>
      </c>
      <c r="C1652" t="n">
        <v>5</v>
      </c>
      <c r="D1652" t="n">
        <v>2</v>
      </c>
      <c r="E1652" t="s">
        <v>1640</v>
      </c>
      <c r="F1652" t="s"/>
      <c r="G1652" t="s"/>
      <c r="H1652" t="s"/>
      <c r="I1652" t="s"/>
      <c r="J1652" t="n">
        <v>0</v>
      </c>
      <c r="K1652" t="n">
        <v>0</v>
      </c>
      <c r="L1652" t="n">
        <v>1</v>
      </c>
      <c r="M1652" t="n">
        <v>0</v>
      </c>
    </row>
    <row r="1653" spans="1:13">
      <c r="A1653" s="1">
        <f>HYPERLINK("http://www.twitter.com/NathanBLawrence/status/987884343594020864", "987884343594020864")</f>
        <v/>
      </c>
      <c r="B1653" s="2" t="n">
        <v>43212.11291666667</v>
      </c>
      <c r="C1653" t="n">
        <v>0</v>
      </c>
      <c r="D1653" t="n">
        <v>7</v>
      </c>
      <c r="E1653" t="s">
        <v>1641</v>
      </c>
      <c r="F1653" t="s"/>
      <c r="G1653" t="s"/>
      <c r="H1653" t="s"/>
      <c r="I1653" t="s"/>
      <c r="J1653" t="n">
        <v>0.6124000000000001</v>
      </c>
      <c r="K1653" t="n">
        <v>0</v>
      </c>
      <c r="L1653" t="n">
        <v>0.8</v>
      </c>
      <c r="M1653" t="n">
        <v>0.2</v>
      </c>
    </row>
    <row r="1654" spans="1:13">
      <c r="A1654" s="1">
        <f>HYPERLINK("http://www.twitter.com/NathanBLawrence/status/987884216309477377", "987884216309477377")</f>
        <v/>
      </c>
      <c r="B1654" s="2" t="n">
        <v>43212.11255787037</v>
      </c>
      <c r="C1654" t="n">
        <v>10</v>
      </c>
      <c r="D1654" t="n">
        <v>7</v>
      </c>
      <c r="E1654" t="s">
        <v>1642</v>
      </c>
      <c r="F1654" t="s"/>
      <c r="G1654" t="s"/>
      <c r="H1654" t="s"/>
      <c r="I1654" t="s"/>
      <c r="J1654" t="n">
        <v>0</v>
      </c>
      <c r="K1654" t="n">
        <v>0.093</v>
      </c>
      <c r="L1654" t="n">
        <v>0.8149999999999999</v>
      </c>
      <c r="M1654" t="n">
        <v>0.093</v>
      </c>
    </row>
    <row r="1655" spans="1:13">
      <c r="A1655" s="1">
        <f>HYPERLINK("http://www.twitter.com/NathanBLawrence/status/987883466938310656", "987883466938310656")</f>
        <v/>
      </c>
      <c r="B1655" s="2" t="n">
        <v>43212.11049768519</v>
      </c>
      <c r="C1655" t="n">
        <v>0</v>
      </c>
      <c r="D1655" t="n">
        <v>10</v>
      </c>
      <c r="E1655" t="s">
        <v>1643</v>
      </c>
      <c r="F1655">
        <f>HYPERLINK("http://pbs.twimg.com/media/DbWhrhgX0AAzDIm.jpg", "http://pbs.twimg.com/media/DbWhrhgX0AAzDIm.jpg")</f>
        <v/>
      </c>
      <c r="G1655" t="s"/>
      <c r="H1655" t="s"/>
      <c r="I1655" t="s"/>
      <c r="J1655" t="n">
        <v>0</v>
      </c>
      <c r="K1655" t="n">
        <v>0</v>
      </c>
      <c r="L1655" t="n">
        <v>1</v>
      </c>
      <c r="M1655" t="n">
        <v>0</v>
      </c>
    </row>
    <row r="1656" spans="1:13">
      <c r="A1656" s="1">
        <f>HYPERLINK("http://www.twitter.com/NathanBLawrence/status/987875679747403776", "987875679747403776")</f>
        <v/>
      </c>
      <c r="B1656" s="2" t="n">
        <v>43212.08900462963</v>
      </c>
      <c r="C1656" t="n">
        <v>0</v>
      </c>
      <c r="D1656" t="n">
        <v>0</v>
      </c>
      <c r="E1656" t="s">
        <v>1644</v>
      </c>
      <c r="F1656" t="s"/>
      <c r="G1656" t="s"/>
      <c r="H1656" t="s"/>
      <c r="I1656" t="s"/>
      <c r="J1656" t="n">
        <v>-0.0964</v>
      </c>
      <c r="K1656" t="n">
        <v>0.2</v>
      </c>
      <c r="L1656" t="n">
        <v>0.626</v>
      </c>
      <c r="M1656" t="n">
        <v>0.174</v>
      </c>
    </row>
    <row r="1657" spans="1:13">
      <c r="A1657" s="1">
        <f>HYPERLINK("http://www.twitter.com/NathanBLawrence/status/987873465293254657", "987873465293254657")</f>
        <v/>
      </c>
      <c r="B1657" s="2" t="n">
        <v>43212.08289351852</v>
      </c>
      <c r="C1657" t="n">
        <v>10</v>
      </c>
      <c r="D1657" t="n">
        <v>10</v>
      </c>
      <c r="E1657" t="s">
        <v>1645</v>
      </c>
      <c r="F1657">
        <f>HYPERLINK("http://pbs.twimg.com/media/DbWhrhgX0AAzDIm.jpg", "http://pbs.twimg.com/media/DbWhrhgX0AAzDIm.jpg")</f>
        <v/>
      </c>
      <c r="G1657" t="s"/>
      <c r="H1657" t="s"/>
      <c r="I1657" t="s"/>
      <c r="J1657" t="n">
        <v>0</v>
      </c>
      <c r="K1657" t="n">
        <v>0</v>
      </c>
      <c r="L1657" t="n">
        <v>1</v>
      </c>
      <c r="M1657" t="n">
        <v>0</v>
      </c>
    </row>
    <row r="1658" spans="1:13">
      <c r="A1658" s="1">
        <f>HYPERLINK("http://www.twitter.com/NathanBLawrence/status/987872445217607680", "987872445217607680")</f>
        <v/>
      </c>
      <c r="B1658" s="2" t="n">
        <v>43212.08008101852</v>
      </c>
      <c r="C1658" t="n">
        <v>0</v>
      </c>
      <c r="D1658" t="n">
        <v>1</v>
      </c>
      <c r="E1658" t="s">
        <v>1646</v>
      </c>
      <c r="F1658" t="s"/>
      <c r="G1658" t="s"/>
      <c r="H1658" t="s"/>
      <c r="I1658" t="s"/>
      <c r="J1658" t="n">
        <v>0.296</v>
      </c>
      <c r="K1658" t="n">
        <v>0.091</v>
      </c>
      <c r="L1658" t="n">
        <v>0.6820000000000001</v>
      </c>
      <c r="M1658" t="n">
        <v>0.227</v>
      </c>
    </row>
    <row r="1659" spans="1:13">
      <c r="A1659" s="1">
        <f>HYPERLINK("http://www.twitter.com/NathanBLawrence/status/987872182255652865", "987872182255652865")</f>
        <v/>
      </c>
      <c r="B1659" s="2" t="n">
        <v>43212.07935185185</v>
      </c>
      <c r="C1659" t="n">
        <v>0</v>
      </c>
      <c r="D1659" t="n">
        <v>4</v>
      </c>
      <c r="E1659" t="s">
        <v>1647</v>
      </c>
      <c r="F1659" t="s"/>
      <c r="G1659" t="s"/>
      <c r="H1659" t="s"/>
      <c r="I1659" t="s"/>
      <c r="J1659" t="n">
        <v>-0.6908</v>
      </c>
      <c r="K1659" t="n">
        <v>0.183</v>
      </c>
      <c r="L1659" t="n">
        <v>0.8169999999999999</v>
      </c>
      <c r="M1659" t="n">
        <v>0</v>
      </c>
    </row>
    <row r="1660" spans="1:13">
      <c r="A1660" s="1">
        <f>HYPERLINK("http://www.twitter.com/NathanBLawrence/status/987872169517608960", "987872169517608960")</f>
        <v/>
      </c>
      <c r="B1660" s="2" t="n">
        <v>43212.07931712963</v>
      </c>
      <c r="C1660" t="n">
        <v>0</v>
      </c>
      <c r="D1660" t="n">
        <v>79</v>
      </c>
      <c r="E1660" t="s">
        <v>1648</v>
      </c>
      <c r="F1660" t="s"/>
      <c r="G1660" t="s"/>
      <c r="H1660" t="s"/>
      <c r="I1660" t="s"/>
      <c r="J1660" t="n">
        <v>0.4215</v>
      </c>
      <c r="K1660" t="n">
        <v>0</v>
      </c>
      <c r="L1660" t="n">
        <v>0.859</v>
      </c>
      <c r="M1660" t="n">
        <v>0.141</v>
      </c>
    </row>
    <row r="1661" spans="1:13">
      <c r="A1661" s="1">
        <f>HYPERLINK("http://www.twitter.com/NathanBLawrence/status/987870470828646405", "987870470828646405")</f>
        <v/>
      </c>
      <c r="B1661" s="2" t="n">
        <v>43212.07462962963</v>
      </c>
      <c r="C1661" t="n">
        <v>1</v>
      </c>
      <c r="D1661" t="n">
        <v>0</v>
      </c>
      <c r="E1661" t="s">
        <v>1649</v>
      </c>
      <c r="F1661" t="s"/>
      <c r="G1661" t="s"/>
      <c r="H1661" t="s"/>
      <c r="I1661" t="s"/>
      <c r="J1661" t="n">
        <v>-0.5204</v>
      </c>
      <c r="K1661" t="n">
        <v>0.272</v>
      </c>
      <c r="L1661" t="n">
        <v>0.728</v>
      </c>
      <c r="M1661" t="n">
        <v>0</v>
      </c>
    </row>
    <row r="1662" spans="1:13">
      <c r="A1662" s="1">
        <f>HYPERLINK("http://www.twitter.com/NathanBLawrence/status/987861732583464962", "987861732583464962")</f>
        <v/>
      </c>
      <c r="B1662" s="2" t="n">
        <v>43212.05052083333</v>
      </c>
      <c r="C1662" t="n">
        <v>0</v>
      </c>
      <c r="D1662" t="n">
        <v>44</v>
      </c>
      <c r="E1662" t="s">
        <v>1650</v>
      </c>
      <c r="F1662">
        <f>HYPERLINK("http://pbs.twimg.com/media/DbQr-4yV4AAbb0O.jpg", "http://pbs.twimg.com/media/DbQr-4yV4AAbb0O.jpg")</f>
        <v/>
      </c>
      <c r="G1662" t="s"/>
      <c r="H1662" t="s"/>
      <c r="I1662" t="s"/>
      <c r="J1662" t="n">
        <v>0.212</v>
      </c>
      <c r="K1662" t="n">
        <v>0.101</v>
      </c>
      <c r="L1662" t="n">
        <v>0.768</v>
      </c>
      <c r="M1662" t="n">
        <v>0.131</v>
      </c>
    </row>
    <row r="1663" spans="1:13">
      <c r="A1663" s="1">
        <f>HYPERLINK("http://www.twitter.com/NathanBLawrence/status/987861714296299520", "987861714296299520")</f>
        <v/>
      </c>
      <c r="B1663" s="2" t="n">
        <v>43212.05046296296</v>
      </c>
      <c r="C1663" t="n">
        <v>0</v>
      </c>
      <c r="D1663" t="n">
        <v>37</v>
      </c>
      <c r="E1663" t="s">
        <v>1651</v>
      </c>
      <c r="F1663">
        <f>HYPERLINK("http://pbs.twimg.com/media/DbRBVhPV4AYc01y.jpg", "http://pbs.twimg.com/media/DbRBVhPV4AYc01y.jpg")</f>
        <v/>
      </c>
      <c r="G1663" t="s"/>
      <c r="H1663" t="s"/>
      <c r="I1663" t="s"/>
      <c r="J1663" t="n">
        <v>0</v>
      </c>
      <c r="K1663" t="n">
        <v>0</v>
      </c>
      <c r="L1663" t="n">
        <v>1</v>
      </c>
      <c r="M1663" t="n">
        <v>0</v>
      </c>
    </row>
    <row r="1664" spans="1:13">
      <c r="A1664" s="1">
        <f>HYPERLINK("http://www.twitter.com/NathanBLawrence/status/987861534864019456", "987861534864019456")</f>
        <v/>
      </c>
      <c r="B1664" s="2" t="n">
        <v>43212.04997685185</v>
      </c>
      <c r="C1664" t="n">
        <v>0</v>
      </c>
      <c r="D1664" t="n">
        <v>218</v>
      </c>
      <c r="E1664" t="s">
        <v>1652</v>
      </c>
      <c r="F1664" t="s"/>
      <c r="G1664" t="s"/>
      <c r="H1664" t="s"/>
      <c r="I1664" t="s"/>
      <c r="J1664" t="n">
        <v>-0.4404</v>
      </c>
      <c r="K1664" t="n">
        <v>0.121</v>
      </c>
      <c r="L1664" t="n">
        <v>0.879</v>
      </c>
      <c r="M1664" t="n">
        <v>0</v>
      </c>
    </row>
    <row r="1665" spans="1:13">
      <c r="A1665" s="1">
        <f>HYPERLINK("http://www.twitter.com/NathanBLawrence/status/987861473283239936", "987861473283239936")</f>
        <v/>
      </c>
      <c r="B1665" s="2" t="n">
        <v>43212.04980324074</v>
      </c>
      <c r="C1665" t="n">
        <v>0</v>
      </c>
      <c r="D1665" t="n">
        <v>115</v>
      </c>
      <c r="E1665" t="s">
        <v>1653</v>
      </c>
      <c r="F1665" t="s"/>
      <c r="G1665" t="s"/>
      <c r="H1665" t="s"/>
      <c r="I1665" t="s"/>
      <c r="J1665" t="n">
        <v>-0.6369</v>
      </c>
      <c r="K1665" t="n">
        <v>0.259</v>
      </c>
      <c r="L1665" t="n">
        <v>0.741</v>
      </c>
      <c r="M1665" t="n">
        <v>0</v>
      </c>
    </row>
    <row r="1666" spans="1:13">
      <c r="A1666" s="1">
        <f>HYPERLINK("http://www.twitter.com/NathanBLawrence/status/987861314474258433", "987861314474258433")</f>
        <v/>
      </c>
      <c r="B1666" s="2" t="n">
        <v>43212.04936342593</v>
      </c>
      <c r="C1666" t="n">
        <v>0</v>
      </c>
      <c r="D1666" t="n">
        <v>2145</v>
      </c>
      <c r="E1666" t="s">
        <v>1654</v>
      </c>
      <c r="F1666">
        <f>HYPERLINK("https://video.twimg.com/ext_tw_video/987821533623009280/pu/vid/592x1280/2WCU_8_UkUy2v7GG.mp4?tag=3", "https://video.twimg.com/ext_tw_video/987821533623009280/pu/vid/592x1280/2WCU_8_UkUy2v7GG.mp4?tag=3")</f>
        <v/>
      </c>
      <c r="G1666" t="s"/>
      <c r="H1666" t="s"/>
      <c r="I1666" t="s"/>
      <c r="J1666" t="n">
        <v>-0.1531</v>
      </c>
      <c r="K1666" t="n">
        <v>0.08599999999999999</v>
      </c>
      <c r="L1666" t="n">
        <v>0.914</v>
      </c>
      <c r="M1666" t="n">
        <v>0</v>
      </c>
    </row>
    <row r="1667" spans="1:13">
      <c r="A1667" s="1">
        <f>HYPERLINK("http://www.twitter.com/NathanBLawrence/status/987861281347723266", "987861281347723266")</f>
        <v/>
      </c>
      <c r="B1667" s="2" t="n">
        <v>43212.04927083333</v>
      </c>
      <c r="C1667" t="n">
        <v>0</v>
      </c>
      <c r="D1667" t="n">
        <v>125</v>
      </c>
      <c r="E1667" t="s">
        <v>1655</v>
      </c>
      <c r="F1667">
        <f>HYPERLINK("http://pbs.twimg.com/media/DbUV4dRVMAUzatO.jpg", "http://pbs.twimg.com/media/DbUV4dRVMAUzatO.jpg")</f>
        <v/>
      </c>
      <c r="G1667" t="s"/>
      <c r="H1667" t="s"/>
      <c r="I1667" t="s"/>
      <c r="J1667" t="n">
        <v>0</v>
      </c>
      <c r="K1667" t="n">
        <v>0</v>
      </c>
      <c r="L1667" t="n">
        <v>1</v>
      </c>
      <c r="M1667" t="n">
        <v>0</v>
      </c>
    </row>
    <row r="1668" spans="1:13">
      <c r="A1668" s="1">
        <f>HYPERLINK("http://www.twitter.com/NathanBLawrence/status/987861113508454400", "987861113508454400")</f>
        <v/>
      </c>
      <c r="B1668" s="2" t="n">
        <v>43212.04880787037</v>
      </c>
      <c r="C1668" t="n">
        <v>0</v>
      </c>
      <c r="D1668" t="n">
        <v>11238</v>
      </c>
      <c r="E1668" t="s">
        <v>1656</v>
      </c>
      <c r="F1668">
        <f>HYPERLINK("http://pbs.twimg.com/media/DbL94QHVwAAHYcH.jpg", "http://pbs.twimg.com/media/DbL94QHVwAAHYcH.jpg")</f>
        <v/>
      </c>
      <c r="G1668" t="s"/>
      <c r="H1668" t="s"/>
      <c r="I1668" t="s"/>
      <c r="J1668" t="n">
        <v>0</v>
      </c>
      <c r="K1668" t="n">
        <v>0</v>
      </c>
      <c r="L1668" t="n">
        <v>1</v>
      </c>
      <c r="M1668" t="n">
        <v>0</v>
      </c>
    </row>
    <row r="1669" spans="1:13">
      <c r="A1669" s="1">
        <f>HYPERLINK("http://www.twitter.com/NathanBLawrence/status/987861102334808064", "987861102334808064")</f>
        <v/>
      </c>
      <c r="B1669" s="2" t="n">
        <v>43212.04878472222</v>
      </c>
      <c r="C1669" t="n">
        <v>0</v>
      </c>
      <c r="D1669" t="n">
        <v>969</v>
      </c>
      <c r="E1669" t="s">
        <v>1657</v>
      </c>
      <c r="F1669" t="s"/>
      <c r="G1669" t="s"/>
      <c r="H1669" t="s"/>
      <c r="I1669" t="s"/>
      <c r="J1669" t="n">
        <v>-0.7906</v>
      </c>
      <c r="K1669" t="n">
        <v>0.5</v>
      </c>
      <c r="L1669" t="n">
        <v>0.5</v>
      </c>
      <c r="M1669" t="n">
        <v>0</v>
      </c>
    </row>
    <row r="1670" spans="1:13">
      <c r="A1670" s="1">
        <f>HYPERLINK("http://www.twitter.com/NathanBLawrence/status/987861052099620864", "987861052099620864")</f>
        <v/>
      </c>
      <c r="B1670" s="2" t="n">
        <v>43212.04864583333</v>
      </c>
      <c r="C1670" t="n">
        <v>0</v>
      </c>
      <c r="D1670" t="n">
        <v>9</v>
      </c>
      <c r="E1670" t="s">
        <v>1658</v>
      </c>
      <c r="F1670" t="s"/>
      <c r="G1670" t="s"/>
      <c r="H1670" t="s"/>
      <c r="I1670" t="s"/>
      <c r="J1670" t="n">
        <v>-0.7351</v>
      </c>
      <c r="K1670" t="n">
        <v>0.228</v>
      </c>
      <c r="L1670" t="n">
        <v>0.772</v>
      </c>
      <c r="M1670" t="n">
        <v>0</v>
      </c>
    </row>
    <row r="1671" spans="1:13">
      <c r="A1671" s="1">
        <f>HYPERLINK("http://www.twitter.com/NathanBLawrence/status/987861004477493248", "987861004477493248")</f>
        <v/>
      </c>
      <c r="B1671" s="2" t="n">
        <v>43212.04850694445</v>
      </c>
      <c r="C1671" t="n">
        <v>1</v>
      </c>
      <c r="D1671" t="n">
        <v>0</v>
      </c>
      <c r="E1671" t="s">
        <v>1659</v>
      </c>
      <c r="F1671" t="s"/>
      <c r="G1671" t="s"/>
      <c r="H1671" t="s"/>
      <c r="I1671" t="s"/>
      <c r="J1671" t="n">
        <v>0</v>
      </c>
      <c r="K1671" t="n">
        <v>0</v>
      </c>
      <c r="L1671" t="n">
        <v>1</v>
      </c>
      <c r="M1671" t="n">
        <v>0</v>
      </c>
    </row>
    <row r="1672" spans="1:13">
      <c r="A1672" s="1">
        <f>HYPERLINK("http://www.twitter.com/NathanBLawrence/status/987858621512978441", "987858621512978441")</f>
        <v/>
      </c>
      <c r="B1672" s="2" t="n">
        <v>43212.04193287037</v>
      </c>
      <c r="C1672" t="n">
        <v>4</v>
      </c>
      <c r="D1672" t="n">
        <v>1</v>
      </c>
      <c r="E1672" t="s">
        <v>1660</v>
      </c>
      <c r="F1672" t="s"/>
      <c r="G1672" t="s"/>
      <c r="H1672" t="s"/>
      <c r="I1672" t="s"/>
      <c r="J1672" t="n">
        <v>0.8409</v>
      </c>
      <c r="K1672" t="n">
        <v>0.099</v>
      </c>
      <c r="L1672" t="n">
        <v>0.636</v>
      </c>
      <c r="M1672" t="n">
        <v>0.266</v>
      </c>
    </row>
    <row r="1673" spans="1:13">
      <c r="A1673" s="1">
        <f>HYPERLINK("http://www.twitter.com/NathanBLawrence/status/987856993602981888", "987856993602981888")</f>
        <v/>
      </c>
      <c r="B1673" s="2" t="n">
        <v>43212.03744212963</v>
      </c>
      <c r="C1673" t="n">
        <v>0</v>
      </c>
      <c r="D1673" t="n">
        <v>33</v>
      </c>
      <c r="E1673" t="s">
        <v>1661</v>
      </c>
      <c r="F1673">
        <f>HYPERLINK("http://pbs.twimg.com/media/DayUHZZVMAEJJt8.jpg", "http://pbs.twimg.com/media/DayUHZZVMAEJJt8.jpg")</f>
        <v/>
      </c>
      <c r="G1673" t="s"/>
      <c r="H1673" t="s"/>
      <c r="I1673" t="s"/>
      <c r="J1673" t="n">
        <v>0</v>
      </c>
      <c r="K1673" t="n">
        <v>0</v>
      </c>
      <c r="L1673" t="n">
        <v>1</v>
      </c>
      <c r="M1673" t="n">
        <v>0</v>
      </c>
    </row>
    <row r="1674" spans="1:13">
      <c r="A1674" s="1">
        <f>HYPERLINK("http://www.twitter.com/NathanBLawrence/status/987854873965285376", "987854873965285376")</f>
        <v/>
      </c>
      <c r="B1674" s="2" t="n">
        <v>43212.03159722222</v>
      </c>
      <c r="C1674" t="n">
        <v>2</v>
      </c>
      <c r="D1674" t="n">
        <v>1</v>
      </c>
      <c r="E1674" t="s">
        <v>1662</v>
      </c>
      <c r="F1674">
        <f>HYPERLINK("http://pbs.twimg.com/media/DbWQw8pX0AAwcmM.jpg", "http://pbs.twimg.com/media/DbWQw8pX0AAwcmM.jpg")</f>
        <v/>
      </c>
      <c r="G1674" t="s"/>
      <c r="H1674" t="s"/>
      <c r="I1674" t="s"/>
      <c r="J1674" t="n">
        <v>0</v>
      </c>
      <c r="K1674" t="n">
        <v>0</v>
      </c>
      <c r="L1674" t="n">
        <v>1</v>
      </c>
      <c r="M1674" t="n">
        <v>0</v>
      </c>
    </row>
    <row r="1675" spans="1:13">
      <c r="A1675" s="1">
        <f>HYPERLINK("http://www.twitter.com/NathanBLawrence/status/987854690670006272", "987854690670006272")</f>
        <v/>
      </c>
      <c r="B1675" s="2" t="n">
        <v>43212.03108796296</v>
      </c>
      <c r="C1675" t="n">
        <v>0</v>
      </c>
      <c r="D1675" t="n">
        <v>13</v>
      </c>
      <c r="E1675" t="s">
        <v>1663</v>
      </c>
      <c r="F1675" t="s"/>
      <c r="G1675" t="s"/>
      <c r="H1675" t="s"/>
      <c r="I1675" t="s"/>
      <c r="J1675" t="n">
        <v>0.4019</v>
      </c>
      <c r="K1675" t="n">
        <v>0.115</v>
      </c>
      <c r="L1675" t="n">
        <v>0.6909999999999999</v>
      </c>
      <c r="M1675" t="n">
        <v>0.194</v>
      </c>
    </row>
    <row r="1676" spans="1:13">
      <c r="A1676" s="1">
        <f>HYPERLINK("http://www.twitter.com/NathanBLawrence/status/987846996898742272", "987846996898742272")</f>
        <v/>
      </c>
      <c r="B1676" s="2" t="n">
        <v>43212.00986111111</v>
      </c>
      <c r="C1676" t="n">
        <v>0</v>
      </c>
      <c r="D1676" t="n">
        <v>17</v>
      </c>
      <c r="E1676" t="s">
        <v>1664</v>
      </c>
      <c r="F1676">
        <f>HYPERLINK("http://pbs.twimg.com/media/DbWDKwoWAAMT4t3.jpg", "http://pbs.twimg.com/media/DbWDKwoWAAMT4t3.jpg")</f>
        <v/>
      </c>
      <c r="G1676" t="s"/>
      <c r="H1676" t="s"/>
      <c r="I1676" t="s"/>
      <c r="J1676" t="n">
        <v>0.2263</v>
      </c>
      <c r="K1676" t="n">
        <v>0</v>
      </c>
      <c r="L1676" t="n">
        <v>0.888</v>
      </c>
      <c r="M1676" t="n">
        <v>0.112</v>
      </c>
    </row>
    <row r="1677" spans="1:13">
      <c r="A1677" s="1">
        <f>HYPERLINK("http://www.twitter.com/NathanBLawrence/status/987846948056109057", "987846948056109057")</f>
        <v/>
      </c>
      <c r="B1677" s="2" t="n">
        <v>43212.00972222222</v>
      </c>
      <c r="C1677" t="n">
        <v>0</v>
      </c>
      <c r="D1677" t="n">
        <v>8</v>
      </c>
      <c r="E1677" t="s">
        <v>1665</v>
      </c>
      <c r="F1677" t="s"/>
      <c r="G1677" t="s"/>
      <c r="H1677" t="s"/>
      <c r="I1677" t="s"/>
      <c r="J1677" t="n">
        <v>-0.3382</v>
      </c>
      <c r="K1677" t="n">
        <v>0.142</v>
      </c>
      <c r="L1677" t="n">
        <v>0.773</v>
      </c>
      <c r="M1677" t="n">
        <v>0.08500000000000001</v>
      </c>
    </row>
    <row r="1678" spans="1:13">
      <c r="A1678" s="1">
        <f>HYPERLINK("http://www.twitter.com/NathanBLawrence/status/987843547327029249", "987843547327029249")</f>
        <v/>
      </c>
      <c r="B1678" s="2" t="n">
        <v>43212.00033564815</v>
      </c>
      <c r="C1678" t="n">
        <v>10</v>
      </c>
      <c r="D1678" t="n">
        <v>8</v>
      </c>
      <c r="E1678" t="s">
        <v>1666</v>
      </c>
      <c r="F1678" t="s"/>
      <c r="G1678" t="s"/>
      <c r="H1678" t="s"/>
      <c r="I1678" t="s"/>
      <c r="J1678" t="n">
        <v>-0.8309</v>
      </c>
      <c r="K1678" t="n">
        <v>0.183</v>
      </c>
      <c r="L1678" t="n">
        <v>0.778</v>
      </c>
      <c r="M1678" t="n">
        <v>0.039</v>
      </c>
    </row>
    <row r="1679" spans="1:13">
      <c r="A1679" s="1">
        <f>HYPERLINK("http://www.twitter.com/NathanBLawrence/status/987839583919452160", "987839583919452160")</f>
        <v/>
      </c>
      <c r="B1679" s="2" t="n">
        <v>43211.98939814815</v>
      </c>
      <c r="C1679" t="n">
        <v>0</v>
      </c>
      <c r="D1679" t="n">
        <v>17</v>
      </c>
      <c r="E1679" t="s">
        <v>1667</v>
      </c>
      <c r="F1679">
        <f>HYPERLINK("http://pbs.twimg.com/media/DbU7w_YU0AAeVpI.jpg", "http://pbs.twimg.com/media/DbU7w_YU0AAeVpI.jpg")</f>
        <v/>
      </c>
      <c r="G1679" t="s"/>
      <c r="H1679" t="s"/>
      <c r="I1679" t="s"/>
      <c r="J1679" t="n">
        <v>0.7178</v>
      </c>
      <c r="K1679" t="n">
        <v>0.07000000000000001</v>
      </c>
      <c r="L1679" t="n">
        <v>0.701</v>
      </c>
      <c r="M1679" t="n">
        <v>0.229</v>
      </c>
    </row>
    <row r="1680" spans="1:13">
      <c r="A1680" s="1">
        <f>HYPERLINK("http://www.twitter.com/NathanBLawrence/status/987839545629605888", "987839545629605888")</f>
        <v/>
      </c>
      <c r="B1680" s="2" t="n">
        <v>43211.98929398148</v>
      </c>
      <c r="C1680" t="n">
        <v>0</v>
      </c>
      <c r="D1680" t="n">
        <v>9</v>
      </c>
      <c r="E1680" t="s">
        <v>1668</v>
      </c>
      <c r="F1680" t="s"/>
      <c r="G1680" t="s"/>
      <c r="H1680" t="s"/>
      <c r="I1680" t="s"/>
      <c r="J1680" t="n">
        <v>0.504</v>
      </c>
      <c r="K1680" t="n">
        <v>0</v>
      </c>
      <c r="L1680" t="n">
        <v>0.866</v>
      </c>
      <c r="M1680" t="n">
        <v>0.134</v>
      </c>
    </row>
    <row r="1681" spans="1:13">
      <c r="A1681" s="1">
        <f>HYPERLINK("http://www.twitter.com/NathanBLawrence/status/987839481536569345", "987839481536569345")</f>
        <v/>
      </c>
      <c r="B1681" s="2" t="n">
        <v>43211.98912037037</v>
      </c>
      <c r="C1681" t="n">
        <v>0</v>
      </c>
      <c r="D1681" t="n">
        <v>11</v>
      </c>
      <c r="E1681" t="s">
        <v>1669</v>
      </c>
      <c r="F1681" t="s"/>
      <c r="G1681" t="s"/>
      <c r="H1681" t="s"/>
      <c r="I1681" t="s"/>
      <c r="J1681" t="n">
        <v>-0.1027</v>
      </c>
      <c r="K1681" t="n">
        <v>0.076</v>
      </c>
      <c r="L1681" t="n">
        <v>0.924</v>
      </c>
      <c r="M1681" t="n">
        <v>0</v>
      </c>
    </row>
    <row r="1682" spans="1:13">
      <c r="A1682" s="1">
        <f>HYPERLINK("http://www.twitter.com/NathanBLawrence/status/987839467183591425", "987839467183591425")</f>
        <v/>
      </c>
      <c r="B1682" s="2" t="n">
        <v>43211.98907407407</v>
      </c>
      <c r="C1682" t="n">
        <v>0</v>
      </c>
      <c r="D1682" t="n">
        <v>7</v>
      </c>
      <c r="E1682" t="s">
        <v>1670</v>
      </c>
      <c r="F1682" t="s"/>
      <c r="G1682" t="s"/>
      <c r="H1682" t="s"/>
      <c r="I1682" t="s"/>
      <c r="J1682" t="n">
        <v>-0.2411</v>
      </c>
      <c r="K1682" t="n">
        <v>0.186</v>
      </c>
      <c r="L1682" t="n">
        <v>0.704</v>
      </c>
      <c r="M1682" t="n">
        <v>0.11</v>
      </c>
    </row>
    <row r="1683" spans="1:13">
      <c r="A1683" s="1">
        <f>HYPERLINK("http://www.twitter.com/NathanBLawrence/status/987839458270695424", "987839458270695424")</f>
        <v/>
      </c>
      <c r="B1683" s="2" t="n">
        <v>43211.98905092593</v>
      </c>
      <c r="C1683" t="n">
        <v>0</v>
      </c>
      <c r="D1683" t="n">
        <v>59</v>
      </c>
      <c r="E1683" t="s">
        <v>1671</v>
      </c>
      <c r="F1683" t="s"/>
      <c r="G1683" t="s"/>
      <c r="H1683" t="s"/>
      <c r="I1683" t="s"/>
      <c r="J1683" t="n">
        <v>0.0531</v>
      </c>
      <c r="K1683" t="n">
        <v>0.089</v>
      </c>
      <c r="L1683" t="n">
        <v>0.8129999999999999</v>
      </c>
      <c r="M1683" t="n">
        <v>0.098</v>
      </c>
    </row>
    <row r="1684" spans="1:13">
      <c r="A1684" s="1">
        <f>HYPERLINK("http://www.twitter.com/NathanBLawrence/status/987839085615222784", "987839085615222784")</f>
        <v/>
      </c>
      <c r="B1684" s="2" t="n">
        <v>43211.98802083333</v>
      </c>
      <c r="C1684" t="n">
        <v>0</v>
      </c>
      <c r="D1684" t="n">
        <v>31</v>
      </c>
      <c r="E1684" t="s">
        <v>1672</v>
      </c>
      <c r="F1684" t="s"/>
      <c r="G1684" t="s"/>
      <c r="H1684" t="s"/>
      <c r="I1684" t="s"/>
      <c r="J1684" t="n">
        <v>-0.6705</v>
      </c>
      <c r="K1684" t="n">
        <v>0.2</v>
      </c>
      <c r="L1684" t="n">
        <v>0.8</v>
      </c>
      <c r="M1684" t="n">
        <v>0</v>
      </c>
    </row>
    <row r="1685" spans="1:13">
      <c r="A1685" s="1">
        <f>HYPERLINK("http://www.twitter.com/NathanBLawrence/status/987838872573837312", "987838872573837312")</f>
        <v/>
      </c>
      <c r="B1685" s="2" t="n">
        <v>43211.98744212963</v>
      </c>
      <c r="C1685" t="n">
        <v>0</v>
      </c>
      <c r="D1685" t="n">
        <v>110</v>
      </c>
      <c r="E1685" t="s">
        <v>1673</v>
      </c>
      <c r="F1685" t="s"/>
      <c r="G1685" t="s"/>
      <c r="H1685" t="s"/>
      <c r="I1685" t="s"/>
      <c r="J1685" t="n">
        <v>0.7345</v>
      </c>
      <c r="K1685" t="n">
        <v>0</v>
      </c>
      <c r="L1685" t="n">
        <v>0.618</v>
      </c>
      <c r="M1685" t="n">
        <v>0.382</v>
      </c>
    </row>
    <row r="1686" spans="1:13">
      <c r="A1686" s="1">
        <f>HYPERLINK("http://www.twitter.com/NathanBLawrence/status/987837814401323009", "987837814401323009")</f>
        <v/>
      </c>
      <c r="B1686" s="2" t="n">
        <v>43211.98451388889</v>
      </c>
      <c r="C1686" t="n">
        <v>0</v>
      </c>
      <c r="D1686" t="n">
        <v>98</v>
      </c>
      <c r="E1686" t="s">
        <v>1674</v>
      </c>
      <c r="F1686" t="s"/>
      <c r="G1686" t="s"/>
      <c r="H1686" t="s"/>
      <c r="I1686" t="s"/>
      <c r="J1686" t="n">
        <v>0.8591</v>
      </c>
      <c r="K1686" t="n">
        <v>0</v>
      </c>
      <c r="L1686" t="n">
        <v>0.678</v>
      </c>
      <c r="M1686" t="n">
        <v>0.322</v>
      </c>
    </row>
    <row r="1687" spans="1:13">
      <c r="A1687" s="1">
        <f>HYPERLINK("http://www.twitter.com/NathanBLawrence/status/987837782000357381", "987837782000357381")</f>
        <v/>
      </c>
      <c r="B1687" s="2" t="n">
        <v>43211.98443287037</v>
      </c>
      <c r="C1687" t="n">
        <v>0</v>
      </c>
      <c r="D1687" t="n">
        <v>95</v>
      </c>
      <c r="E1687" t="s">
        <v>1675</v>
      </c>
      <c r="F1687" t="s"/>
      <c r="G1687" t="s"/>
      <c r="H1687" t="s"/>
      <c r="I1687" t="s"/>
      <c r="J1687" t="n">
        <v>0.7351</v>
      </c>
      <c r="K1687" t="n">
        <v>0</v>
      </c>
      <c r="L1687" t="n">
        <v>0.6929999999999999</v>
      </c>
      <c r="M1687" t="n">
        <v>0.307</v>
      </c>
    </row>
    <row r="1688" spans="1:13">
      <c r="A1688" s="1">
        <f>HYPERLINK("http://www.twitter.com/NathanBLawrence/status/987837760382951425", "987837760382951425")</f>
        <v/>
      </c>
      <c r="B1688" s="2" t="n">
        <v>43211.98436342592</v>
      </c>
      <c r="C1688" t="n">
        <v>0</v>
      </c>
      <c r="D1688" t="n">
        <v>242</v>
      </c>
      <c r="E1688" t="s">
        <v>1676</v>
      </c>
      <c r="F1688" t="s"/>
      <c r="G1688" t="s"/>
      <c r="H1688" t="s"/>
      <c r="I1688" t="s"/>
      <c r="J1688" t="n">
        <v>0.4497</v>
      </c>
      <c r="K1688" t="n">
        <v>0</v>
      </c>
      <c r="L1688" t="n">
        <v>0.774</v>
      </c>
      <c r="M1688" t="n">
        <v>0.226</v>
      </c>
    </row>
    <row r="1689" spans="1:13">
      <c r="A1689" s="1">
        <f>HYPERLINK("http://www.twitter.com/NathanBLawrence/status/987837632225927169", "987837632225927169")</f>
        <v/>
      </c>
      <c r="B1689" s="2" t="n">
        <v>43211.98401620371</v>
      </c>
      <c r="C1689" t="n">
        <v>0</v>
      </c>
      <c r="D1689" t="n">
        <v>532</v>
      </c>
      <c r="E1689" t="s">
        <v>1677</v>
      </c>
      <c r="F1689" t="s"/>
      <c r="G1689" t="s"/>
      <c r="H1689" t="s"/>
      <c r="I1689" t="s"/>
      <c r="J1689" t="n">
        <v>0.1027</v>
      </c>
      <c r="K1689" t="n">
        <v>0.123</v>
      </c>
      <c r="L1689" t="n">
        <v>0.739</v>
      </c>
      <c r="M1689" t="n">
        <v>0.137</v>
      </c>
    </row>
    <row r="1690" spans="1:13">
      <c r="A1690" s="1">
        <f>HYPERLINK("http://www.twitter.com/NathanBLawrence/status/987809069397311489", "987809069397311489")</f>
        <v/>
      </c>
      <c r="B1690" s="2" t="n">
        <v>43211.90519675926</v>
      </c>
      <c r="C1690" t="n">
        <v>0</v>
      </c>
      <c r="D1690" t="n">
        <v>1</v>
      </c>
      <c r="E1690" t="s">
        <v>1678</v>
      </c>
      <c r="F1690" t="s"/>
      <c r="G1690" t="s"/>
      <c r="H1690" t="s"/>
      <c r="I1690" t="s"/>
      <c r="J1690" t="n">
        <v>-0.296</v>
      </c>
      <c r="K1690" t="n">
        <v>0.196</v>
      </c>
      <c r="L1690" t="n">
        <v>0.804</v>
      </c>
      <c r="M1690" t="n">
        <v>0</v>
      </c>
    </row>
    <row r="1691" spans="1:13">
      <c r="A1691" s="1">
        <f>HYPERLINK("http://www.twitter.com/NathanBLawrence/status/987806304688328705", "987806304688328705")</f>
        <v/>
      </c>
      <c r="B1691" s="2" t="n">
        <v>43211.89756944445</v>
      </c>
      <c r="C1691" t="n">
        <v>0</v>
      </c>
      <c r="D1691" t="n">
        <v>8</v>
      </c>
      <c r="E1691" t="s">
        <v>1679</v>
      </c>
      <c r="F1691" t="s"/>
      <c r="G1691" t="s"/>
      <c r="H1691" t="s"/>
      <c r="I1691" t="s"/>
      <c r="J1691" t="n">
        <v>-0.8834</v>
      </c>
      <c r="K1691" t="n">
        <v>0.353</v>
      </c>
      <c r="L1691" t="n">
        <v>0.579</v>
      </c>
      <c r="M1691" t="n">
        <v>0.06900000000000001</v>
      </c>
    </row>
    <row r="1692" spans="1:13">
      <c r="A1692" s="1">
        <f>HYPERLINK("http://www.twitter.com/NathanBLawrence/status/987801930498965504", "987801930498965504")</f>
        <v/>
      </c>
      <c r="B1692" s="2" t="n">
        <v>43211.88549768519</v>
      </c>
      <c r="C1692" t="n">
        <v>0</v>
      </c>
      <c r="D1692" t="n">
        <v>6</v>
      </c>
      <c r="E1692" t="s">
        <v>1680</v>
      </c>
      <c r="F1692" t="s"/>
      <c r="G1692" t="s"/>
      <c r="H1692" t="s"/>
      <c r="I1692" t="s"/>
      <c r="J1692" t="n">
        <v>0</v>
      </c>
      <c r="K1692" t="n">
        <v>0</v>
      </c>
      <c r="L1692" t="n">
        <v>1</v>
      </c>
      <c r="M1692" t="n">
        <v>0</v>
      </c>
    </row>
    <row r="1693" spans="1:13">
      <c r="A1693" s="1">
        <f>HYPERLINK("http://www.twitter.com/NathanBLawrence/status/987797235919478785", "987797235919478785")</f>
        <v/>
      </c>
      <c r="B1693" s="2" t="n">
        <v>43211.8725462963</v>
      </c>
      <c r="C1693" t="n">
        <v>0</v>
      </c>
      <c r="D1693" t="n">
        <v>1093</v>
      </c>
      <c r="E1693" t="s">
        <v>1681</v>
      </c>
      <c r="F1693" t="s"/>
      <c r="G1693" t="s"/>
      <c r="H1693" t="s"/>
      <c r="I1693" t="s"/>
      <c r="J1693" t="n">
        <v>0.8625</v>
      </c>
      <c r="K1693" t="n">
        <v>0</v>
      </c>
      <c r="L1693" t="n">
        <v>0.6860000000000001</v>
      </c>
      <c r="M1693" t="n">
        <v>0.314</v>
      </c>
    </row>
    <row r="1694" spans="1:13">
      <c r="A1694" s="1">
        <f>HYPERLINK("http://www.twitter.com/NathanBLawrence/status/987797049440653313", "987797049440653313")</f>
        <v/>
      </c>
      <c r="B1694" s="2" t="n">
        <v>43211.87202546297</v>
      </c>
      <c r="C1694" t="n">
        <v>0</v>
      </c>
      <c r="D1694" t="n">
        <v>2</v>
      </c>
      <c r="E1694" t="s">
        <v>1682</v>
      </c>
      <c r="F1694" t="s"/>
      <c r="G1694" t="s"/>
      <c r="H1694" t="s"/>
      <c r="I1694" t="s"/>
      <c r="J1694" t="n">
        <v>-0.34</v>
      </c>
      <c r="K1694" t="n">
        <v>0.112</v>
      </c>
      <c r="L1694" t="n">
        <v>0.888</v>
      </c>
      <c r="M1694" t="n">
        <v>0</v>
      </c>
    </row>
    <row r="1695" spans="1:13">
      <c r="A1695" s="1">
        <f>HYPERLINK("http://www.twitter.com/NathanBLawrence/status/987795037051342851", "987795037051342851")</f>
        <v/>
      </c>
      <c r="B1695" s="2" t="n">
        <v>43211.86646990741</v>
      </c>
      <c r="C1695" t="n">
        <v>3</v>
      </c>
      <c r="D1695" t="n">
        <v>2</v>
      </c>
      <c r="E1695" t="s">
        <v>1683</v>
      </c>
      <c r="F1695" t="s"/>
      <c r="G1695" t="s"/>
      <c r="H1695" t="s"/>
      <c r="I1695" t="s"/>
      <c r="J1695" t="n">
        <v>-0.9558</v>
      </c>
      <c r="K1695" t="n">
        <v>0.359</v>
      </c>
      <c r="L1695" t="n">
        <v>0.641</v>
      </c>
      <c r="M1695" t="n">
        <v>0</v>
      </c>
    </row>
    <row r="1696" spans="1:13">
      <c r="A1696" s="1">
        <f>HYPERLINK("http://www.twitter.com/NathanBLawrence/status/987794586742345728", "987794586742345728")</f>
        <v/>
      </c>
      <c r="B1696" s="2" t="n">
        <v>43211.86523148148</v>
      </c>
      <c r="C1696" t="n">
        <v>0</v>
      </c>
      <c r="D1696" t="n">
        <v>8</v>
      </c>
      <c r="E1696" t="s">
        <v>1684</v>
      </c>
      <c r="F1696" t="s"/>
      <c r="G1696" t="s"/>
      <c r="H1696" t="s"/>
      <c r="I1696" t="s"/>
      <c r="J1696" t="n">
        <v>0</v>
      </c>
      <c r="K1696" t="n">
        <v>0</v>
      </c>
      <c r="L1696" t="n">
        <v>1</v>
      </c>
      <c r="M1696" t="n">
        <v>0</v>
      </c>
    </row>
    <row r="1697" spans="1:13">
      <c r="A1697" s="1">
        <f>HYPERLINK("http://www.twitter.com/NathanBLawrence/status/987784275197136898", "987784275197136898")</f>
        <v/>
      </c>
      <c r="B1697" s="2" t="n">
        <v>43211.83678240741</v>
      </c>
      <c r="C1697" t="n">
        <v>0</v>
      </c>
      <c r="D1697" t="n">
        <v>9</v>
      </c>
      <c r="E1697" t="s">
        <v>1685</v>
      </c>
      <c r="F1697" t="s"/>
      <c r="G1697" t="s"/>
      <c r="H1697" t="s"/>
      <c r="I1697" t="s"/>
      <c r="J1697" t="n">
        <v>0</v>
      </c>
      <c r="K1697" t="n">
        <v>0</v>
      </c>
      <c r="L1697" t="n">
        <v>1</v>
      </c>
      <c r="M1697" t="n">
        <v>0</v>
      </c>
    </row>
    <row r="1698" spans="1:13">
      <c r="A1698" s="1">
        <f>HYPERLINK("http://www.twitter.com/NathanBLawrence/status/987784243278503936", "987784243278503936")</f>
        <v/>
      </c>
      <c r="B1698" s="2" t="n">
        <v>43211.83668981482</v>
      </c>
      <c r="C1698" t="n">
        <v>11</v>
      </c>
      <c r="D1698" t="n">
        <v>9</v>
      </c>
      <c r="E1698" t="s">
        <v>1686</v>
      </c>
      <c r="F1698" t="s"/>
      <c r="G1698" t="s"/>
      <c r="H1698" t="s"/>
      <c r="I1698" t="s"/>
      <c r="J1698" t="n">
        <v>-0.6072</v>
      </c>
      <c r="K1698" t="n">
        <v>0.109</v>
      </c>
      <c r="L1698" t="n">
        <v>0.862</v>
      </c>
      <c r="M1698" t="n">
        <v>0.03</v>
      </c>
    </row>
    <row r="1699" spans="1:13">
      <c r="A1699" s="1">
        <f>HYPERLINK("http://www.twitter.com/NathanBLawrence/status/987783675529105408", "987783675529105408")</f>
        <v/>
      </c>
      <c r="B1699" s="2" t="n">
        <v>43211.83512731481</v>
      </c>
      <c r="C1699" t="n">
        <v>0</v>
      </c>
      <c r="D1699" t="n">
        <v>2</v>
      </c>
      <c r="E1699" t="s">
        <v>1687</v>
      </c>
      <c r="F1699" t="s"/>
      <c r="G1699" t="s"/>
      <c r="H1699" t="s"/>
      <c r="I1699" t="s"/>
      <c r="J1699" t="n">
        <v>0</v>
      </c>
      <c r="K1699" t="n">
        <v>0</v>
      </c>
      <c r="L1699" t="n">
        <v>1</v>
      </c>
      <c r="M1699" t="n">
        <v>0</v>
      </c>
    </row>
    <row r="1700" spans="1:13">
      <c r="A1700" s="1">
        <f>HYPERLINK("http://www.twitter.com/NathanBLawrence/status/987782633651425281", "987782633651425281")</f>
        <v/>
      </c>
      <c r="B1700" s="2" t="n">
        <v>43211.83224537037</v>
      </c>
      <c r="C1700" t="n">
        <v>0</v>
      </c>
      <c r="D1700" t="n">
        <v>10</v>
      </c>
      <c r="E1700" t="s">
        <v>1688</v>
      </c>
      <c r="F1700" t="s"/>
      <c r="G1700" t="s"/>
      <c r="H1700" t="s"/>
      <c r="I1700" t="s"/>
      <c r="J1700" t="n">
        <v>-0.5719</v>
      </c>
      <c r="K1700" t="n">
        <v>0.207</v>
      </c>
      <c r="L1700" t="n">
        <v>0.793</v>
      </c>
      <c r="M1700" t="n">
        <v>0</v>
      </c>
    </row>
    <row r="1701" spans="1:13">
      <c r="A1701" s="1">
        <f>HYPERLINK("http://www.twitter.com/NathanBLawrence/status/987782579297357824", "987782579297357824")</f>
        <v/>
      </c>
      <c r="B1701" s="2" t="n">
        <v>43211.8320949074</v>
      </c>
      <c r="C1701" t="n">
        <v>0</v>
      </c>
      <c r="D1701" t="n">
        <v>5</v>
      </c>
      <c r="E1701" t="s">
        <v>1689</v>
      </c>
      <c r="F1701" t="s"/>
      <c r="G1701" t="s"/>
      <c r="H1701" t="s"/>
      <c r="I1701" t="s"/>
      <c r="J1701" t="n">
        <v>0.0772</v>
      </c>
      <c r="K1701" t="n">
        <v>0.11</v>
      </c>
      <c r="L1701" t="n">
        <v>0.77</v>
      </c>
      <c r="M1701" t="n">
        <v>0.12</v>
      </c>
    </row>
    <row r="1702" spans="1:13">
      <c r="A1702" s="1">
        <f>HYPERLINK("http://www.twitter.com/NathanBLawrence/status/987782557155692544", "987782557155692544")</f>
        <v/>
      </c>
      <c r="B1702" s="2" t="n">
        <v>43211.83203703703</v>
      </c>
      <c r="C1702" t="n">
        <v>0</v>
      </c>
      <c r="D1702" t="n">
        <v>6</v>
      </c>
      <c r="E1702" t="s">
        <v>1690</v>
      </c>
      <c r="F1702" t="s"/>
      <c r="G1702" t="s"/>
      <c r="H1702" t="s"/>
      <c r="I1702" t="s"/>
      <c r="J1702" t="n">
        <v>-0.4003</v>
      </c>
      <c r="K1702" t="n">
        <v>0.137</v>
      </c>
      <c r="L1702" t="n">
        <v>0.863</v>
      </c>
      <c r="M1702" t="n">
        <v>0</v>
      </c>
    </row>
    <row r="1703" spans="1:13">
      <c r="A1703" s="1">
        <f>HYPERLINK("http://www.twitter.com/NathanBLawrence/status/987782522485575682", "987782522485575682")</f>
        <v/>
      </c>
      <c r="B1703" s="2" t="n">
        <v>43211.83194444444</v>
      </c>
      <c r="C1703" t="n">
        <v>0</v>
      </c>
      <c r="D1703" t="n">
        <v>13</v>
      </c>
      <c r="E1703" t="s">
        <v>1691</v>
      </c>
      <c r="F1703" t="s"/>
      <c r="G1703" t="s"/>
      <c r="H1703" t="s"/>
      <c r="I1703" t="s"/>
      <c r="J1703" t="n">
        <v>0.3612</v>
      </c>
      <c r="K1703" t="n">
        <v>0</v>
      </c>
      <c r="L1703" t="n">
        <v>0.894</v>
      </c>
      <c r="M1703" t="n">
        <v>0.106</v>
      </c>
    </row>
    <row r="1704" spans="1:13">
      <c r="A1704" s="1">
        <f>HYPERLINK("http://www.twitter.com/NathanBLawrence/status/987782503372083200", "987782503372083200")</f>
        <v/>
      </c>
      <c r="B1704" s="2" t="n">
        <v>43211.83188657407</v>
      </c>
      <c r="C1704" t="n">
        <v>0</v>
      </c>
      <c r="D1704" t="n">
        <v>7</v>
      </c>
      <c r="E1704" t="s">
        <v>1692</v>
      </c>
      <c r="F1704" t="s"/>
      <c r="G1704" t="s"/>
      <c r="H1704" t="s"/>
      <c r="I1704" t="s"/>
      <c r="J1704" t="n">
        <v>-0.128</v>
      </c>
      <c r="K1704" t="n">
        <v>0.2</v>
      </c>
      <c r="L1704" t="n">
        <v>0.618</v>
      </c>
      <c r="M1704" t="n">
        <v>0.182</v>
      </c>
    </row>
    <row r="1705" spans="1:13">
      <c r="A1705" s="1">
        <f>HYPERLINK("http://www.twitter.com/NathanBLawrence/status/987771944903806977", "987771944903806977")</f>
        <v/>
      </c>
      <c r="B1705" s="2" t="n">
        <v>43211.80275462963</v>
      </c>
      <c r="C1705" t="n">
        <v>0</v>
      </c>
      <c r="D1705" t="n">
        <v>12</v>
      </c>
      <c r="E1705" t="s">
        <v>1693</v>
      </c>
      <c r="F1705" t="s"/>
      <c r="G1705" t="s"/>
      <c r="H1705" t="s"/>
      <c r="I1705" t="s"/>
      <c r="J1705" t="n">
        <v>-0.34</v>
      </c>
      <c r="K1705" t="n">
        <v>0.118</v>
      </c>
      <c r="L1705" t="n">
        <v>0.882</v>
      </c>
      <c r="M1705" t="n">
        <v>0</v>
      </c>
    </row>
    <row r="1706" spans="1:13">
      <c r="A1706" s="1">
        <f>HYPERLINK("http://www.twitter.com/NathanBLawrence/status/987771887500627968", "987771887500627968")</f>
        <v/>
      </c>
      <c r="B1706" s="2" t="n">
        <v>43211.80259259259</v>
      </c>
      <c r="C1706" t="n">
        <v>15</v>
      </c>
      <c r="D1706" t="n">
        <v>12</v>
      </c>
      <c r="E1706" t="s">
        <v>1694</v>
      </c>
      <c r="F1706" t="s"/>
      <c r="G1706" t="s"/>
      <c r="H1706" t="s"/>
      <c r="I1706" t="s"/>
      <c r="J1706" t="n">
        <v>-0.8884</v>
      </c>
      <c r="K1706" t="n">
        <v>0.237</v>
      </c>
      <c r="L1706" t="n">
        <v>0.763</v>
      </c>
      <c r="M1706" t="n">
        <v>0</v>
      </c>
    </row>
    <row r="1707" spans="1:13">
      <c r="A1707" s="1">
        <f>HYPERLINK("http://www.twitter.com/NathanBLawrence/status/987770848030453760", "987770848030453760")</f>
        <v/>
      </c>
      <c r="B1707" s="2" t="n">
        <v>43211.79972222223</v>
      </c>
      <c r="C1707" t="n">
        <v>0</v>
      </c>
      <c r="D1707" t="n">
        <v>11</v>
      </c>
      <c r="E1707" t="s">
        <v>1695</v>
      </c>
      <c r="F1707" t="s"/>
      <c r="G1707" t="s"/>
      <c r="H1707" t="s"/>
      <c r="I1707" t="s"/>
      <c r="J1707" t="n">
        <v>0</v>
      </c>
      <c r="K1707" t="n">
        <v>0</v>
      </c>
      <c r="L1707" t="n">
        <v>1</v>
      </c>
      <c r="M1707" t="n">
        <v>0</v>
      </c>
    </row>
    <row r="1708" spans="1:13">
      <c r="A1708" s="1">
        <f>HYPERLINK("http://www.twitter.com/NathanBLawrence/status/987770768539967489", "987770768539967489")</f>
        <v/>
      </c>
      <c r="B1708" s="2" t="n">
        <v>43211.79950231482</v>
      </c>
      <c r="C1708" t="n">
        <v>0</v>
      </c>
      <c r="D1708" t="n">
        <v>14</v>
      </c>
      <c r="E1708" t="s">
        <v>1682</v>
      </c>
      <c r="F1708">
        <f>HYPERLINK("http://pbs.twimg.com/media/DbVDMQCVAAAUmte.jpg", "http://pbs.twimg.com/media/DbVDMQCVAAAUmte.jpg")</f>
        <v/>
      </c>
      <c r="G1708" t="s"/>
      <c r="H1708" t="s"/>
      <c r="I1708" t="s"/>
      <c r="J1708" t="n">
        <v>-0.34</v>
      </c>
      <c r="K1708" t="n">
        <v>0.112</v>
      </c>
      <c r="L1708" t="n">
        <v>0.888</v>
      </c>
      <c r="M1708" t="n">
        <v>0</v>
      </c>
    </row>
    <row r="1709" spans="1:13">
      <c r="A1709" s="1">
        <f>HYPERLINK("http://www.twitter.com/NathanBLawrence/status/987770749040590850", "987770749040590850")</f>
        <v/>
      </c>
      <c r="B1709" s="2" t="n">
        <v>43211.79945601852</v>
      </c>
      <c r="C1709" t="n">
        <v>11</v>
      </c>
      <c r="D1709" t="n">
        <v>11</v>
      </c>
      <c r="E1709" t="s">
        <v>1696</v>
      </c>
      <c r="F1709" t="s"/>
      <c r="G1709" t="s"/>
      <c r="H1709" t="s"/>
      <c r="I1709" t="s"/>
      <c r="J1709" t="n">
        <v>0</v>
      </c>
      <c r="K1709" t="n">
        <v>0</v>
      </c>
      <c r="L1709" t="n">
        <v>1</v>
      </c>
      <c r="M1709" t="n">
        <v>0</v>
      </c>
    </row>
    <row r="1710" spans="1:13">
      <c r="A1710" s="1">
        <f>HYPERLINK("http://www.twitter.com/NathanBLawrence/status/987769577210810368", "987769577210810368")</f>
        <v/>
      </c>
      <c r="B1710" s="2" t="n">
        <v>43211.79621527778</v>
      </c>
      <c r="C1710" t="n">
        <v>14</v>
      </c>
      <c r="D1710" t="n">
        <v>14</v>
      </c>
      <c r="E1710" t="s">
        <v>1697</v>
      </c>
      <c r="F1710">
        <f>HYPERLINK("http://pbs.twimg.com/media/DbVDMQCVAAAUmte.jpg", "http://pbs.twimg.com/media/DbVDMQCVAAAUmte.jpg")</f>
        <v/>
      </c>
      <c r="G1710" t="s"/>
      <c r="H1710" t="s"/>
      <c r="I1710" t="s"/>
      <c r="J1710" t="n">
        <v>-0.8884</v>
      </c>
      <c r="K1710" t="n">
        <v>0.232</v>
      </c>
      <c r="L1710" t="n">
        <v>0.768</v>
      </c>
      <c r="M1710" t="n">
        <v>0</v>
      </c>
    </row>
    <row r="1711" spans="1:13">
      <c r="A1711" s="1">
        <f>HYPERLINK("http://www.twitter.com/NathanBLawrence/status/987768107702931456", "987768107702931456")</f>
        <v/>
      </c>
      <c r="B1711" s="2" t="n">
        <v>43211.79216435185</v>
      </c>
      <c r="C1711" t="n">
        <v>0</v>
      </c>
      <c r="D1711" t="n">
        <v>9</v>
      </c>
      <c r="E1711" t="s">
        <v>1698</v>
      </c>
      <c r="F1711" t="s"/>
      <c r="G1711" t="s"/>
      <c r="H1711" t="s"/>
      <c r="I1711" t="s"/>
      <c r="J1711" t="n">
        <v>-0.34</v>
      </c>
      <c r="K1711" t="n">
        <v>0.098</v>
      </c>
      <c r="L1711" t="n">
        <v>0.902</v>
      </c>
      <c r="M1711" t="n">
        <v>0</v>
      </c>
    </row>
    <row r="1712" spans="1:13">
      <c r="A1712" s="1">
        <f>HYPERLINK("http://www.twitter.com/NathanBLawrence/status/987768084160237575", "987768084160237575")</f>
        <v/>
      </c>
      <c r="B1712" s="2" t="n">
        <v>43211.79209490741</v>
      </c>
      <c r="C1712" t="n">
        <v>10</v>
      </c>
      <c r="D1712" t="n">
        <v>9</v>
      </c>
      <c r="E1712" t="s">
        <v>1699</v>
      </c>
      <c r="F1712" t="s"/>
      <c r="G1712" t="s"/>
      <c r="H1712" t="s"/>
      <c r="I1712" t="s"/>
      <c r="J1712" t="n">
        <v>-0.8884</v>
      </c>
      <c r="K1712" t="n">
        <v>0.228</v>
      </c>
      <c r="L1712" t="n">
        <v>0.772</v>
      </c>
      <c r="M1712" t="n">
        <v>0</v>
      </c>
    </row>
    <row r="1713" spans="1:13">
      <c r="A1713" s="1">
        <f>HYPERLINK("http://www.twitter.com/NathanBLawrence/status/987767185677475841", "987767185677475841")</f>
        <v/>
      </c>
      <c r="B1713" s="2" t="n">
        <v>43211.78961805555</v>
      </c>
      <c r="C1713" t="n">
        <v>0</v>
      </c>
      <c r="D1713" t="n">
        <v>4</v>
      </c>
      <c r="E1713" t="s">
        <v>1700</v>
      </c>
      <c r="F1713" t="s"/>
      <c r="G1713" t="s"/>
      <c r="H1713" t="s"/>
      <c r="I1713" t="s"/>
      <c r="J1713" t="n">
        <v>-0.34</v>
      </c>
      <c r="K1713" t="n">
        <v>0.08500000000000001</v>
      </c>
      <c r="L1713" t="n">
        <v>0.915</v>
      </c>
      <c r="M1713" t="n">
        <v>0</v>
      </c>
    </row>
    <row r="1714" spans="1:13">
      <c r="A1714" s="1">
        <f>HYPERLINK("http://www.twitter.com/NathanBLawrence/status/987767046766301184", "987767046766301184")</f>
        <v/>
      </c>
      <c r="B1714" s="2" t="n">
        <v>43211.78923611111</v>
      </c>
      <c r="C1714" t="n">
        <v>0</v>
      </c>
      <c r="D1714" t="n">
        <v>4</v>
      </c>
      <c r="E1714" t="s">
        <v>1701</v>
      </c>
      <c r="F1714">
        <f>HYPERLINK("http://pbs.twimg.com/media/DbRWAMyUwAAlbOV.jpg", "http://pbs.twimg.com/media/DbRWAMyUwAAlbOV.jpg")</f>
        <v/>
      </c>
      <c r="G1714" t="s"/>
      <c r="H1714" t="s"/>
      <c r="I1714" t="s"/>
      <c r="J1714" t="n">
        <v>0</v>
      </c>
      <c r="K1714" t="n">
        <v>0</v>
      </c>
      <c r="L1714" t="n">
        <v>1</v>
      </c>
      <c r="M1714" t="n">
        <v>0</v>
      </c>
    </row>
    <row r="1715" spans="1:13">
      <c r="A1715" s="1">
        <f>HYPERLINK("http://www.twitter.com/NathanBLawrence/status/987766985021886464", "987766985021886464")</f>
        <v/>
      </c>
      <c r="B1715" s="2" t="n">
        <v>43211.7890625</v>
      </c>
      <c r="C1715" t="n">
        <v>0</v>
      </c>
      <c r="D1715" t="n">
        <v>2</v>
      </c>
      <c r="E1715" t="s">
        <v>1702</v>
      </c>
      <c r="F1715" t="s"/>
      <c r="G1715" t="s"/>
      <c r="H1715" t="s"/>
      <c r="I1715" t="s"/>
      <c r="J1715" t="n">
        <v>0</v>
      </c>
      <c r="K1715" t="n">
        <v>0</v>
      </c>
      <c r="L1715" t="n">
        <v>1</v>
      </c>
      <c r="M1715" t="n">
        <v>0</v>
      </c>
    </row>
    <row r="1716" spans="1:13">
      <c r="A1716" s="1">
        <f>HYPERLINK("http://www.twitter.com/NathanBLawrence/status/987766965325443072", "987766965325443072")</f>
        <v/>
      </c>
      <c r="B1716" s="2" t="n">
        <v>43211.7890162037</v>
      </c>
      <c r="C1716" t="n">
        <v>0</v>
      </c>
      <c r="D1716" t="n">
        <v>2</v>
      </c>
      <c r="E1716" t="s">
        <v>1703</v>
      </c>
      <c r="F1716" t="s"/>
      <c r="G1716" t="s"/>
      <c r="H1716" t="s"/>
      <c r="I1716" t="s"/>
      <c r="J1716" t="n">
        <v>-0.1027</v>
      </c>
      <c r="K1716" t="n">
        <v>0.135</v>
      </c>
      <c r="L1716" t="n">
        <v>0.745</v>
      </c>
      <c r="M1716" t="n">
        <v>0.121</v>
      </c>
    </row>
    <row r="1717" spans="1:13">
      <c r="A1717" s="1">
        <f>HYPERLINK("http://www.twitter.com/NathanBLawrence/status/987766933696237568", "987766933696237568")</f>
        <v/>
      </c>
      <c r="B1717" s="2" t="n">
        <v>43211.78892361111</v>
      </c>
      <c r="C1717" t="n">
        <v>0</v>
      </c>
      <c r="D1717" t="n">
        <v>3</v>
      </c>
      <c r="E1717" t="s">
        <v>1704</v>
      </c>
      <c r="F1717" t="s"/>
      <c r="G1717" t="s"/>
      <c r="H1717" t="s"/>
      <c r="I1717" t="s"/>
      <c r="J1717" t="n">
        <v>0.4098</v>
      </c>
      <c r="K1717" t="n">
        <v>0</v>
      </c>
      <c r="L1717" t="n">
        <v>0.889</v>
      </c>
      <c r="M1717" t="n">
        <v>0.111</v>
      </c>
    </row>
    <row r="1718" spans="1:13">
      <c r="A1718" s="1">
        <f>HYPERLINK("http://www.twitter.com/NathanBLawrence/status/987766909197324288", "987766909197324288")</f>
        <v/>
      </c>
      <c r="B1718" s="2" t="n">
        <v>43211.78885416667</v>
      </c>
      <c r="C1718" t="n">
        <v>0</v>
      </c>
      <c r="D1718" t="n">
        <v>3</v>
      </c>
      <c r="E1718" t="s">
        <v>1705</v>
      </c>
      <c r="F1718" t="s"/>
      <c r="G1718" t="s"/>
      <c r="H1718" t="s"/>
      <c r="I1718" t="s"/>
      <c r="J1718" t="n">
        <v>-0.5719</v>
      </c>
      <c r="K1718" t="n">
        <v>0.139</v>
      </c>
      <c r="L1718" t="n">
        <v>0.861</v>
      </c>
      <c r="M1718" t="n">
        <v>0</v>
      </c>
    </row>
    <row r="1719" spans="1:13">
      <c r="A1719" s="1">
        <f>HYPERLINK("http://www.twitter.com/NathanBLawrence/status/987766875634454534", "987766875634454534")</f>
        <v/>
      </c>
      <c r="B1719" s="2" t="n">
        <v>43211.78876157408</v>
      </c>
      <c r="C1719" t="n">
        <v>0</v>
      </c>
      <c r="D1719" t="n">
        <v>3</v>
      </c>
      <c r="E1719" t="s">
        <v>1706</v>
      </c>
      <c r="F1719" t="s"/>
      <c r="G1719" t="s"/>
      <c r="H1719" t="s"/>
      <c r="I1719" t="s"/>
      <c r="J1719" t="n">
        <v>-0.8225</v>
      </c>
      <c r="K1719" t="n">
        <v>0.343</v>
      </c>
      <c r="L1719" t="n">
        <v>0.5669999999999999</v>
      </c>
      <c r="M1719" t="n">
        <v>0.09</v>
      </c>
    </row>
    <row r="1720" spans="1:13">
      <c r="A1720" s="1">
        <f>HYPERLINK("http://www.twitter.com/NathanBLawrence/status/987766780541140992", "987766780541140992")</f>
        <v/>
      </c>
      <c r="B1720" s="2" t="n">
        <v>43211.78849537037</v>
      </c>
      <c r="C1720" t="n">
        <v>0</v>
      </c>
      <c r="D1720" t="n">
        <v>0</v>
      </c>
      <c r="E1720" t="s">
        <v>1707</v>
      </c>
      <c r="F1720" t="s"/>
      <c r="G1720" t="s"/>
      <c r="H1720" t="s"/>
      <c r="I1720" t="s"/>
      <c r="J1720" t="n">
        <v>-0.6864</v>
      </c>
      <c r="K1720" t="n">
        <v>0.422</v>
      </c>
      <c r="L1720" t="n">
        <v>0.358</v>
      </c>
      <c r="M1720" t="n">
        <v>0.22</v>
      </c>
    </row>
    <row r="1721" spans="1:13">
      <c r="A1721" s="1">
        <f>HYPERLINK("http://www.twitter.com/NathanBLawrence/status/987766760924499968", "987766760924499968")</f>
        <v/>
      </c>
      <c r="B1721" s="2" t="n">
        <v>43211.78844907408</v>
      </c>
      <c r="C1721" t="n">
        <v>0</v>
      </c>
      <c r="D1721" t="n">
        <v>0</v>
      </c>
      <c r="E1721" t="s">
        <v>1708</v>
      </c>
      <c r="F1721" t="s"/>
      <c r="G1721" t="s"/>
      <c r="H1721" t="s"/>
      <c r="I1721" t="s"/>
      <c r="J1721" t="n">
        <v>-0.2631</v>
      </c>
      <c r="K1721" t="n">
        <v>0.324</v>
      </c>
      <c r="L1721" t="n">
        <v>0.434</v>
      </c>
      <c r="M1721" t="n">
        <v>0.242</v>
      </c>
    </row>
    <row r="1722" spans="1:13">
      <c r="A1722" s="1">
        <f>HYPERLINK("http://www.twitter.com/NathanBLawrence/status/987761912074113024", "987761912074113024")</f>
        <v/>
      </c>
      <c r="B1722" s="2" t="n">
        <v>43211.77506944445</v>
      </c>
      <c r="C1722" t="n">
        <v>1</v>
      </c>
      <c r="D1722" t="n">
        <v>0</v>
      </c>
      <c r="E1722" t="s">
        <v>1709</v>
      </c>
      <c r="F1722" t="s"/>
      <c r="G1722" t="s"/>
      <c r="H1722" t="s"/>
      <c r="I1722" t="s"/>
      <c r="J1722" t="n">
        <v>0.4753</v>
      </c>
      <c r="K1722" t="n">
        <v>0</v>
      </c>
      <c r="L1722" t="n">
        <v>0.393</v>
      </c>
      <c r="M1722" t="n">
        <v>0.607</v>
      </c>
    </row>
    <row r="1723" spans="1:13">
      <c r="A1723" s="1">
        <f>HYPERLINK("http://www.twitter.com/NathanBLawrence/status/987761844952731649", "987761844952731649")</f>
        <v/>
      </c>
      <c r="B1723" s="2" t="n">
        <v>43211.77488425926</v>
      </c>
      <c r="C1723" t="n">
        <v>0</v>
      </c>
      <c r="D1723" t="n">
        <v>1</v>
      </c>
      <c r="E1723" t="s">
        <v>1710</v>
      </c>
      <c r="F1723">
        <f>HYPERLINK("http://pbs.twimg.com/media/DbMmOEpU0AEzaaA.jpg", "http://pbs.twimg.com/media/DbMmOEpU0AEzaaA.jpg")</f>
        <v/>
      </c>
      <c r="G1723" t="s"/>
      <c r="H1723" t="s"/>
      <c r="I1723" t="s"/>
      <c r="J1723" t="n">
        <v>0</v>
      </c>
      <c r="K1723" t="n">
        <v>0</v>
      </c>
      <c r="L1723" t="n">
        <v>1</v>
      </c>
      <c r="M1723" t="n">
        <v>0</v>
      </c>
    </row>
    <row r="1724" spans="1:13">
      <c r="A1724" s="1">
        <f>HYPERLINK("http://www.twitter.com/NathanBLawrence/status/987761523014717440", "987761523014717440")</f>
        <v/>
      </c>
      <c r="B1724" s="2" t="n">
        <v>43211.77399305555</v>
      </c>
      <c r="C1724" t="n">
        <v>0</v>
      </c>
      <c r="D1724" t="n">
        <v>241</v>
      </c>
      <c r="E1724" t="s">
        <v>1711</v>
      </c>
      <c r="F1724">
        <f>HYPERLINK("http://pbs.twimg.com/media/DbLG4b3UQAAkEri.jpg", "http://pbs.twimg.com/media/DbLG4b3UQAAkEri.jpg")</f>
        <v/>
      </c>
      <c r="G1724" t="s"/>
      <c r="H1724" t="s"/>
      <c r="I1724" t="s"/>
      <c r="J1724" t="n">
        <v>0.8025</v>
      </c>
      <c r="K1724" t="n">
        <v>0</v>
      </c>
      <c r="L1724" t="n">
        <v>0.675</v>
      </c>
      <c r="M1724" t="n">
        <v>0.325</v>
      </c>
    </row>
    <row r="1725" spans="1:13">
      <c r="A1725" s="1">
        <f>HYPERLINK("http://www.twitter.com/NathanBLawrence/status/987761146814922752", "987761146814922752")</f>
        <v/>
      </c>
      <c r="B1725" s="2" t="n">
        <v>43211.77295138889</v>
      </c>
      <c r="C1725" t="n">
        <v>0</v>
      </c>
      <c r="D1725" t="n">
        <v>3</v>
      </c>
      <c r="E1725" t="s">
        <v>1712</v>
      </c>
      <c r="F1725">
        <f>HYPERLINK("http://pbs.twimg.com/media/DbU6_RsW4AA3bh4.jpg", "http://pbs.twimg.com/media/DbU6_RsW4AA3bh4.jpg")</f>
        <v/>
      </c>
      <c r="G1725" t="s"/>
      <c r="H1725" t="s"/>
      <c r="I1725" t="s"/>
      <c r="J1725" t="n">
        <v>0</v>
      </c>
      <c r="K1725" t="n">
        <v>0</v>
      </c>
      <c r="L1725" t="n">
        <v>1</v>
      </c>
      <c r="M1725" t="n">
        <v>0</v>
      </c>
    </row>
    <row r="1726" spans="1:13">
      <c r="A1726" s="1">
        <f>HYPERLINK("http://www.twitter.com/NathanBLawrence/status/987761114778882048", "987761114778882048")</f>
        <v/>
      </c>
      <c r="B1726" s="2" t="n">
        <v>43211.77287037037</v>
      </c>
      <c r="C1726" t="n">
        <v>0</v>
      </c>
      <c r="D1726" t="n">
        <v>366</v>
      </c>
      <c r="E1726" t="s">
        <v>1713</v>
      </c>
      <c r="F1726" t="s"/>
      <c r="G1726" t="s"/>
      <c r="H1726" t="s"/>
      <c r="I1726" t="s"/>
      <c r="J1726" t="n">
        <v>-0.5266999999999999</v>
      </c>
      <c r="K1726" t="n">
        <v>0.246</v>
      </c>
      <c r="L1726" t="n">
        <v>0.645</v>
      </c>
      <c r="M1726" t="n">
        <v>0.109</v>
      </c>
    </row>
    <row r="1727" spans="1:13">
      <c r="A1727" s="1">
        <f>HYPERLINK("http://www.twitter.com/NathanBLawrence/status/987761087608221697", "987761087608221697")</f>
        <v/>
      </c>
      <c r="B1727" s="2" t="n">
        <v>43211.77278935185</v>
      </c>
      <c r="C1727" t="n">
        <v>0</v>
      </c>
      <c r="D1727" t="n">
        <v>373</v>
      </c>
      <c r="E1727" t="s">
        <v>1714</v>
      </c>
      <c r="F1727" t="s"/>
      <c r="G1727" t="s"/>
      <c r="H1727" t="s"/>
      <c r="I1727" t="s"/>
      <c r="J1727" t="n">
        <v>0.34</v>
      </c>
      <c r="K1727" t="n">
        <v>0</v>
      </c>
      <c r="L1727" t="n">
        <v>0.902</v>
      </c>
      <c r="M1727" t="n">
        <v>0.098</v>
      </c>
    </row>
    <row r="1728" spans="1:13">
      <c r="A1728" s="1">
        <f>HYPERLINK("http://www.twitter.com/NathanBLawrence/status/987760994716971008", "987760994716971008")</f>
        <v/>
      </c>
      <c r="B1728" s="2" t="n">
        <v>43211.77253472222</v>
      </c>
      <c r="C1728" t="n">
        <v>0</v>
      </c>
      <c r="D1728" t="n">
        <v>239</v>
      </c>
      <c r="E1728" t="s">
        <v>1715</v>
      </c>
      <c r="F1728" t="s"/>
      <c r="G1728" t="s"/>
      <c r="H1728" t="s"/>
      <c r="I1728" t="s"/>
      <c r="J1728" t="n">
        <v>0</v>
      </c>
      <c r="K1728" t="n">
        <v>0</v>
      </c>
      <c r="L1728" t="n">
        <v>1</v>
      </c>
      <c r="M1728" t="n">
        <v>0</v>
      </c>
    </row>
    <row r="1729" spans="1:13">
      <c r="A1729" s="1">
        <f>HYPERLINK("http://www.twitter.com/NathanBLawrence/status/987760976064806912", "987760976064806912")</f>
        <v/>
      </c>
      <c r="B1729" s="2" t="n">
        <v>43211.77248842592</v>
      </c>
      <c r="C1729" t="n">
        <v>0</v>
      </c>
      <c r="D1729" t="n">
        <v>74</v>
      </c>
      <c r="E1729" t="s">
        <v>1716</v>
      </c>
      <c r="F1729">
        <f>HYPERLINK("http://pbs.twimg.com/media/DbUzGMDV0AA1zHy.jpg", "http://pbs.twimg.com/media/DbUzGMDV0AA1zHy.jpg")</f>
        <v/>
      </c>
      <c r="G1729" t="s"/>
      <c r="H1729" t="s"/>
      <c r="I1729" t="s"/>
      <c r="J1729" t="n">
        <v>0.6467000000000001</v>
      </c>
      <c r="K1729" t="n">
        <v>0</v>
      </c>
      <c r="L1729" t="n">
        <v>0.62</v>
      </c>
      <c r="M1729" t="n">
        <v>0.38</v>
      </c>
    </row>
    <row r="1730" spans="1:13">
      <c r="A1730" s="1">
        <f>HYPERLINK("http://www.twitter.com/NathanBLawrence/status/987760918519074816", "987760918519074816")</f>
        <v/>
      </c>
      <c r="B1730" s="2" t="n">
        <v>43211.77232638889</v>
      </c>
      <c r="C1730" t="n">
        <v>0</v>
      </c>
      <c r="D1730" t="n">
        <v>12</v>
      </c>
      <c r="E1730" t="s">
        <v>695</v>
      </c>
      <c r="F1730">
        <f>HYPERLINK("http://pbs.twimg.com/media/DbUm14CVwAAoQol.jpg", "http://pbs.twimg.com/media/DbUm14CVwAAoQol.jpg")</f>
        <v/>
      </c>
      <c r="G1730" t="s"/>
      <c r="H1730" t="s"/>
      <c r="I1730" t="s"/>
      <c r="J1730" t="n">
        <v>-0.5106000000000001</v>
      </c>
      <c r="K1730" t="n">
        <v>0.217</v>
      </c>
      <c r="L1730" t="n">
        <v>0.6860000000000001</v>
      </c>
      <c r="M1730" t="n">
        <v>0.097</v>
      </c>
    </row>
    <row r="1731" spans="1:13">
      <c r="A1731" s="1">
        <f>HYPERLINK("http://www.twitter.com/NathanBLawrence/status/987758866816557059", "987758866816557059")</f>
        <v/>
      </c>
      <c r="B1731" s="2" t="n">
        <v>43211.76666666667</v>
      </c>
      <c r="C1731" t="n">
        <v>0</v>
      </c>
      <c r="D1731" t="n">
        <v>7</v>
      </c>
      <c r="E1731" t="s">
        <v>1717</v>
      </c>
      <c r="F1731" t="s"/>
      <c r="G1731" t="s"/>
      <c r="H1731" t="s"/>
      <c r="I1731" t="s"/>
      <c r="J1731" t="n">
        <v>-0.459</v>
      </c>
      <c r="K1731" t="n">
        <v>0.132</v>
      </c>
      <c r="L1731" t="n">
        <v>0.8090000000000001</v>
      </c>
      <c r="M1731" t="n">
        <v>0.059</v>
      </c>
    </row>
    <row r="1732" spans="1:13">
      <c r="A1732" s="1">
        <f>HYPERLINK("http://www.twitter.com/NathanBLawrence/status/987758381887905793", "987758381887905793")</f>
        <v/>
      </c>
      <c r="B1732" s="2" t="n">
        <v>43211.76532407408</v>
      </c>
      <c r="C1732" t="n">
        <v>0</v>
      </c>
      <c r="D1732" t="n">
        <v>13</v>
      </c>
      <c r="E1732" t="s">
        <v>1718</v>
      </c>
      <c r="F1732">
        <f>HYPERLINK("http://pbs.twimg.com/media/DbT8WmHVAAA8yAP.jpg", "http://pbs.twimg.com/media/DbT8WmHVAAA8yAP.jpg")</f>
        <v/>
      </c>
      <c r="G1732" t="s"/>
      <c r="H1732" t="s"/>
      <c r="I1732" t="s"/>
      <c r="J1732" t="n">
        <v>0.1779</v>
      </c>
      <c r="K1732" t="n">
        <v>0.097</v>
      </c>
      <c r="L1732" t="n">
        <v>0.778</v>
      </c>
      <c r="M1732" t="n">
        <v>0.125</v>
      </c>
    </row>
    <row r="1733" spans="1:13">
      <c r="A1733" s="1">
        <f>HYPERLINK("http://www.twitter.com/NathanBLawrence/status/987758301239762944", "987758301239762944")</f>
        <v/>
      </c>
      <c r="B1733" s="2" t="n">
        <v>43211.76510416667</v>
      </c>
      <c r="C1733" t="n">
        <v>0</v>
      </c>
      <c r="D1733" t="n">
        <v>11</v>
      </c>
      <c r="E1733" t="s">
        <v>1719</v>
      </c>
      <c r="F1733" t="s"/>
      <c r="G1733" t="s"/>
      <c r="H1733" t="s"/>
      <c r="I1733" t="s"/>
      <c r="J1733" t="n">
        <v>-0.6633</v>
      </c>
      <c r="K1733" t="n">
        <v>0.198</v>
      </c>
      <c r="L1733" t="n">
        <v>0.802</v>
      </c>
      <c r="M1733" t="n">
        <v>0</v>
      </c>
    </row>
    <row r="1734" spans="1:13">
      <c r="A1734" s="1">
        <f>HYPERLINK("http://www.twitter.com/NathanBLawrence/status/987713447524818944", "987713447524818944")</f>
        <v/>
      </c>
      <c r="B1734" s="2" t="n">
        <v>43211.64133101852</v>
      </c>
      <c r="C1734" t="n">
        <v>0</v>
      </c>
      <c r="D1734" t="n">
        <v>779</v>
      </c>
      <c r="E1734" t="s">
        <v>1720</v>
      </c>
      <c r="F1734">
        <f>HYPERLINK("http://pbs.twimg.com/media/DbTjHM0VMAAwNCW.jpg", "http://pbs.twimg.com/media/DbTjHM0VMAAwNCW.jpg")</f>
        <v/>
      </c>
      <c r="G1734">
        <f>HYPERLINK("http://pbs.twimg.com/media/DbTjHM0VAAAMxWi.jpg", "http://pbs.twimg.com/media/DbTjHM0VAAAMxWi.jpg")</f>
        <v/>
      </c>
      <c r="H1734" t="s"/>
      <c r="I1734" t="s"/>
      <c r="J1734" t="n">
        <v>0.898</v>
      </c>
      <c r="K1734" t="n">
        <v>0</v>
      </c>
      <c r="L1734" t="n">
        <v>0.647</v>
      </c>
      <c r="M1734" t="n">
        <v>0.353</v>
      </c>
    </row>
    <row r="1735" spans="1:13">
      <c r="A1735" s="1">
        <f>HYPERLINK("http://www.twitter.com/NathanBLawrence/status/987713435982016512", "987713435982016512")</f>
        <v/>
      </c>
      <c r="B1735" s="2" t="n">
        <v>43211.64129629629</v>
      </c>
      <c r="C1735" t="n">
        <v>0</v>
      </c>
      <c r="D1735" t="n">
        <v>2</v>
      </c>
      <c r="E1735" t="s">
        <v>1721</v>
      </c>
      <c r="F1735" t="s"/>
      <c r="G1735" t="s"/>
      <c r="H1735" t="s"/>
      <c r="I1735" t="s"/>
      <c r="J1735" t="n">
        <v>-0.1531</v>
      </c>
      <c r="K1735" t="n">
        <v>0.203</v>
      </c>
      <c r="L1735" t="n">
        <v>0.616</v>
      </c>
      <c r="M1735" t="n">
        <v>0.181</v>
      </c>
    </row>
    <row r="1736" spans="1:13">
      <c r="A1736" s="1">
        <f>HYPERLINK("http://www.twitter.com/NathanBLawrence/status/987713401983062017", "987713401983062017")</f>
        <v/>
      </c>
      <c r="B1736" s="2" t="n">
        <v>43211.6412037037</v>
      </c>
      <c r="C1736" t="n">
        <v>0</v>
      </c>
      <c r="D1736" t="n">
        <v>1093</v>
      </c>
      <c r="E1736" t="s">
        <v>1722</v>
      </c>
      <c r="F1736">
        <f>HYPERLINK("http://pbs.twimg.com/media/DbSNeAcVAAAQTCM.jpg", "http://pbs.twimg.com/media/DbSNeAcVAAAQTCM.jpg")</f>
        <v/>
      </c>
      <c r="G1736" t="s"/>
      <c r="H1736" t="s"/>
      <c r="I1736" t="s"/>
      <c r="J1736" t="n">
        <v>0.3612</v>
      </c>
      <c r="K1736" t="n">
        <v>0</v>
      </c>
      <c r="L1736" t="n">
        <v>0.894</v>
      </c>
      <c r="M1736" t="n">
        <v>0.106</v>
      </c>
    </row>
    <row r="1737" spans="1:13">
      <c r="A1737" s="1">
        <f>HYPERLINK("http://www.twitter.com/NathanBLawrence/status/987712686858342400", "987712686858342400")</f>
        <v/>
      </c>
      <c r="B1737" s="2" t="n">
        <v>43211.63923611111</v>
      </c>
      <c r="C1737" t="n">
        <v>0</v>
      </c>
      <c r="D1737" t="n">
        <v>47</v>
      </c>
      <c r="E1737" t="s">
        <v>1723</v>
      </c>
      <c r="F1737">
        <f>HYPERLINK("http://pbs.twimg.com/media/DbR6s4pXcAAwD6q.jpg", "http://pbs.twimg.com/media/DbR6s4pXcAAwD6q.jpg")</f>
        <v/>
      </c>
      <c r="G1737" t="s"/>
      <c r="H1737" t="s"/>
      <c r="I1737" t="s"/>
      <c r="J1737" t="n">
        <v>0.902</v>
      </c>
      <c r="K1737" t="n">
        <v>0</v>
      </c>
      <c r="L1737" t="n">
        <v>0.631</v>
      </c>
      <c r="M1737" t="n">
        <v>0.369</v>
      </c>
    </row>
    <row r="1738" spans="1:13">
      <c r="A1738" s="1">
        <f>HYPERLINK("http://www.twitter.com/NathanBLawrence/status/987712560446296064", "987712560446296064")</f>
        <v/>
      </c>
      <c r="B1738" s="2" t="n">
        <v>43211.63887731481</v>
      </c>
      <c r="C1738" t="n">
        <v>0</v>
      </c>
      <c r="D1738" t="n">
        <v>1</v>
      </c>
      <c r="E1738" t="s">
        <v>1724</v>
      </c>
      <c r="F1738">
        <f>HYPERLINK("http://pbs.twimg.com/media/DbTvk-oU0AIaj67.jpg", "http://pbs.twimg.com/media/DbTvk-oU0AIaj67.jpg")</f>
        <v/>
      </c>
      <c r="G1738">
        <f>HYPERLINK("http://pbs.twimg.com/media/DbTvk-nVMAAAcOD.jpg", "http://pbs.twimg.com/media/DbTvk-nVMAAAcOD.jpg")</f>
        <v/>
      </c>
      <c r="H1738">
        <f>HYPERLINK("http://pbs.twimg.com/media/DbTvk-pU0AAigNU.jpg", "http://pbs.twimg.com/media/DbTvk-pU0AAigNU.jpg")</f>
        <v/>
      </c>
      <c r="I1738">
        <f>HYPERLINK("http://pbs.twimg.com/media/DbTvk-oU8AAMj_9.jpg", "http://pbs.twimg.com/media/DbTvk-oU8AAMj_9.jpg")</f>
        <v/>
      </c>
      <c r="J1738" t="n">
        <v>0.5994</v>
      </c>
      <c r="K1738" t="n">
        <v>0</v>
      </c>
      <c r="L1738" t="n">
        <v>0.822</v>
      </c>
      <c r="M1738" t="n">
        <v>0.178</v>
      </c>
    </row>
    <row r="1739" spans="1:13">
      <c r="A1739" s="1">
        <f>HYPERLINK("http://www.twitter.com/NathanBLawrence/status/987712256526995456", "987712256526995456")</f>
        <v/>
      </c>
      <c r="B1739" s="2" t="n">
        <v>43211.63804398148</v>
      </c>
      <c r="C1739" t="n">
        <v>0</v>
      </c>
      <c r="D1739" t="n">
        <v>21657</v>
      </c>
      <c r="E1739" t="s">
        <v>1725</v>
      </c>
      <c r="F1739" t="s"/>
      <c r="G1739" t="s"/>
      <c r="H1739" t="s"/>
      <c r="I1739" t="s"/>
      <c r="J1739" t="n">
        <v>-0.6249</v>
      </c>
      <c r="K1739" t="n">
        <v>0.163</v>
      </c>
      <c r="L1739" t="n">
        <v>0.837</v>
      </c>
      <c r="M1739" t="n">
        <v>0</v>
      </c>
    </row>
    <row r="1740" spans="1:13">
      <c r="A1740" s="1">
        <f>HYPERLINK("http://www.twitter.com/NathanBLawrence/status/987712216685215745", "987712216685215745")</f>
        <v/>
      </c>
      <c r="B1740" s="2" t="n">
        <v>43211.63792824074</v>
      </c>
      <c r="C1740" t="n">
        <v>0</v>
      </c>
      <c r="D1740" t="n">
        <v>25417</v>
      </c>
      <c r="E1740" t="s">
        <v>1726</v>
      </c>
      <c r="F1740" t="s"/>
      <c r="G1740" t="s"/>
      <c r="H1740" t="s"/>
      <c r="I1740" t="s"/>
      <c r="J1740" t="n">
        <v>-0.6669</v>
      </c>
      <c r="K1740" t="n">
        <v>0.283</v>
      </c>
      <c r="L1740" t="n">
        <v>0.624</v>
      </c>
      <c r="M1740" t="n">
        <v>0.094</v>
      </c>
    </row>
    <row r="1741" spans="1:13">
      <c r="A1741" s="1">
        <f>HYPERLINK("http://www.twitter.com/NathanBLawrence/status/987712188096942080", "987712188096942080")</f>
        <v/>
      </c>
      <c r="B1741" s="2" t="n">
        <v>43211.6378587963</v>
      </c>
      <c r="C1741" t="n">
        <v>0</v>
      </c>
      <c r="D1741" t="n">
        <v>30226</v>
      </c>
      <c r="E1741" t="s">
        <v>1727</v>
      </c>
      <c r="F1741" t="s"/>
      <c r="G1741" t="s"/>
      <c r="H1741" t="s"/>
      <c r="I1741" t="s"/>
      <c r="J1741" t="n">
        <v>-0.7089</v>
      </c>
      <c r="K1741" t="n">
        <v>0.211</v>
      </c>
      <c r="L1741" t="n">
        <v>0.789</v>
      </c>
      <c r="M1741" t="n">
        <v>0</v>
      </c>
    </row>
    <row r="1742" spans="1:13">
      <c r="A1742" s="1">
        <f>HYPERLINK("http://www.twitter.com/NathanBLawrence/status/987712157331742720", "987712157331742720")</f>
        <v/>
      </c>
      <c r="B1742" s="2" t="n">
        <v>43211.6377662037</v>
      </c>
      <c r="C1742" t="n">
        <v>0</v>
      </c>
      <c r="D1742" t="n">
        <v>19835</v>
      </c>
      <c r="E1742" t="s">
        <v>1728</v>
      </c>
      <c r="F1742" t="s"/>
      <c r="G1742" t="s"/>
      <c r="H1742" t="s"/>
      <c r="I1742" t="s"/>
      <c r="J1742" t="n">
        <v>0.8997000000000001</v>
      </c>
      <c r="K1742" t="n">
        <v>0</v>
      </c>
      <c r="L1742" t="n">
        <v>0.634</v>
      </c>
      <c r="M1742" t="n">
        <v>0.366</v>
      </c>
    </row>
    <row r="1743" spans="1:13">
      <c r="A1743" s="1">
        <f>HYPERLINK("http://www.twitter.com/NathanBLawrence/status/987712080907259904", "987712080907259904")</f>
        <v/>
      </c>
      <c r="B1743" s="2" t="n">
        <v>43211.63755787037</v>
      </c>
      <c r="C1743" t="n">
        <v>0</v>
      </c>
      <c r="D1743" t="n">
        <v>138</v>
      </c>
      <c r="E1743" t="s">
        <v>1729</v>
      </c>
      <c r="F1743">
        <f>HYPERLINK("http://pbs.twimg.com/media/DbUMFCdXkAAIRtF.jpg", "http://pbs.twimg.com/media/DbUMFCdXkAAIRtF.jpg")</f>
        <v/>
      </c>
      <c r="G1743" t="s"/>
      <c r="H1743" t="s"/>
      <c r="I1743" t="s"/>
      <c r="J1743" t="n">
        <v>0.0516</v>
      </c>
      <c r="K1743" t="n">
        <v>0.132</v>
      </c>
      <c r="L1743" t="n">
        <v>0.695</v>
      </c>
      <c r="M1743" t="n">
        <v>0.172</v>
      </c>
    </row>
    <row r="1744" spans="1:13">
      <c r="A1744" s="1">
        <f>HYPERLINK("http://www.twitter.com/NathanBLawrence/status/987711876929867782", "987711876929867782")</f>
        <v/>
      </c>
      <c r="B1744" s="2" t="n">
        <v>43211.63699074074</v>
      </c>
      <c r="C1744" t="n">
        <v>0</v>
      </c>
      <c r="D1744" t="n">
        <v>2268</v>
      </c>
      <c r="E1744" t="s">
        <v>1730</v>
      </c>
      <c r="F1744">
        <f>HYPERLINK("https://video.twimg.com/ext_tw_video/936720236367065088/pu/vid/720x1280/bFSVyxvxuwpKwvRZ.mp4", "https://video.twimg.com/ext_tw_video/936720236367065088/pu/vid/720x1280/bFSVyxvxuwpKwvRZ.mp4")</f>
        <v/>
      </c>
      <c r="G1744" t="s"/>
      <c r="H1744" t="s"/>
      <c r="I1744" t="s"/>
      <c r="J1744" t="n">
        <v>0</v>
      </c>
      <c r="K1744" t="n">
        <v>0</v>
      </c>
      <c r="L1744" t="n">
        <v>1</v>
      </c>
      <c r="M1744" t="n">
        <v>0</v>
      </c>
    </row>
    <row r="1745" spans="1:13">
      <c r="A1745" s="1">
        <f>HYPERLINK("http://www.twitter.com/NathanBLawrence/status/987711761913704450", "987711761913704450")</f>
        <v/>
      </c>
      <c r="B1745" s="2" t="n">
        <v>43211.63667824074</v>
      </c>
      <c r="C1745" t="n">
        <v>0</v>
      </c>
      <c r="D1745" t="n">
        <v>7851</v>
      </c>
      <c r="E1745" t="s">
        <v>1731</v>
      </c>
      <c r="F1745" t="s"/>
      <c r="G1745" t="s"/>
      <c r="H1745" t="s"/>
      <c r="I1745" t="s"/>
      <c r="J1745" t="n">
        <v>0.1027</v>
      </c>
      <c r="K1745" t="n">
        <v>0.082</v>
      </c>
      <c r="L1745" t="n">
        <v>0.821</v>
      </c>
      <c r="M1745" t="n">
        <v>0.096</v>
      </c>
    </row>
    <row r="1746" spans="1:13">
      <c r="A1746" s="1">
        <f>HYPERLINK("http://www.twitter.com/NathanBLawrence/status/987711734420049925", "987711734420049925")</f>
        <v/>
      </c>
      <c r="B1746" s="2" t="n">
        <v>43211.63659722222</v>
      </c>
      <c r="C1746" t="n">
        <v>0</v>
      </c>
      <c r="D1746" t="n">
        <v>8284</v>
      </c>
      <c r="E1746" t="s">
        <v>1732</v>
      </c>
      <c r="F1746" t="s"/>
      <c r="G1746" t="s"/>
      <c r="H1746" t="s"/>
      <c r="I1746" t="s"/>
      <c r="J1746" t="n">
        <v>0.3818</v>
      </c>
      <c r="K1746" t="n">
        <v>0</v>
      </c>
      <c r="L1746" t="n">
        <v>0.847</v>
      </c>
      <c r="M1746" t="n">
        <v>0.153</v>
      </c>
    </row>
    <row r="1747" spans="1:13">
      <c r="A1747" s="1">
        <f>HYPERLINK("http://www.twitter.com/NathanBLawrence/status/987711688525996033", "987711688525996033")</f>
        <v/>
      </c>
      <c r="B1747" s="2" t="n">
        <v>43211.6364699074</v>
      </c>
      <c r="C1747" t="n">
        <v>0</v>
      </c>
      <c r="D1747" t="n">
        <v>13168</v>
      </c>
      <c r="E1747" t="s">
        <v>1733</v>
      </c>
      <c r="F1747" t="s"/>
      <c r="G1747" t="s"/>
      <c r="H1747" t="s"/>
      <c r="I1747" t="s"/>
      <c r="J1747" t="n">
        <v>0.5974</v>
      </c>
      <c r="K1747" t="n">
        <v>0</v>
      </c>
      <c r="L1747" t="n">
        <v>0.805</v>
      </c>
      <c r="M1747" t="n">
        <v>0.195</v>
      </c>
    </row>
    <row r="1748" spans="1:13">
      <c r="A1748" s="1">
        <f>HYPERLINK("http://www.twitter.com/NathanBLawrence/status/987711235394342912", "987711235394342912")</f>
        <v/>
      </c>
      <c r="B1748" s="2" t="n">
        <v>43211.63521990741</v>
      </c>
      <c r="C1748" t="n">
        <v>0</v>
      </c>
      <c r="D1748" t="n">
        <v>3</v>
      </c>
      <c r="E1748" t="s">
        <v>1734</v>
      </c>
      <c r="F1748" t="s"/>
      <c r="G1748" t="s"/>
      <c r="H1748" t="s"/>
      <c r="I1748" t="s"/>
      <c r="J1748" t="n">
        <v>-0.7096</v>
      </c>
      <c r="K1748" t="n">
        <v>0.289</v>
      </c>
      <c r="L1748" t="n">
        <v>0.711</v>
      </c>
      <c r="M1748" t="n">
        <v>0</v>
      </c>
    </row>
    <row r="1749" spans="1:13">
      <c r="A1749" s="1">
        <f>HYPERLINK("http://www.twitter.com/NathanBLawrence/status/987711201927925760", "987711201927925760")</f>
        <v/>
      </c>
      <c r="B1749" s="2" t="n">
        <v>43211.63512731482</v>
      </c>
      <c r="C1749" t="n">
        <v>0</v>
      </c>
      <c r="D1749" t="n">
        <v>7</v>
      </c>
      <c r="E1749" t="s">
        <v>1735</v>
      </c>
      <c r="F1749" t="s"/>
      <c r="G1749" t="s"/>
      <c r="H1749" t="s"/>
      <c r="I1749" t="s"/>
      <c r="J1749" t="n">
        <v>0.4019</v>
      </c>
      <c r="K1749" t="n">
        <v>0.178</v>
      </c>
      <c r="L1749" t="n">
        <v>0.582</v>
      </c>
      <c r="M1749" t="n">
        <v>0.24</v>
      </c>
    </row>
    <row r="1750" spans="1:13">
      <c r="A1750" s="1">
        <f>HYPERLINK("http://www.twitter.com/NathanBLawrence/status/987711036982792192", "987711036982792192")</f>
        <v/>
      </c>
      <c r="B1750" s="2" t="n">
        <v>43211.63467592592</v>
      </c>
      <c r="C1750" t="n">
        <v>0</v>
      </c>
      <c r="D1750" t="n">
        <v>2</v>
      </c>
      <c r="E1750" t="s">
        <v>1736</v>
      </c>
      <c r="F1750" t="s"/>
      <c r="G1750" t="s"/>
      <c r="H1750" t="s"/>
      <c r="I1750" t="s"/>
      <c r="J1750" t="n">
        <v>-0.4927</v>
      </c>
      <c r="K1750" t="n">
        <v>0.113</v>
      </c>
      <c r="L1750" t="n">
        <v>0.887</v>
      </c>
      <c r="M1750" t="n">
        <v>0</v>
      </c>
    </row>
    <row r="1751" spans="1:13">
      <c r="A1751" s="1">
        <f>HYPERLINK("http://www.twitter.com/NathanBLawrence/status/987711003004751872", "987711003004751872")</f>
        <v/>
      </c>
      <c r="B1751" s="2" t="n">
        <v>43211.63458333333</v>
      </c>
      <c r="C1751" t="n">
        <v>0</v>
      </c>
      <c r="D1751" t="n">
        <v>5</v>
      </c>
      <c r="E1751" t="s">
        <v>1737</v>
      </c>
      <c r="F1751" t="s"/>
      <c r="G1751" t="s"/>
      <c r="H1751" t="s"/>
      <c r="I1751" t="s"/>
      <c r="J1751" t="n">
        <v>-0.5994</v>
      </c>
      <c r="K1751" t="n">
        <v>0.17</v>
      </c>
      <c r="L1751" t="n">
        <v>0.83</v>
      </c>
      <c r="M1751" t="n">
        <v>0</v>
      </c>
    </row>
    <row r="1752" spans="1:13">
      <c r="A1752" s="1">
        <f>HYPERLINK("http://www.twitter.com/NathanBLawrence/status/987710833248604160", "987710833248604160")</f>
        <v/>
      </c>
      <c r="B1752" s="2" t="n">
        <v>43211.63412037037</v>
      </c>
      <c r="C1752" t="n">
        <v>0</v>
      </c>
      <c r="D1752" t="n">
        <v>5</v>
      </c>
      <c r="E1752" t="s">
        <v>1738</v>
      </c>
      <c r="F1752" t="s"/>
      <c r="G1752" t="s"/>
      <c r="H1752" t="s"/>
      <c r="I1752" t="s"/>
      <c r="J1752" t="n">
        <v>0</v>
      </c>
      <c r="K1752" t="n">
        <v>0</v>
      </c>
      <c r="L1752" t="n">
        <v>1</v>
      </c>
      <c r="M1752" t="n">
        <v>0</v>
      </c>
    </row>
    <row r="1753" spans="1:13">
      <c r="A1753" s="1">
        <f>HYPERLINK("http://www.twitter.com/NathanBLawrence/status/987710733638160386", "987710733638160386")</f>
        <v/>
      </c>
      <c r="B1753" s="2" t="n">
        <v>43211.63384259259</v>
      </c>
      <c r="C1753" t="n">
        <v>0</v>
      </c>
      <c r="D1753" t="n">
        <v>4</v>
      </c>
      <c r="E1753" t="s">
        <v>1739</v>
      </c>
      <c r="F1753">
        <f>HYPERLINK("http://pbs.twimg.com/media/DbPl7z0U0AAHLf_.jpg", "http://pbs.twimg.com/media/DbPl7z0U0AAHLf_.jpg")</f>
        <v/>
      </c>
      <c r="G1753" t="s"/>
      <c r="H1753" t="s"/>
      <c r="I1753" t="s"/>
      <c r="J1753" t="n">
        <v>-0.8126</v>
      </c>
      <c r="K1753" t="n">
        <v>0.363</v>
      </c>
      <c r="L1753" t="n">
        <v>0.637</v>
      </c>
      <c r="M1753" t="n">
        <v>0</v>
      </c>
    </row>
    <row r="1754" spans="1:13">
      <c r="A1754" s="1">
        <f>HYPERLINK("http://www.twitter.com/NathanBLawrence/status/987710699085418497", "987710699085418497")</f>
        <v/>
      </c>
      <c r="B1754" s="2" t="n">
        <v>43211.63375</v>
      </c>
      <c r="C1754" t="n">
        <v>0</v>
      </c>
      <c r="D1754" t="n">
        <v>4</v>
      </c>
      <c r="E1754" t="s">
        <v>1740</v>
      </c>
      <c r="F1754" t="s"/>
      <c r="G1754" t="s"/>
      <c r="H1754" t="s"/>
      <c r="I1754" t="s"/>
      <c r="J1754" t="n">
        <v>-0.0772</v>
      </c>
      <c r="K1754" t="n">
        <v>0.096</v>
      </c>
      <c r="L1754" t="n">
        <v>0.819</v>
      </c>
      <c r="M1754" t="n">
        <v>0.08500000000000001</v>
      </c>
    </row>
    <row r="1755" spans="1:13">
      <c r="A1755" s="1">
        <f>HYPERLINK("http://www.twitter.com/NathanBLawrence/status/987710681796567041", "987710681796567041")</f>
        <v/>
      </c>
      <c r="B1755" s="2" t="n">
        <v>43211.63369212963</v>
      </c>
      <c r="C1755" t="n">
        <v>0</v>
      </c>
      <c r="D1755" t="n">
        <v>15</v>
      </c>
      <c r="E1755" t="s">
        <v>1741</v>
      </c>
      <c r="F1755" t="s"/>
      <c r="G1755" t="s"/>
      <c r="H1755" t="s"/>
      <c r="I1755" t="s"/>
      <c r="J1755" t="n">
        <v>0.875</v>
      </c>
      <c r="K1755" t="n">
        <v>0</v>
      </c>
      <c r="L1755" t="n">
        <v>0.655</v>
      </c>
      <c r="M1755" t="n">
        <v>0.345</v>
      </c>
    </row>
    <row r="1756" spans="1:13">
      <c r="A1756" s="1">
        <f>HYPERLINK("http://www.twitter.com/NathanBLawrence/status/987710628000358400", "987710628000358400")</f>
        <v/>
      </c>
      <c r="B1756" s="2" t="n">
        <v>43211.63355324074</v>
      </c>
      <c r="C1756" t="n">
        <v>0</v>
      </c>
      <c r="D1756" t="n">
        <v>19</v>
      </c>
      <c r="E1756" t="s">
        <v>1742</v>
      </c>
      <c r="F1756" t="s"/>
      <c r="G1756" t="s"/>
      <c r="H1756" t="s"/>
      <c r="I1756" t="s"/>
      <c r="J1756" t="n">
        <v>0.2023</v>
      </c>
      <c r="K1756" t="n">
        <v>0</v>
      </c>
      <c r="L1756" t="n">
        <v>0.913</v>
      </c>
      <c r="M1756" t="n">
        <v>0.08699999999999999</v>
      </c>
    </row>
    <row r="1757" spans="1:13">
      <c r="A1757" s="1">
        <f>HYPERLINK("http://www.twitter.com/NathanBLawrence/status/987709894907318272", "987709894907318272")</f>
        <v/>
      </c>
      <c r="B1757" s="2" t="n">
        <v>43211.63152777778</v>
      </c>
      <c r="C1757" t="n">
        <v>1</v>
      </c>
      <c r="D1757" t="n">
        <v>0</v>
      </c>
      <c r="E1757" t="s">
        <v>1743</v>
      </c>
      <c r="F1757" t="s"/>
      <c r="G1757" t="s"/>
      <c r="H1757" t="s"/>
      <c r="I1757" t="s"/>
      <c r="J1757" t="n">
        <v>-0.128</v>
      </c>
      <c r="K1757" t="n">
        <v>0.363</v>
      </c>
      <c r="L1757" t="n">
        <v>0.33</v>
      </c>
      <c r="M1757" t="n">
        <v>0.308</v>
      </c>
    </row>
    <row r="1758" spans="1:13">
      <c r="A1758" s="1">
        <f>HYPERLINK("http://www.twitter.com/NathanBLawrence/status/987709720357146625", "987709720357146625")</f>
        <v/>
      </c>
      <c r="B1758" s="2" t="n">
        <v>43211.63104166667</v>
      </c>
      <c r="C1758" t="n">
        <v>0</v>
      </c>
      <c r="D1758" t="n">
        <v>3</v>
      </c>
      <c r="E1758" t="s">
        <v>1744</v>
      </c>
      <c r="F1758" t="s"/>
      <c r="G1758" t="s"/>
      <c r="H1758" t="s"/>
      <c r="I1758" t="s"/>
      <c r="J1758" t="n">
        <v>-0.7783</v>
      </c>
      <c r="K1758" t="n">
        <v>0.337</v>
      </c>
      <c r="L1758" t="n">
        <v>0.5669999999999999</v>
      </c>
      <c r="M1758" t="n">
        <v>0.096</v>
      </c>
    </row>
    <row r="1759" spans="1:13">
      <c r="A1759" s="1">
        <f>HYPERLINK("http://www.twitter.com/NathanBLawrence/status/987709648626225152", "987709648626225152")</f>
        <v/>
      </c>
      <c r="B1759" s="2" t="n">
        <v>43211.63084490741</v>
      </c>
      <c r="C1759" t="n">
        <v>0</v>
      </c>
      <c r="D1759" t="n">
        <v>4</v>
      </c>
      <c r="E1759" t="s">
        <v>1745</v>
      </c>
      <c r="F1759" t="s"/>
      <c r="G1759" t="s"/>
      <c r="H1759" t="s"/>
      <c r="I1759" t="s"/>
      <c r="J1759" t="n">
        <v>-0.4003</v>
      </c>
      <c r="K1759" t="n">
        <v>0.132</v>
      </c>
      <c r="L1759" t="n">
        <v>0.708</v>
      </c>
      <c r="M1759" t="n">
        <v>0.161</v>
      </c>
    </row>
    <row r="1760" spans="1:13">
      <c r="A1760" s="1">
        <f>HYPERLINK("http://www.twitter.com/NathanBLawrence/status/987709615512129537", "987709615512129537")</f>
        <v/>
      </c>
      <c r="B1760" s="2" t="n">
        <v>43211.63075231481</v>
      </c>
      <c r="C1760" t="n">
        <v>0</v>
      </c>
      <c r="D1760" t="n">
        <v>7</v>
      </c>
      <c r="E1760" t="s">
        <v>1746</v>
      </c>
      <c r="F1760" t="s"/>
      <c r="G1760" t="s"/>
      <c r="H1760" t="s"/>
      <c r="I1760" t="s"/>
      <c r="J1760" t="n">
        <v>-0.508</v>
      </c>
      <c r="K1760" t="n">
        <v>0.291</v>
      </c>
      <c r="L1760" t="n">
        <v>0.709</v>
      </c>
      <c r="M1760" t="n">
        <v>0</v>
      </c>
    </row>
    <row r="1761" spans="1:13">
      <c r="A1761" s="1">
        <f>HYPERLINK("http://www.twitter.com/NathanBLawrence/status/987709352906764290", "987709352906764290")</f>
        <v/>
      </c>
      <c r="B1761" s="2" t="n">
        <v>43211.63003472222</v>
      </c>
      <c r="C1761" t="n">
        <v>0</v>
      </c>
      <c r="D1761" t="n">
        <v>62</v>
      </c>
      <c r="E1761" t="s">
        <v>1747</v>
      </c>
      <c r="F1761" t="s"/>
      <c r="G1761" t="s"/>
      <c r="H1761" t="s"/>
      <c r="I1761" t="s"/>
      <c r="J1761" t="n">
        <v>0.7964</v>
      </c>
      <c r="K1761" t="n">
        <v>0</v>
      </c>
      <c r="L1761" t="n">
        <v>0.6870000000000001</v>
      </c>
      <c r="M1761" t="n">
        <v>0.313</v>
      </c>
    </row>
    <row r="1762" spans="1:13">
      <c r="A1762" s="1">
        <f>HYPERLINK("http://www.twitter.com/NathanBLawrence/status/987523564084649984", "987523564084649984")</f>
        <v/>
      </c>
      <c r="B1762" s="2" t="n">
        <v>43211.11734953704</v>
      </c>
      <c r="C1762" t="n">
        <v>0</v>
      </c>
      <c r="D1762" t="n">
        <v>11</v>
      </c>
      <c r="E1762" t="s">
        <v>1748</v>
      </c>
      <c r="F1762" t="s"/>
      <c r="G1762" t="s"/>
      <c r="H1762" t="s"/>
      <c r="I1762" t="s"/>
      <c r="J1762" t="n">
        <v>-0.3182</v>
      </c>
      <c r="K1762" t="n">
        <v>0.081</v>
      </c>
      <c r="L1762" t="n">
        <v>0.919</v>
      </c>
      <c r="M1762" t="n">
        <v>0</v>
      </c>
    </row>
    <row r="1763" spans="1:13">
      <c r="A1763" s="1">
        <f>HYPERLINK("http://www.twitter.com/NathanBLawrence/status/987517112850812928", "987517112850812928")</f>
        <v/>
      </c>
      <c r="B1763" s="2" t="n">
        <v>43211.09954861111</v>
      </c>
      <c r="C1763" t="n">
        <v>0</v>
      </c>
      <c r="D1763" t="n">
        <v>7</v>
      </c>
      <c r="E1763" t="s">
        <v>695</v>
      </c>
      <c r="F1763">
        <f>HYPERLINK("http://pbs.twimg.com/media/DbRMrz_X0AADWJz.jpg", "http://pbs.twimg.com/media/DbRMrz_X0AADWJz.jpg")</f>
        <v/>
      </c>
      <c r="G1763" t="s"/>
      <c r="H1763" t="s"/>
      <c r="I1763" t="s"/>
      <c r="J1763" t="n">
        <v>-0.5106000000000001</v>
      </c>
      <c r="K1763" t="n">
        <v>0.217</v>
      </c>
      <c r="L1763" t="n">
        <v>0.6860000000000001</v>
      </c>
      <c r="M1763" t="n">
        <v>0.097</v>
      </c>
    </row>
    <row r="1764" spans="1:13">
      <c r="A1764" s="1">
        <f>HYPERLINK("http://www.twitter.com/NathanBLawrence/status/987517048556318720", "987517048556318720")</f>
        <v/>
      </c>
      <c r="B1764" s="2" t="n">
        <v>43211.099375</v>
      </c>
      <c r="C1764" t="n">
        <v>0</v>
      </c>
      <c r="D1764" t="n">
        <v>9</v>
      </c>
      <c r="E1764" t="s">
        <v>1749</v>
      </c>
      <c r="F1764" t="s"/>
      <c r="G1764" t="s"/>
      <c r="H1764" t="s"/>
      <c r="I1764" t="s"/>
      <c r="J1764" t="n">
        <v>0.4019</v>
      </c>
      <c r="K1764" t="n">
        <v>0</v>
      </c>
      <c r="L1764" t="n">
        <v>0.876</v>
      </c>
      <c r="M1764" t="n">
        <v>0.124</v>
      </c>
    </row>
    <row r="1765" spans="1:13">
      <c r="A1765" s="1">
        <f>HYPERLINK("http://www.twitter.com/NathanBLawrence/status/987516671458971650", "987516671458971650")</f>
        <v/>
      </c>
      <c r="B1765" s="2" t="n">
        <v>43211.09833333334</v>
      </c>
      <c r="C1765" t="n">
        <v>1</v>
      </c>
      <c r="D1765" t="n">
        <v>0</v>
      </c>
      <c r="E1765" t="s">
        <v>1750</v>
      </c>
      <c r="F1765" t="s"/>
      <c r="G1765" t="s"/>
      <c r="H1765" t="s"/>
      <c r="I1765" t="s"/>
      <c r="J1765" t="n">
        <v>0</v>
      </c>
      <c r="K1765" t="n">
        <v>0</v>
      </c>
      <c r="L1765" t="n">
        <v>1</v>
      </c>
      <c r="M1765" t="n">
        <v>0</v>
      </c>
    </row>
    <row r="1766" spans="1:13">
      <c r="A1766" s="1">
        <f>HYPERLINK("http://www.twitter.com/NathanBLawrence/status/987516479884156929", "987516479884156929")</f>
        <v/>
      </c>
      <c r="B1766" s="2" t="n">
        <v>43211.09780092593</v>
      </c>
      <c r="C1766" t="n">
        <v>0</v>
      </c>
      <c r="D1766" t="n">
        <v>2</v>
      </c>
      <c r="E1766" t="s">
        <v>1751</v>
      </c>
      <c r="F1766" t="s"/>
      <c r="G1766" t="s"/>
      <c r="H1766" t="s"/>
      <c r="I1766" t="s"/>
      <c r="J1766" t="n">
        <v>-0.4767</v>
      </c>
      <c r="K1766" t="n">
        <v>0.119</v>
      </c>
      <c r="L1766" t="n">
        <v>0.881</v>
      </c>
      <c r="M1766" t="n">
        <v>0</v>
      </c>
    </row>
    <row r="1767" spans="1:13">
      <c r="A1767" s="1">
        <f>HYPERLINK("http://www.twitter.com/NathanBLawrence/status/987516451425869824", "987516451425869824")</f>
        <v/>
      </c>
      <c r="B1767" s="2" t="n">
        <v>43211.0977199074</v>
      </c>
      <c r="C1767" t="n">
        <v>0</v>
      </c>
      <c r="D1767" t="n">
        <v>7</v>
      </c>
      <c r="E1767" t="s">
        <v>1752</v>
      </c>
      <c r="F1767" t="s"/>
      <c r="G1767" t="s"/>
      <c r="H1767" t="s"/>
      <c r="I1767" t="s"/>
      <c r="J1767" t="n">
        <v>-0.4767</v>
      </c>
      <c r="K1767" t="n">
        <v>0.114</v>
      </c>
      <c r="L1767" t="n">
        <v>0.886</v>
      </c>
      <c r="M1767" t="n">
        <v>0</v>
      </c>
    </row>
    <row r="1768" spans="1:13">
      <c r="A1768" s="1">
        <f>HYPERLINK("http://www.twitter.com/NathanBLawrence/status/987508241851650048", "987508241851650048")</f>
        <v/>
      </c>
      <c r="B1768" s="2" t="n">
        <v>43211.07506944444</v>
      </c>
      <c r="C1768" t="n">
        <v>1</v>
      </c>
      <c r="D1768" t="n">
        <v>0</v>
      </c>
      <c r="E1768" t="s">
        <v>1753</v>
      </c>
      <c r="F1768" t="s"/>
      <c r="G1768" t="s"/>
      <c r="H1768" t="s"/>
      <c r="I1768" t="s"/>
      <c r="J1768" t="n">
        <v>0.09</v>
      </c>
      <c r="K1768" t="n">
        <v>0.11</v>
      </c>
      <c r="L1768" t="n">
        <v>0.756</v>
      </c>
      <c r="M1768" t="n">
        <v>0.134</v>
      </c>
    </row>
    <row r="1769" spans="1:13">
      <c r="A1769" s="1">
        <f>HYPERLINK("http://www.twitter.com/NathanBLawrence/status/987507994656231424", "987507994656231424")</f>
        <v/>
      </c>
      <c r="B1769" s="2" t="n">
        <v>43211.07438657407</v>
      </c>
      <c r="C1769" t="n">
        <v>4</v>
      </c>
      <c r="D1769" t="n">
        <v>0</v>
      </c>
      <c r="E1769" t="s">
        <v>1754</v>
      </c>
      <c r="F1769" t="s"/>
      <c r="G1769" t="s"/>
      <c r="H1769" t="s"/>
      <c r="I1769" t="s"/>
      <c r="J1769" t="n">
        <v>-0.4357</v>
      </c>
      <c r="K1769" t="n">
        <v>0.12</v>
      </c>
      <c r="L1769" t="n">
        <v>0.88</v>
      </c>
      <c r="M1769" t="n">
        <v>0</v>
      </c>
    </row>
    <row r="1770" spans="1:13">
      <c r="A1770" s="1">
        <f>HYPERLINK("http://www.twitter.com/NathanBLawrence/status/987507907477504000", "987507907477504000")</f>
        <v/>
      </c>
      <c r="B1770" s="2" t="n">
        <v>43211.07414351852</v>
      </c>
      <c r="C1770" t="n">
        <v>0</v>
      </c>
      <c r="D1770" t="n">
        <v>9</v>
      </c>
      <c r="E1770" t="s">
        <v>1755</v>
      </c>
      <c r="F1770">
        <f>HYPERLINK("http://pbs.twimg.com/media/DbMA62sWsAAoO-a.jpg", "http://pbs.twimg.com/media/DbMA62sWsAAoO-a.jpg")</f>
        <v/>
      </c>
      <c r="G1770" t="s"/>
      <c r="H1770" t="s"/>
      <c r="I1770" t="s"/>
      <c r="J1770" t="n">
        <v>0.6166</v>
      </c>
      <c r="K1770" t="n">
        <v>0</v>
      </c>
      <c r="L1770" t="n">
        <v>0.8080000000000001</v>
      </c>
      <c r="M1770" t="n">
        <v>0.192</v>
      </c>
    </row>
    <row r="1771" spans="1:13">
      <c r="A1771" s="1">
        <f>HYPERLINK("http://www.twitter.com/NathanBLawrence/status/987507862111956992", "987507862111956992")</f>
        <v/>
      </c>
      <c r="B1771" s="2" t="n">
        <v>43211.0740162037</v>
      </c>
      <c r="C1771" t="n">
        <v>0</v>
      </c>
      <c r="D1771" t="n">
        <v>0</v>
      </c>
      <c r="E1771" t="s">
        <v>1756</v>
      </c>
      <c r="F1771" t="s"/>
      <c r="G1771" t="s"/>
      <c r="H1771" t="s"/>
      <c r="I1771" t="s"/>
      <c r="J1771" t="n">
        <v>-0.3182</v>
      </c>
      <c r="K1771" t="n">
        <v>0.173</v>
      </c>
      <c r="L1771" t="n">
        <v>0.738</v>
      </c>
      <c r="M1771" t="n">
        <v>0.089</v>
      </c>
    </row>
    <row r="1772" spans="1:13">
      <c r="A1772" s="1">
        <f>HYPERLINK("http://www.twitter.com/NathanBLawrence/status/987507592799883264", "987507592799883264")</f>
        <v/>
      </c>
      <c r="B1772" s="2" t="n">
        <v>43211.07327546296</v>
      </c>
      <c r="C1772" t="n">
        <v>12</v>
      </c>
      <c r="D1772" t="n">
        <v>7</v>
      </c>
      <c r="E1772" t="s">
        <v>1757</v>
      </c>
      <c r="F1772" t="s"/>
      <c r="G1772" t="s"/>
      <c r="H1772" t="s"/>
      <c r="I1772" t="s"/>
      <c r="J1772" t="n">
        <v>-0.3818</v>
      </c>
      <c r="K1772" t="n">
        <v>0.109</v>
      </c>
      <c r="L1772" t="n">
        <v>0.833</v>
      </c>
      <c r="M1772" t="n">
        <v>0.058</v>
      </c>
    </row>
    <row r="1773" spans="1:13">
      <c r="A1773" s="1">
        <f>HYPERLINK("http://www.twitter.com/NathanBLawrence/status/987501645205565441", "987501645205565441")</f>
        <v/>
      </c>
      <c r="B1773" s="2" t="n">
        <v>43211.05686342593</v>
      </c>
      <c r="C1773" t="n">
        <v>0</v>
      </c>
      <c r="D1773" t="n">
        <v>966</v>
      </c>
      <c r="E1773" t="s">
        <v>1758</v>
      </c>
      <c r="F1773" t="s"/>
      <c r="G1773" t="s"/>
      <c r="H1773" t="s"/>
      <c r="I1773" t="s"/>
      <c r="J1773" t="n">
        <v>0.6808</v>
      </c>
      <c r="K1773" t="n">
        <v>0</v>
      </c>
      <c r="L1773" t="n">
        <v>0.772</v>
      </c>
      <c r="M1773" t="n">
        <v>0.228</v>
      </c>
    </row>
    <row r="1774" spans="1:13">
      <c r="A1774" s="1">
        <f>HYPERLINK("http://www.twitter.com/NathanBLawrence/status/987501621608374272", "987501621608374272")</f>
        <v/>
      </c>
      <c r="B1774" s="2" t="n">
        <v>43211.05680555556</v>
      </c>
      <c r="C1774" t="n">
        <v>1</v>
      </c>
      <c r="D1774" t="n">
        <v>1</v>
      </c>
      <c r="E1774" t="s">
        <v>1759</v>
      </c>
      <c r="F1774" t="s"/>
      <c r="G1774" t="s"/>
      <c r="H1774" t="s"/>
      <c r="I1774" t="s"/>
      <c r="J1774" t="n">
        <v>-0.3818</v>
      </c>
      <c r="K1774" t="n">
        <v>0.224</v>
      </c>
      <c r="L1774" t="n">
        <v>0.776</v>
      </c>
      <c r="M1774" t="n">
        <v>0</v>
      </c>
    </row>
    <row r="1775" spans="1:13">
      <c r="A1775" s="1">
        <f>HYPERLINK("http://www.twitter.com/NathanBLawrence/status/987501468696629248", "987501468696629248")</f>
        <v/>
      </c>
      <c r="B1775" s="2" t="n">
        <v>43211.05637731482</v>
      </c>
      <c r="C1775" t="n">
        <v>0</v>
      </c>
      <c r="D1775" t="n">
        <v>1276</v>
      </c>
      <c r="E1775" t="s">
        <v>1760</v>
      </c>
      <c r="F1775" t="s"/>
      <c r="G1775" t="s"/>
      <c r="H1775" t="s"/>
      <c r="I1775" t="s"/>
      <c r="J1775" t="n">
        <v>0.34</v>
      </c>
      <c r="K1775" t="n">
        <v>0</v>
      </c>
      <c r="L1775" t="n">
        <v>0.888</v>
      </c>
      <c r="M1775" t="n">
        <v>0.112</v>
      </c>
    </row>
    <row r="1776" spans="1:13">
      <c r="A1776" s="1">
        <f>HYPERLINK("http://www.twitter.com/NathanBLawrence/status/987501447335038976", "987501447335038976")</f>
        <v/>
      </c>
      <c r="B1776" s="2" t="n">
        <v>43211.05631944445</v>
      </c>
      <c r="C1776" t="n">
        <v>0</v>
      </c>
      <c r="D1776" t="n">
        <v>19</v>
      </c>
      <c r="E1776" t="s">
        <v>1761</v>
      </c>
      <c r="F1776" t="s"/>
      <c r="G1776" t="s"/>
      <c r="H1776" t="s"/>
      <c r="I1776" t="s"/>
      <c r="J1776" t="n">
        <v>-0.91</v>
      </c>
      <c r="K1776" t="n">
        <v>0.448</v>
      </c>
      <c r="L1776" t="n">
        <v>0.472</v>
      </c>
      <c r="M1776" t="n">
        <v>0.08</v>
      </c>
    </row>
    <row r="1777" spans="1:13">
      <c r="A1777" s="1">
        <f>HYPERLINK("http://www.twitter.com/NathanBLawrence/status/987501423238746112", "987501423238746112")</f>
        <v/>
      </c>
      <c r="B1777" s="2" t="n">
        <v>43211.05625</v>
      </c>
      <c r="C1777" t="n">
        <v>0</v>
      </c>
      <c r="D1777" t="n">
        <v>593</v>
      </c>
      <c r="E1777" t="s">
        <v>1762</v>
      </c>
      <c r="F1777" t="s"/>
      <c r="G1777" t="s"/>
      <c r="H1777" t="s"/>
      <c r="I1777" t="s"/>
      <c r="J1777" t="n">
        <v>0.128</v>
      </c>
      <c r="K1777" t="n">
        <v>0.082</v>
      </c>
      <c r="L1777" t="n">
        <v>0.8179999999999999</v>
      </c>
      <c r="M1777" t="n">
        <v>0.1</v>
      </c>
    </row>
    <row r="1778" spans="1:13">
      <c r="A1778" s="1">
        <f>HYPERLINK("http://www.twitter.com/NathanBLawrence/status/987501402112122880", "987501402112122880")</f>
        <v/>
      </c>
      <c r="B1778" s="2" t="n">
        <v>43211.05619212963</v>
      </c>
      <c r="C1778" t="n">
        <v>0</v>
      </c>
      <c r="D1778" t="n">
        <v>5128</v>
      </c>
      <c r="E1778" t="s">
        <v>1763</v>
      </c>
      <c r="F1778" t="s"/>
      <c r="G1778" t="s"/>
      <c r="H1778" t="s"/>
      <c r="I1778" t="s"/>
      <c r="J1778" t="n">
        <v>0</v>
      </c>
      <c r="K1778" t="n">
        <v>0</v>
      </c>
      <c r="L1778" t="n">
        <v>1</v>
      </c>
      <c r="M1778" t="n">
        <v>0</v>
      </c>
    </row>
    <row r="1779" spans="1:13">
      <c r="A1779" s="1">
        <f>HYPERLINK("http://www.twitter.com/NathanBLawrence/status/987501390447726593", "987501390447726593")</f>
        <v/>
      </c>
      <c r="B1779" s="2" t="n">
        <v>43211.05616898148</v>
      </c>
      <c r="C1779" t="n">
        <v>0</v>
      </c>
      <c r="D1779" t="n">
        <v>2</v>
      </c>
      <c r="E1779" t="s">
        <v>1764</v>
      </c>
      <c r="F1779" t="s"/>
      <c r="G1779" t="s"/>
      <c r="H1779" t="s"/>
      <c r="I1779" t="s"/>
      <c r="J1779" t="n">
        <v>0</v>
      </c>
      <c r="K1779" t="n">
        <v>0</v>
      </c>
      <c r="L1779" t="n">
        <v>1</v>
      </c>
      <c r="M1779" t="n">
        <v>0</v>
      </c>
    </row>
    <row r="1780" spans="1:13">
      <c r="A1780" s="1">
        <f>HYPERLINK("http://www.twitter.com/NathanBLawrence/status/987501201402073091", "987501201402073091")</f>
        <v/>
      </c>
      <c r="B1780" s="2" t="n">
        <v>43211.05563657408</v>
      </c>
      <c r="C1780" t="n">
        <v>0</v>
      </c>
      <c r="D1780" t="n">
        <v>1</v>
      </c>
      <c r="E1780" t="s">
        <v>1765</v>
      </c>
      <c r="F1780" t="s"/>
      <c r="G1780" t="s"/>
      <c r="H1780" t="s"/>
      <c r="I1780" t="s"/>
      <c r="J1780" t="n">
        <v>0.8038</v>
      </c>
      <c r="K1780" t="n">
        <v>0</v>
      </c>
      <c r="L1780" t="n">
        <v>0.58</v>
      </c>
      <c r="M1780" t="n">
        <v>0.42</v>
      </c>
    </row>
    <row r="1781" spans="1:13">
      <c r="A1781" s="1">
        <f>HYPERLINK("http://www.twitter.com/NathanBLawrence/status/987501039153754113", "987501039153754113")</f>
        <v/>
      </c>
      <c r="B1781" s="2" t="n">
        <v>43211.05519675926</v>
      </c>
      <c r="C1781" t="n">
        <v>0</v>
      </c>
      <c r="D1781" t="n">
        <v>8</v>
      </c>
      <c r="E1781" t="s">
        <v>1766</v>
      </c>
      <c r="F1781" t="s"/>
      <c r="G1781" t="s"/>
      <c r="H1781" t="s"/>
      <c r="I1781" t="s"/>
      <c r="J1781" t="n">
        <v>-0.4767</v>
      </c>
      <c r="K1781" t="n">
        <v>0.206</v>
      </c>
      <c r="L1781" t="n">
        <v>0.711</v>
      </c>
      <c r="M1781" t="n">
        <v>0.083</v>
      </c>
    </row>
    <row r="1782" spans="1:13">
      <c r="A1782" s="1">
        <f>HYPERLINK("http://www.twitter.com/NathanBLawrence/status/987500926792601600", "987500926792601600")</f>
        <v/>
      </c>
      <c r="B1782" s="2" t="n">
        <v>43211.05488425926</v>
      </c>
      <c r="C1782" t="n">
        <v>14</v>
      </c>
      <c r="D1782" t="n">
        <v>8</v>
      </c>
      <c r="E1782" t="s">
        <v>1767</v>
      </c>
      <c r="F1782" t="s"/>
      <c r="G1782" t="s"/>
      <c r="H1782" t="s"/>
      <c r="I1782" t="s"/>
      <c r="J1782" t="n">
        <v>-0.6183</v>
      </c>
      <c r="K1782" t="n">
        <v>0.207</v>
      </c>
      <c r="L1782" t="n">
        <v>0.676</v>
      </c>
      <c r="M1782" t="n">
        <v>0.117</v>
      </c>
    </row>
    <row r="1783" spans="1:13">
      <c r="A1783" s="1">
        <f>HYPERLINK("http://www.twitter.com/NathanBLawrence/status/987499507930861568", "987499507930861568")</f>
        <v/>
      </c>
      <c r="B1783" s="2" t="n">
        <v>43211.05097222222</v>
      </c>
      <c r="C1783" t="n">
        <v>1</v>
      </c>
      <c r="D1783" t="n">
        <v>1</v>
      </c>
      <c r="E1783" t="s">
        <v>1768</v>
      </c>
      <c r="F1783" t="s"/>
      <c r="G1783" t="s"/>
      <c r="H1783" t="s"/>
      <c r="I1783" t="s"/>
      <c r="J1783" t="n">
        <v>0.8038</v>
      </c>
      <c r="K1783" t="n">
        <v>0</v>
      </c>
      <c r="L1783" t="n">
        <v>0.525</v>
      </c>
      <c r="M1783" t="n">
        <v>0.475</v>
      </c>
    </row>
    <row r="1784" spans="1:13">
      <c r="A1784" s="1">
        <f>HYPERLINK("http://www.twitter.com/NathanBLawrence/status/987493484830568448", "987493484830568448")</f>
        <v/>
      </c>
      <c r="B1784" s="2" t="n">
        <v>43211.03435185185</v>
      </c>
      <c r="C1784" t="n">
        <v>0</v>
      </c>
      <c r="D1784" t="n">
        <v>34</v>
      </c>
      <c r="E1784" t="s">
        <v>1769</v>
      </c>
      <c r="F1784">
        <f>HYPERLINK("http://pbs.twimg.com/media/DbLaDBRVQAElvdY.jpg", "http://pbs.twimg.com/media/DbLaDBRVQAElvdY.jpg")</f>
        <v/>
      </c>
      <c r="G1784">
        <f>HYPERLINK("http://pbs.twimg.com/media/DbLaDBSV4AEEGZp.jpg", "http://pbs.twimg.com/media/DbLaDBSV4AEEGZp.jpg")</f>
        <v/>
      </c>
      <c r="H1784">
        <f>HYPERLINK("http://pbs.twimg.com/media/DbLaDBSUwAATmKi.jpg", "http://pbs.twimg.com/media/DbLaDBSUwAATmKi.jpg")</f>
        <v/>
      </c>
      <c r="I1784" t="s"/>
      <c r="J1784" t="n">
        <v>0.7906</v>
      </c>
      <c r="K1784" t="n">
        <v>0.05</v>
      </c>
      <c r="L1784" t="n">
        <v>0.647</v>
      </c>
      <c r="M1784" t="n">
        <v>0.302</v>
      </c>
    </row>
    <row r="1785" spans="1:13">
      <c r="A1785" s="1">
        <f>HYPERLINK("http://www.twitter.com/NathanBLawrence/status/987492561580429312", "987492561580429312")</f>
        <v/>
      </c>
      <c r="B1785" s="2" t="n">
        <v>43211.03180555555</v>
      </c>
      <c r="C1785" t="n">
        <v>0</v>
      </c>
      <c r="D1785" t="n">
        <v>8</v>
      </c>
      <c r="E1785" t="s">
        <v>1770</v>
      </c>
      <c r="F1785" t="s"/>
      <c r="G1785" t="s"/>
      <c r="H1785" t="s"/>
      <c r="I1785" t="s"/>
      <c r="J1785" t="n">
        <v>0</v>
      </c>
      <c r="K1785" t="n">
        <v>0</v>
      </c>
      <c r="L1785" t="n">
        <v>1</v>
      </c>
      <c r="M1785" t="n">
        <v>0</v>
      </c>
    </row>
    <row r="1786" spans="1:13">
      <c r="A1786" s="1">
        <f>HYPERLINK("http://www.twitter.com/NathanBLawrence/status/987491507686043648", "987491507686043648")</f>
        <v/>
      </c>
      <c r="B1786" s="2" t="n">
        <v>43211.02888888889</v>
      </c>
      <c r="C1786" t="n">
        <v>1</v>
      </c>
      <c r="D1786" t="n">
        <v>0</v>
      </c>
      <c r="E1786" t="s">
        <v>1771</v>
      </c>
      <c r="F1786" t="s"/>
      <c r="G1786" t="s"/>
      <c r="H1786" t="s"/>
      <c r="I1786" t="s"/>
      <c r="J1786" t="n">
        <v>0.5538</v>
      </c>
      <c r="K1786" t="n">
        <v>0</v>
      </c>
      <c r="L1786" t="n">
        <v>0.219</v>
      </c>
      <c r="M1786" t="n">
        <v>0.781</v>
      </c>
    </row>
    <row r="1787" spans="1:13">
      <c r="A1787" s="1">
        <f>HYPERLINK("http://www.twitter.com/NathanBLawrence/status/987491368141557760", "987491368141557760")</f>
        <v/>
      </c>
      <c r="B1787" s="2" t="n">
        <v>43211.02850694444</v>
      </c>
      <c r="C1787" t="n">
        <v>0</v>
      </c>
      <c r="D1787" t="n">
        <v>1080</v>
      </c>
      <c r="E1787" t="s">
        <v>1772</v>
      </c>
      <c r="F1787">
        <f>HYPERLINK("https://video.twimg.com/ext_tw_video/985844414747521024/pu/vid/480x360/hJ6btaBNRXwJ5lsv.mp4?tag=2", "https://video.twimg.com/ext_tw_video/985844414747521024/pu/vid/480x360/hJ6btaBNRXwJ5lsv.mp4?tag=2")</f>
        <v/>
      </c>
      <c r="G1787" t="s"/>
      <c r="H1787" t="s"/>
      <c r="I1787" t="s"/>
      <c r="J1787" t="n">
        <v>0.3182</v>
      </c>
      <c r="K1787" t="n">
        <v>0.104</v>
      </c>
      <c r="L1787" t="n">
        <v>0.725</v>
      </c>
      <c r="M1787" t="n">
        <v>0.171</v>
      </c>
    </row>
    <row r="1788" spans="1:13">
      <c r="A1788" s="1">
        <f>HYPERLINK("http://www.twitter.com/NathanBLawrence/status/987491279847280640", "987491279847280640")</f>
        <v/>
      </c>
      <c r="B1788" s="2" t="n">
        <v>43211.02826388889</v>
      </c>
      <c r="C1788" t="n">
        <v>0</v>
      </c>
      <c r="D1788" t="n">
        <v>0</v>
      </c>
      <c r="E1788" t="s">
        <v>1773</v>
      </c>
      <c r="F1788" t="s"/>
      <c r="G1788" t="s"/>
      <c r="H1788" t="s"/>
      <c r="I1788" t="s"/>
      <c r="J1788" t="n">
        <v>-0.128</v>
      </c>
      <c r="K1788" t="n">
        <v>0.273</v>
      </c>
      <c r="L1788" t="n">
        <v>0.727</v>
      </c>
      <c r="M1788" t="n">
        <v>0</v>
      </c>
    </row>
    <row r="1789" spans="1:13">
      <c r="A1789" s="1">
        <f>HYPERLINK("http://www.twitter.com/NathanBLawrence/status/987491149047885825", "987491149047885825")</f>
        <v/>
      </c>
      <c r="B1789" s="2" t="n">
        <v>43211.02790509259</v>
      </c>
      <c r="C1789" t="n">
        <v>0</v>
      </c>
      <c r="D1789" t="n">
        <v>4370</v>
      </c>
      <c r="E1789" t="s">
        <v>1774</v>
      </c>
      <c r="F1789" t="s"/>
      <c r="G1789" t="s"/>
      <c r="H1789" t="s"/>
      <c r="I1789" t="s"/>
      <c r="J1789" t="n">
        <v>-0.3291</v>
      </c>
      <c r="K1789" t="n">
        <v>0.138</v>
      </c>
      <c r="L1789" t="n">
        <v>0.862</v>
      </c>
      <c r="M1789" t="n">
        <v>0</v>
      </c>
    </row>
    <row r="1790" spans="1:13">
      <c r="A1790" s="1">
        <f>HYPERLINK("http://www.twitter.com/NathanBLawrence/status/987490255526821888", "987490255526821888")</f>
        <v/>
      </c>
      <c r="B1790" s="2" t="n">
        <v>43211.02543981482</v>
      </c>
      <c r="C1790" t="n">
        <v>2</v>
      </c>
      <c r="D1790" t="n">
        <v>0</v>
      </c>
      <c r="E1790" t="s">
        <v>1775</v>
      </c>
      <c r="F1790" t="s"/>
      <c r="G1790" t="s"/>
      <c r="H1790" t="s"/>
      <c r="I1790" t="s"/>
      <c r="J1790" t="n">
        <v>0</v>
      </c>
      <c r="K1790" t="n">
        <v>0</v>
      </c>
      <c r="L1790" t="n">
        <v>1</v>
      </c>
      <c r="M1790" t="n">
        <v>0</v>
      </c>
    </row>
    <row r="1791" spans="1:13">
      <c r="A1791" s="1">
        <f>HYPERLINK("http://www.twitter.com/NathanBLawrence/status/987490095308726273", "987490095308726273")</f>
        <v/>
      </c>
      <c r="B1791" s="2" t="n">
        <v>43211.025</v>
      </c>
      <c r="C1791" t="n">
        <v>0</v>
      </c>
      <c r="D1791" t="n">
        <v>3</v>
      </c>
      <c r="E1791" t="s">
        <v>1776</v>
      </c>
      <c r="F1791" t="s"/>
      <c r="G1791" t="s"/>
      <c r="H1791" t="s"/>
      <c r="I1791" t="s"/>
      <c r="J1791" t="n">
        <v>0.1027</v>
      </c>
      <c r="K1791" t="n">
        <v>0.089</v>
      </c>
      <c r="L1791" t="n">
        <v>0.804</v>
      </c>
      <c r="M1791" t="n">
        <v>0.107</v>
      </c>
    </row>
    <row r="1792" spans="1:13">
      <c r="A1792" s="1">
        <f>HYPERLINK("http://www.twitter.com/NathanBLawrence/status/987489969513160704", "987489969513160704")</f>
        <v/>
      </c>
      <c r="B1792" s="2" t="n">
        <v>43211.02465277778</v>
      </c>
      <c r="C1792" t="n">
        <v>0</v>
      </c>
      <c r="D1792" t="n">
        <v>2</v>
      </c>
      <c r="E1792" t="s">
        <v>1777</v>
      </c>
      <c r="F1792" t="s"/>
      <c r="G1792" t="s"/>
      <c r="H1792" t="s"/>
      <c r="I1792" t="s"/>
      <c r="J1792" t="n">
        <v>0.6124000000000001</v>
      </c>
      <c r="K1792" t="n">
        <v>0.103</v>
      </c>
      <c r="L1792" t="n">
        <v>0.662</v>
      </c>
      <c r="M1792" t="n">
        <v>0.235</v>
      </c>
    </row>
    <row r="1793" spans="1:13">
      <c r="A1793" s="1">
        <f>HYPERLINK("http://www.twitter.com/NathanBLawrence/status/987489821345112064", "987489821345112064")</f>
        <v/>
      </c>
      <c r="B1793" s="2" t="n">
        <v>43211.02423611111</v>
      </c>
      <c r="C1793" t="n">
        <v>2</v>
      </c>
      <c r="D1793" t="n">
        <v>2</v>
      </c>
      <c r="E1793" t="s">
        <v>1778</v>
      </c>
      <c r="F1793" t="s"/>
      <c r="G1793" t="s"/>
      <c r="H1793" t="s"/>
      <c r="I1793" t="s"/>
      <c r="J1793" t="n">
        <v>0.5719</v>
      </c>
      <c r="K1793" t="n">
        <v>0.161</v>
      </c>
      <c r="L1793" t="n">
        <v>0.632</v>
      </c>
      <c r="M1793" t="n">
        <v>0.207</v>
      </c>
    </row>
    <row r="1794" spans="1:13">
      <c r="A1794" s="1">
        <f>HYPERLINK("http://www.twitter.com/NathanBLawrence/status/987487679947395073", "987487679947395073")</f>
        <v/>
      </c>
      <c r="B1794" s="2" t="n">
        <v>43211.01833333333</v>
      </c>
      <c r="C1794" t="n">
        <v>0</v>
      </c>
      <c r="D1794" t="n">
        <v>1</v>
      </c>
      <c r="E1794" t="s">
        <v>1779</v>
      </c>
      <c r="F1794" t="s"/>
      <c r="G1794" t="s"/>
      <c r="H1794" t="s"/>
      <c r="I1794" t="s"/>
      <c r="J1794" t="n">
        <v>-0.5423</v>
      </c>
      <c r="K1794" t="n">
        <v>0.171</v>
      </c>
      <c r="L1794" t="n">
        <v>0.829</v>
      </c>
      <c r="M1794" t="n">
        <v>0</v>
      </c>
    </row>
    <row r="1795" spans="1:13">
      <c r="A1795" s="1">
        <f>HYPERLINK("http://www.twitter.com/NathanBLawrence/status/987487246998736897", "987487246998736897")</f>
        <v/>
      </c>
      <c r="B1795" s="2" t="n">
        <v>43211.01712962963</v>
      </c>
      <c r="C1795" t="n">
        <v>0</v>
      </c>
      <c r="D1795" t="n">
        <v>9</v>
      </c>
      <c r="E1795" t="s">
        <v>1780</v>
      </c>
      <c r="F1795">
        <f>HYPERLINK("http://pbs.twimg.com/media/DbQ8KwFWkAEivtq.jpg", "http://pbs.twimg.com/media/DbQ8KwFWkAEivtq.jpg")</f>
        <v/>
      </c>
      <c r="G1795" t="s"/>
      <c r="H1795" t="s"/>
      <c r="I1795" t="s"/>
      <c r="J1795" t="n">
        <v>0</v>
      </c>
      <c r="K1795" t="n">
        <v>0</v>
      </c>
      <c r="L1795" t="n">
        <v>1</v>
      </c>
      <c r="M1795" t="n">
        <v>0</v>
      </c>
    </row>
    <row r="1796" spans="1:13">
      <c r="A1796" s="1">
        <f>HYPERLINK("http://www.twitter.com/NathanBLawrence/status/987487221358919680", "987487221358919680")</f>
        <v/>
      </c>
      <c r="B1796" s="2" t="n">
        <v>43211.01706018519</v>
      </c>
      <c r="C1796" t="n">
        <v>0</v>
      </c>
      <c r="D1796" t="n">
        <v>0</v>
      </c>
      <c r="E1796" t="s">
        <v>1781</v>
      </c>
      <c r="F1796" t="s"/>
      <c r="G1796" t="s"/>
      <c r="H1796" t="s"/>
      <c r="I1796" t="s"/>
      <c r="J1796" t="n">
        <v>-0.6115</v>
      </c>
      <c r="K1796" t="n">
        <v>0.125</v>
      </c>
      <c r="L1796" t="n">
        <v>0.875</v>
      </c>
      <c r="M1796" t="n">
        <v>0</v>
      </c>
    </row>
    <row r="1797" spans="1:13">
      <c r="A1797" s="1">
        <f>HYPERLINK("http://www.twitter.com/NathanBLawrence/status/987486326508449793", "987486326508449793")</f>
        <v/>
      </c>
      <c r="B1797" s="2" t="n">
        <v>43211.01459490741</v>
      </c>
      <c r="C1797" t="n">
        <v>0</v>
      </c>
      <c r="D1797" t="n">
        <v>1</v>
      </c>
      <c r="E1797" t="s">
        <v>1782</v>
      </c>
      <c r="F1797" t="s"/>
      <c r="G1797" t="s"/>
      <c r="H1797" t="s"/>
      <c r="I1797" t="s"/>
      <c r="J1797" t="n">
        <v>-0.4215</v>
      </c>
      <c r="K1797" t="n">
        <v>0.109</v>
      </c>
      <c r="L1797" t="n">
        <v>0.891</v>
      </c>
      <c r="M1797" t="n">
        <v>0</v>
      </c>
    </row>
    <row r="1798" spans="1:13">
      <c r="A1798" s="1">
        <f>HYPERLINK("http://www.twitter.com/NathanBLawrence/status/987486297987125253", "987486297987125253")</f>
        <v/>
      </c>
      <c r="B1798" s="2" t="n">
        <v>43211.01451388889</v>
      </c>
      <c r="C1798" t="n">
        <v>0</v>
      </c>
      <c r="D1798" t="n">
        <v>2</v>
      </c>
      <c r="E1798" t="s">
        <v>1783</v>
      </c>
      <c r="F1798" t="s"/>
      <c r="G1798" t="s"/>
      <c r="H1798" t="s"/>
      <c r="I1798" t="s"/>
      <c r="J1798" t="n">
        <v>-0.2732</v>
      </c>
      <c r="K1798" t="n">
        <v>0.1</v>
      </c>
      <c r="L1798" t="n">
        <v>0.9</v>
      </c>
      <c r="M1798" t="n">
        <v>0</v>
      </c>
    </row>
    <row r="1799" spans="1:13">
      <c r="A1799" s="1">
        <f>HYPERLINK("http://www.twitter.com/NathanBLawrence/status/987486284150181888", "987486284150181888")</f>
        <v/>
      </c>
      <c r="B1799" s="2" t="n">
        <v>43211.01447916667</v>
      </c>
      <c r="C1799" t="n">
        <v>0</v>
      </c>
      <c r="D1799" t="n">
        <v>1</v>
      </c>
      <c r="E1799" t="s">
        <v>1784</v>
      </c>
      <c r="F1799" t="s"/>
      <c r="G1799" t="s"/>
      <c r="H1799" t="s"/>
      <c r="I1799" t="s"/>
      <c r="J1799" t="n">
        <v>-0.3818</v>
      </c>
      <c r="K1799" t="n">
        <v>0.347</v>
      </c>
      <c r="L1799" t="n">
        <v>0.486</v>
      </c>
      <c r="M1799" t="n">
        <v>0.167</v>
      </c>
    </row>
    <row r="1800" spans="1:13">
      <c r="A1800" s="1">
        <f>HYPERLINK("http://www.twitter.com/NathanBLawrence/status/987486230412742656", "987486230412742656")</f>
        <v/>
      </c>
      <c r="B1800" s="2" t="n">
        <v>43211.01432870371</v>
      </c>
      <c r="C1800" t="n">
        <v>0</v>
      </c>
      <c r="D1800" t="n">
        <v>1</v>
      </c>
      <c r="E1800" t="s">
        <v>1785</v>
      </c>
      <c r="F1800" t="s"/>
      <c r="G1800" t="s"/>
      <c r="H1800" t="s"/>
      <c r="I1800" t="s"/>
      <c r="J1800" t="n">
        <v>-0.5719</v>
      </c>
      <c r="K1800" t="n">
        <v>0.21</v>
      </c>
      <c r="L1800" t="n">
        <v>0.712</v>
      </c>
      <c r="M1800" t="n">
        <v>0.078</v>
      </c>
    </row>
    <row r="1801" spans="1:13">
      <c r="A1801" s="1">
        <f>HYPERLINK("http://www.twitter.com/NathanBLawrence/status/987486182304083968", "987486182304083968")</f>
        <v/>
      </c>
      <c r="B1801" s="2" t="n">
        <v>43211.01420138889</v>
      </c>
      <c r="C1801" t="n">
        <v>0</v>
      </c>
      <c r="D1801" t="n">
        <v>1</v>
      </c>
      <c r="E1801" t="s">
        <v>1786</v>
      </c>
      <c r="F1801" t="s"/>
      <c r="G1801" t="s"/>
      <c r="H1801" t="s"/>
      <c r="I1801" t="s"/>
      <c r="J1801" t="n">
        <v>-0.4939</v>
      </c>
      <c r="K1801" t="n">
        <v>0.228</v>
      </c>
      <c r="L1801" t="n">
        <v>0.6899999999999999</v>
      </c>
      <c r="M1801" t="n">
        <v>0.083</v>
      </c>
    </row>
    <row r="1802" spans="1:13">
      <c r="A1802" s="1">
        <f>HYPERLINK("http://www.twitter.com/NathanBLawrence/status/987485948077363201", "987485948077363201")</f>
        <v/>
      </c>
      <c r="B1802" s="2" t="n">
        <v>43211.01355324074</v>
      </c>
      <c r="C1802" t="n">
        <v>0</v>
      </c>
      <c r="D1802" t="n">
        <v>1</v>
      </c>
      <c r="E1802" t="s">
        <v>1787</v>
      </c>
      <c r="F1802" t="s"/>
      <c r="G1802" t="s"/>
      <c r="H1802" t="s"/>
      <c r="I1802" t="s"/>
      <c r="J1802" t="n">
        <v>0.4019</v>
      </c>
      <c r="K1802" t="n">
        <v>0</v>
      </c>
      <c r="L1802" t="n">
        <v>0.891</v>
      </c>
      <c r="M1802" t="n">
        <v>0.109</v>
      </c>
    </row>
    <row r="1803" spans="1:13">
      <c r="A1803" s="1">
        <f>HYPERLINK("http://www.twitter.com/NathanBLawrence/status/987485934315765760", "987485934315765760")</f>
        <v/>
      </c>
      <c r="B1803" s="2" t="n">
        <v>43211.01350694444</v>
      </c>
      <c r="C1803" t="n">
        <v>2</v>
      </c>
      <c r="D1803" t="n">
        <v>1</v>
      </c>
      <c r="E1803" t="s">
        <v>1788</v>
      </c>
      <c r="F1803" t="s"/>
      <c r="G1803" t="s"/>
      <c r="H1803" t="s"/>
      <c r="I1803" t="s"/>
      <c r="J1803" t="n">
        <v>-0.8754999999999999</v>
      </c>
      <c r="K1803" t="n">
        <v>0.213</v>
      </c>
      <c r="L1803" t="n">
        <v>0.749</v>
      </c>
      <c r="M1803" t="n">
        <v>0.038</v>
      </c>
    </row>
    <row r="1804" spans="1:13">
      <c r="A1804" s="1">
        <f>HYPERLINK("http://www.twitter.com/NathanBLawrence/status/987484900780584961", "987484900780584961")</f>
        <v/>
      </c>
      <c r="B1804" s="2" t="n">
        <v>43211.01065972223</v>
      </c>
      <c r="C1804" t="n">
        <v>1</v>
      </c>
      <c r="D1804" t="n">
        <v>1</v>
      </c>
      <c r="E1804" t="s">
        <v>1789</v>
      </c>
      <c r="F1804" t="s"/>
      <c r="G1804" t="s"/>
      <c r="H1804" t="s"/>
      <c r="I1804" t="s"/>
      <c r="J1804" t="n">
        <v>-0.0258</v>
      </c>
      <c r="K1804" t="n">
        <v>0.106</v>
      </c>
      <c r="L1804" t="n">
        <v>0.792</v>
      </c>
      <c r="M1804" t="n">
        <v>0.102</v>
      </c>
    </row>
    <row r="1805" spans="1:13">
      <c r="A1805" s="1">
        <f>HYPERLINK("http://www.twitter.com/NathanBLawrence/status/987484728910589952", "987484728910589952")</f>
        <v/>
      </c>
      <c r="B1805" s="2" t="n">
        <v>43211.01018518519</v>
      </c>
      <c r="C1805" t="n">
        <v>1</v>
      </c>
      <c r="D1805" t="n">
        <v>1</v>
      </c>
      <c r="E1805" t="s">
        <v>1790</v>
      </c>
      <c r="F1805" t="s"/>
      <c r="G1805" t="s"/>
      <c r="H1805" t="s"/>
      <c r="I1805" t="s"/>
      <c r="J1805" t="n">
        <v>-0.3818</v>
      </c>
      <c r="K1805" t="n">
        <v>0.403</v>
      </c>
      <c r="L1805" t="n">
        <v>0.403</v>
      </c>
      <c r="M1805" t="n">
        <v>0.194</v>
      </c>
    </row>
    <row r="1806" spans="1:13">
      <c r="A1806" s="1">
        <f>HYPERLINK("http://www.twitter.com/NathanBLawrence/status/987484631867052032", "987484631867052032")</f>
        <v/>
      </c>
      <c r="B1806" s="2" t="n">
        <v>43211.00991898148</v>
      </c>
      <c r="C1806" t="n">
        <v>0</v>
      </c>
      <c r="D1806" t="n">
        <v>17</v>
      </c>
      <c r="E1806" t="s">
        <v>1791</v>
      </c>
      <c r="F1806">
        <f>HYPERLINK("http://pbs.twimg.com/media/DbQ-H-NWkAUbwgn.jpg", "http://pbs.twimg.com/media/DbQ-H-NWkAUbwgn.jpg")</f>
        <v/>
      </c>
      <c r="G1806" t="s"/>
      <c r="H1806" t="s"/>
      <c r="I1806" t="s"/>
      <c r="J1806" t="n">
        <v>0.3182</v>
      </c>
      <c r="K1806" t="n">
        <v>0.059</v>
      </c>
      <c r="L1806" t="n">
        <v>0.822</v>
      </c>
      <c r="M1806" t="n">
        <v>0.119</v>
      </c>
    </row>
    <row r="1807" spans="1:13">
      <c r="A1807" s="1">
        <f>HYPERLINK("http://www.twitter.com/NathanBLawrence/status/987484614590689280", "987484614590689280")</f>
        <v/>
      </c>
      <c r="B1807" s="2" t="n">
        <v>43211.00987268519</v>
      </c>
      <c r="C1807" t="n">
        <v>3</v>
      </c>
      <c r="D1807" t="n">
        <v>2</v>
      </c>
      <c r="E1807" t="s">
        <v>1792</v>
      </c>
      <c r="F1807" t="s"/>
      <c r="G1807" t="s"/>
      <c r="H1807" t="s"/>
      <c r="I1807" t="s"/>
      <c r="J1807" t="n">
        <v>-0.2732</v>
      </c>
      <c r="K1807" t="n">
        <v>0.11</v>
      </c>
      <c r="L1807" t="n">
        <v>0.89</v>
      </c>
      <c r="M1807" t="n">
        <v>0</v>
      </c>
    </row>
    <row r="1808" spans="1:13">
      <c r="A1808" s="1">
        <f>HYPERLINK("http://www.twitter.com/NathanBLawrence/status/987484440451600384", "987484440451600384")</f>
        <v/>
      </c>
      <c r="B1808" s="2" t="n">
        <v>43211.00938657407</v>
      </c>
      <c r="C1808" t="n">
        <v>1</v>
      </c>
      <c r="D1808" t="n">
        <v>1</v>
      </c>
      <c r="E1808" t="s">
        <v>1793</v>
      </c>
      <c r="F1808" t="s"/>
      <c r="G1808" t="s"/>
      <c r="H1808" t="s"/>
      <c r="I1808" t="s"/>
      <c r="J1808" t="n">
        <v>-0.2621</v>
      </c>
      <c r="K1808" t="n">
        <v>0.116</v>
      </c>
      <c r="L1808" t="n">
        <v>0.787</v>
      </c>
      <c r="M1808" t="n">
        <v>0.097</v>
      </c>
    </row>
    <row r="1809" spans="1:13">
      <c r="A1809" s="1">
        <f>HYPERLINK("http://www.twitter.com/NathanBLawrence/status/987475890186674177", "987475890186674177")</f>
        <v/>
      </c>
      <c r="B1809" s="2" t="n">
        <v>43210.98579861111</v>
      </c>
      <c r="C1809" t="n">
        <v>0</v>
      </c>
      <c r="D1809" t="n">
        <v>0</v>
      </c>
      <c r="E1809" t="s">
        <v>1794</v>
      </c>
      <c r="F1809" t="s"/>
      <c r="G1809" t="s"/>
      <c r="H1809" t="s"/>
      <c r="I1809" t="s"/>
      <c r="J1809" t="n">
        <v>0.5972</v>
      </c>
      <c r="K1809" t="n">
        <v>0</v>
      </c>
      <c r="L1809" t="n">
        <v>0.607</v>
      </c>
      <c r="M1809" t="n">
        <v>0.393</v>
      </c>
    </row>
    <row r="1810" spans="1:13">
      <c r="A1810" s="1">
        <f>HYPERLINK("http://www.twitter.com/NathanBLawrence/status/987475628311052290", "987475628311052290")</f>
        <v/>
      </c>
      <c r="B1810" s="2" t="n">
        <v>43210.98506944445</v>
      </c>
      <c r="C1810" t="n">
        <v>0</v>
      </c>
      <c r="D1810" t="n">
        <v>6</v>
      </c>
      <c r="E1810" t="s">
        <v>1795</v>
      </c>
      <c r="F1810" t="s"/>
      <c r="G1810" t="s"/>
      <c r="H1810" t="s"/>
      <c r="I1810" t="s"/>
      <c r="J1810" t="n">
        <v>-0.0572</v>
      </c>
      <c r="K1810" t="n">
        <v>0.058</v>
      </c>
      <c r="L1810" t="n">
        <v>0.9419999999999999</v>
      </c>
      <c r="M1810" t="n">
        <v>0</v>
      </c>
    </row>
    <row r="1811" spans="1:13">
      <c r="A1811" s="1">
        <f>HYPERLINK("http://www.twitter.com/NathanBLawrence/status/987475563161014272", "987475563161014272")</f>
        <v/>
      </c>
      <c r="B1811" s="2" t="n">
        <v>43210.98489583333</v>
      </c>
      <c r="C1811" t="n">
        <v>0</v>
      </c>
      <c r="D1811" t="n">
        <v>8</v>
      </c>
      <c r="E1811" t="s">
        <v>1796</v>
      </c>
      <c r="F1811">
        <f>HYPERLINK("https://video.twimg.com/ext_tw_video/987402809128771589/pu/vid/1280x720/-MV5xY8Y9ybGFz-c.mp4?tag=3", "https://video.twimg.com/ext_tw_video/987402809128771589/pu/vid/1280x720/-MV5xY8Y9ybGFz-c.mp4?tag=3")</f>
        <v/>
      </c>
      <c r="G1811" t="s"/>
      <c r="H1811" t="s"/>
      <c r="I1811" t="s"/>
      <c r="J1811" t="n">
        <v>-0.5574</v>
      </c>
      <c r="K1811" t="n">
        <v>0.175</v>
      </c>
      <c r="L1811" t="n">
        <v>0.825</v>
      </c>
      <c r="M1811" t="n">
        <v>0</v>
      </c>
    </row>
    <row r="1812" spans="1:13">
      <c r="A1812" s="1">
        <f>HYPERLINK("http://www.twitter.com/NathanBLawrence/status/987475547390390272", "987475547390390272")</f>
        <v/>
      </c>
      <c r="B1812" s="2" t="n">
        <v>43210.98484953704</v>
      </c>
      <c r="C1812" t="n">
        <v>0</v>
      </c>
      <c r="D1812" t="n">
        <v>4</v>
      </c>
      <c r="E1812" t="s">
        <v>1797</v>
      </c>
      <c r="F1812" t="s"/>
      <c r="G1812" t="s"/>
      <c r="H1812" t="s"/>
      <c r="I1812" t="s"/>
      <c r="J1812" t="n">
        <v>0</v>
      </c>
      <c r="K1812" t="n">
        <v>0</v>
      </c>
      <c r="L1812" t="n">
        <v>1</v>
      </c>
      <c r="M1812" t="n">
        <v>0</v>
      </c>
    </row>
    <row r="1813" spans="1:13">
      <c r="A1813" s="1">
        <f>HYPERLINK("http://www.twitter.com/NathanBLawrence/status/987475512355360768", "987475512355360768")</f>
        <v/>
      </c>
      <c r="B1813" s="2" t="n">
        <v>43210.98475694445</v>
      </c>
      <c r="C1813" t="n">
        <v>0</v>
      </c>
      <c r="D1813" t="n">
        <v>12</v>
      </c>
      <c r="E1813" t="s">
        <v>1798</v>
      </c>
      <c r="F1813" t="s"/>
      <c r="G1813" t="s"/>
      <c r="H1813" t="s"/>
      <c r="I1813" t="s"/>
      <c r="J1813" t="n">
        <v>-0.5411</v>
      </c>
      <c r="K1813" t="n">
        <v>0.171</v>
      </c>
      <c r="L1813" t="n">
        <v>0.757</v>
      </c>
      <c r="M1813" t="n">
        <v>0.07199999999999999</v>
      </c>
    </row>
    <row r="1814" spans="1:13">
      <c r="A1814" s="1">
        <f>HYPERLINK("http://www.twitter.com/NathanBLawrence/status/987475451844100097", "987475451844100097")</f>
        <v/>
      </c>
      <c r="B1814" s="2" t="n">
        <v>43210.98458333333</v>
      </c>
      <c r="C1814" t="n">
        <v>0</v>
      </c>
      <c r="D1814" t="n">
        <v>6</v>
      </c>
      <c r="E1814" t="s">
        <v>1799</v>
      </c>
      <c r="F1814">
        <f>HYPERLINK("http://pbs.twimg.com/media/DbOaKXZV4AEd2Uk.jpg", "http://pbs.twimg.com/media/DbOaKXZV4AEd2Uk.jpg")</f>
        <v/>
      </c>
      <c r="G1814" t="s"/>
      <c r="H1814" t="s"/>
      <c r="I1814" t="s"/>
      <c r="J1814" t="n">
        <v>0.4019</v>
      </c>
      <c r="K1814" t="n">
        <v>0</v>
      </c>
      <c r="L1814" t="n">
        <v>0.87</v>
      </c>
      <c r="M1814" t="n">
        <v>0.13</v>
      </c>
    </row>
    <row r="1815" spans="1:13">
      <c r="A1815" s="1">
        <f>HYPERLINK("http://www.twitter.com/NathanBLawrence/status/987475367580626944", "987475367580626944")</f>
        <v/>
      </c>
      <c r="B1815" s="2" t="n">
        <v>43210.98435185185</v>
      </c>
      <c r="C1815" t="n">
        <v>1</v>
      </c>
      <c r="D1815" t="n">
        <v>1</v>
      </c>
      <c r="E1815" t="s">
        <v>1800</v>
      </c>
      <c r="F1815" t="s"/>
      <c r="G1815" t="s"/>
      <c r="H1815" t="s"/>
      <c r="I1815" t="s"/>
      <c r="J1815" t="n">
        <v>0.06560000000000001</v>
      </c>
      <c r="K1815" t="n">
        <v>0.133</v>
      </c>
      <c r="L1815" t="n">
        <v>0.748</v>
      </c>
      <c r="M1815" t="n">
        <v>0.118</v>
      </c>
    </row>
    <row r="1816" spans="1:13">
      <c r="A1816" s="1">
        <f>HYPERLINK("http://www.twitter.com/NathanBLawrence/status/987474849881784323", "987474849881784323")</f>
        <v/>
      </c>
      <c r="B1816" s="2" t="n">
        <v>43210.98292824074</v>
      </c>
      <c r="C1816" t="n">
        <v>0</v>
      </c>
      <c r="D1816" t="n">
        <v>11</v>
      </c>
      <c r="E1816" t="s">
        <v>1801</v>
      </c>
      <c r="F1816">
        <f>HYPERLINK("http://pbs.twimg.com/media/DbQrXimW4AExk2T.jpg", "http://pbs.twimg.com/media/DbQrXimW4AExk2T.jpg")</f>
        <v/>
      </c>
      <c r="G1816" t="s"/>
      <c r="H1816" t="s"/>
      <c r="I1816" t="s"/>
      <c r="J1816" t="n">
        <v>0.4019</v>
      </c>
      <c r="K1816" t="n">
        <v>0</v>
      </c>
      <c r="L1816" t="n">
        <v>0.876</v>
      </c>
      <c r="M1816" t="n">
        <v>0.124</v>
      </c>
    </row>
    <row r="1817" spans="1:13">
      <c r="A1817" s="1">
        <f>HYPERLINK("http://www.twitter.com/NathanBLawrence/status/987463478721040389", "987463478721040389")</f>
        <v/>
      </c>
      <c r="B1817" s="2" t="n">
        <v>43210.95155092593</v>
      </c>
      <c r="C1817" t="n">
        <v>0</v>
      </c>
      <c r="D1817" t="n">
        <v>5</v>
      </c>
      <c r="E1817" t="s">
        <v>1802</v>
      </c>
      <c r="F1817" t="s"/>
      <c r="G1817" t="s"/>
      <c r="H1817" t="s"/>
      <c r="I1817" t="s"/>
      <c r="J1817" t="n">
        <v>0</v>
      </c>
      <c r="K1817" t="n">
        <v>0.135</v>
      </c>
      <c r="L1817" t="n">
        <v>0.73</v>
      </c>
      <c r="M1817" t="n">
        <v>0.135</v>
      </c>
    </row>
    <row r="1818" spans="1:13">
      <c r="A1818" s="1">
        <f>HYPERLINK("http://www.twitter.com/NathanBLawrence/status/987460285031165957", "987460285031165957")</f>
        <v/>
      </c>
      <c r="B1818" s="2" t="n">
        <v>43210.94273148148</v>
      </c>
      <c r="C1818" t="n">
        <v>6</v>
      </c>
      <c r="D1818" t="n">
        <v>5</v>
      </c>
      <c r="E1818" t="s">
        <v>1803</v>
      </c>
      <c r="F1818" t="s"/>
      <c r="G1818" t="s"/>
      <c r="H1818" t="s"/>
      <c r="I1818" t="s"/>
      <c r="J1818" t="n">
        <v>-0.0752</v>
      </c>
      <c r="K1818" t="n">
        <v>0.164</v>
      </c>
      <c r="L1818" t="n">
        <v>0.694</v>
      </c>
      <c r="M1818" t="n">
        <v>0.142</v>
      </c>
    </row>
    <row r="1819" spans="1:13">
      <c r="A1819" s="1">
        <f>HYPERLINK("http://www.twitter.com/NathanBLawrence/status/987427559351693312", "987427559351693312")</f>
        <v/>
      </c>
      <c r="B1819" s="2" t="n">
        <v>43210.85243055555</v>
      </c>
      <c r="C1819" t="n">
        <v>1</v>
      </c>
      <c r="D1819" t="n">
        <v>0</v>
      </c>
      <c r="E1819" t="s">
        <v>1804</v>
      </c>
      <c r="F1819" t="s"/>
      <c r="G1819" t="s"/>
      <c r="H1819" t="s"/>
      <c r="I1819" t="s"/>
      <c r="J1819" t="n">
        <v>0</v>
      </c>
      <c r="K1819" t="n">
        <v>0</v>
      </c>
      <c r="L1819" t="n">
        <v>1</v>
      </c>
      <c r="M1819" t="n">
        <v>0</v>
      </c>
    </row>
    <row r="1820" spans="1:13">
      <c r="A1820" s="1">
        <f>HYPERLINK("http://www.twitter.com/NathanBLawrence/status/987427114625523712", "987427114625523712")</f>
        <v/>
      </c>
      <c r="B1820" s="2" t="n">
        <v>43210.85120370371</v>
      </c>
      <c r="C1820" t="n">
        <v>0</v>
      </c>
      <c r="D1820" t="n">
        <v>368</v>
      </c>
      <c r="E1820" t="s">
        <v>1805</v>
      </c>
      <c r="F1820" t="s"/>
      <c r="G1820" t="s"/>
      <c r="H1820" t="s"/>
      <c r="I1820" t="s"/>
      <c r="J1820" t="n">
        <v>0</v>
      </c>
      <c r="K1820" t="n">
        <v>0</v>
      </c>
      <c r="L1820" t="n">
        <v>1</v>
      </c>
      <c r="M1820" t="n">
        <v>0</v>
      </c>
    </row>
    <row r="1821" spans="1:13">
      <c r="A1821" s="1">
        <f>HYPERLINK("http://www.twitter.com/NathanBLawrence/status/987426982777507840", "987426982777507840")</f>
        <v/>
      </c>
      <c r="B1821" s="2" t="n">
        <v>43210.85083333333</v>
      </c>
      <c r="C1821" t="n">
        <v>1</v>
      </c>
      <c r="D1821" t="n">
        <v>0</v>
      </c>
      <c r="E1821" t="s">
        <v>1806</v>
      </c>
      <c r="F1821" t="s"/>
      <c r="G1821" t="s"/>
      <c r="H1821" t="s"/>
      <c r="I1821" t="s"/>
      <c r="J1821" t="n">
        <v>0.4215</v>
      </c>
      <c r="K1821" t="n">
        <v>0</v>
      </c>
      <c r="L1821" t="n">
        <v>0.517</v>
      </c>
      <c r="M1821" t="n">
        <v>0.483</v>
      </c>
    </row>
    <row r="1822" spans="1:13">
      <c r="A1822" s="1">
        <f>HYPERLINK("http://www.twitter.com/NathanBLawrence/status/987426634205679618", "987426634205679618")</f>
        <v/>
      </c>
      <c r="B1822" s="2" t="n">
        <v>43210.84987268518</v>
      </c>
      <c r="C1822" t="n">
        <v>0</v>
      </c>
      <c r="D1822" t="n">
        <v>66</v>
      </c>
      <c r="E1822" t="s">
        <v>1807</v>
      </c>
      <c r="F1822" t="s"/>
      <c r="G1822" t="s"/>
      <c r="H1822" t="s"/>
      <c r="I1822" t="s"/>
      <c r="J1822" t="n">
        <v>0.4767</v>
      </c>
      <c r="K1822" t="n">
        <v>0</v>
      </c>
      <c r="L1822" t="n">
        <v>0.886</v>
      </c>
      <c r="M1822" t="n">
        <v>0.114</v>
      </c>
    </row>
    <row r="1823" spans="1:13">
      <c r="A1823" s="1">
        <f>HYPERLINK("http://www.twitter.com/NathanBLawrence/status/987426565054238726", "987426565054238726")</f>
        <v/>
      </c>
      <c r="B1823" s="2" t="n">
        <v>43210.8496875</v>
      </c>
      <c r="C1823" t="n">
        <v>0</v>
      </c>
      <c r="D1823" t="n">
        <v>28818</v>
      </c>
      <c r="E1823" t="s">
        <v>1808</v>
      </c>
      <c r="F1823" t="s"/>
      <c r="G1823" t="s"/>
      <c r="H1823" t="s"/>
      <c r="I1823" t="s"/>
      <c r="J1823" t="n">
        <v>-0.5984</v>
      </c>
      <c r="K1823" t="n">
        <v>0.197</v>
      </c>
      <c r="L1823" t="n">
        <v>0.803</v>
      </c>
      <c r="M1823" t="n">
        <v>0</v>
      </c>
    </row>
    <row r="1824" spans="1:13">
      <c r="A1824" s="1">
        <f>HYPERLINK("http://www.twitter.com/NathanBLawrence/status/987397837632823297", "987397837632823297")</f>
        <v/>
      </c>
      <c r="B1824" s="2" t="n">
        <v>43210.77041666667</v>
      </c>
      <c r="C1824" t="n">
        <v>0</v>
      </c>
      <c r="D1824" t="n">
        <v>121</v>
      </c>
      <c r="E1824" t="s">
        <v>1809</v>
      </c>
      <c r="F1824" t="s"/>
      <c r="G1824" t="s"/>
      <c r="H1824" t="s"/>
      <c r="I1824" t="s"/>
      <c r="J1824" t="n">
        <v>0.2732</v>
      </c>
      <c r="K1824" t="n">
        <v>0.101</v>
      </c>
      <c r="L1824" t="n">
        <v>0.749</v>
      </c>
      <c r="M1824" t="n">
        <v>0.15</v>
      </c>
    </row>
    <row r="1825" spans="1:13">
      <c r="A1825" s="1">
        <f>HYPERLINK("http://www.twitter.com/NathanBLawrence/status/987370869168238593", "987370869168238593")</f>
        <v/>
      </c>
      <c r="B1825" s="2" t="n">
        <v>43210.69599537037</v>
      </c>
      <c r="C1825" t="n">
        <v>0</v>
      </c>
      <c r="D1825" t="n">
        <v>2</v>
      </c>
      <c r="E1825" t="s">
        <v>1810</v>
      </c>
      <c r="F1825" t="s"/>
      <c r="G1825" t="s"/>
      <c r="H1825" t="s"/>
      <c r="I1825" t="s"/>
      <c r="J1825" t="n">
        <v>0.5413</v>
      </c>
      <c r="K1825" t="n">
        <v>0</v>
      </c>
      <c r="L1825" t="n">
        <v>0.8090000000000001</v>
      </c>
      <c r="M1825" t="n">
        <v>0.191</v>
      </c>
    </row>
    <row r="1826" spans="1:13">
      <c r="A1826" s="1">
        <f>HYPERLINK("http://www.twitter.com/NathanBLawrence/status/987369314125787136", "987369314125787136")</f>
        <v/>
      </c>
      <c r="B1826" s="2" t="n">
        <v>43210.69170138889</v>
      </c>
      <c r="C1826" t="n">
        <v>0</v>
      </c>
      <c r="D1826" t="n">
        <v>15</v>
      </c>
      <c r="E1826" t="s">
        <v>1811</v>
      </c>
      <c r="F1826">
        <f>HYPERLINK("http://pbs.twimg.com/media/Dabd8WDUMAEbaw-.jpg", "http://pbs.twimg.com/media/Dabd8WDUMAEbaw-.jpg")</f>
        <v/>
      </c>
      <c r="G1826" t="s"/>
      <c r="H1826" t="s"/>
      <c r="I1826" t="s"/>
      <c r="J1826" t="n">
        <v>0</v>
      </c>
      <c r="K1826" t="n">
        <v>0</v>
      </c>
      <c r="L1826" t="n">
        <v>1</v>
      </c>
      <c r="M1826" t="n">
        <v>0</v>
      </c>
    </row>
    <row r="1827" spans="1:13">
      <c r="A1827" s="1">
        <f>HYPERLINK("http://www.twitter.com/NathanBLawrence/status/987369263123128320", "987369263123128320")</f>
        <v/>
      </c>
      <c r="B1827" s="2" t="n">
        <v>43210.6915625</v>
      </c>
      <c r="C1827" t="n">
        <v>0</v>
      </c>
      <c r="D1827" t="n">
        <v>6</v>
      </c>
      <c r="E1827" t="s">
        <v>1812</v>
      </c>
      <c r="F1827">
        <f>HYPERLINK("http://pbs.twimg.com/media/DbLheyuXcAE-uTT.jpg", "http://pbs.twimg.com/media/DbLheyuXcAE-uTT.jpg")</f>
        <v/>
      </c>
      <c r="G1827" t="s"/>
      <c r="H1827" t="s"/>
      <c r="I1827" t="s"/>
      <c r="J1827" t="n">
        <v>-0.8411999999999999</v>
      </c>
      <c r="K1827" t="n">
        <v>0.347</v>
      </c>
      <c r="L1827" t="n">
        <v>0.653</v>
      </c>
      <c r="M1827" t="n">
        <v>0</v>
      </c>
    </row>
    <row r="1828" spans="1:13">
      <c r="A1828" s="1">
        <f>HYPERLINK("http://www.twitter.com/NathanBLawrence/status/987369188984582146", "987369188984582146")</f>
        <v/>
      </c>
      <c r="B1828" s="2" t="n">
        <v>43210.69135416667</v>
      </c>
      <c r="C1828" t="n">
        <v>0</v>
      </c>
      <c r="D1828" t="n">
        <v>3</v>
      </c>
      <c r="E1828" t="s">
        <v>1813</v>
      </c>
      <c r="F1828" t="s"/>
      <c r="G1828" t="s"/>
      <c r="H1828" t="s"/>
      <c r="I1828" t="s"/>
      <c r="J1828" t="n">
        <v>0.6801</v>
      </c>
      <c r="K1828" t="n">
        <v>0</v>
      </c>
      <c r="L1828" t="n">
        <v>0.699</v>
      </c>
      <c r="M1828" t="n">
        <v>0.301</v>
      </c>
    </row>
    <row r="1829" spans="1:13">
      <c r="A1829" s="1">
        <f>HYPERLINK("http://www.twitter.com/NathanBLawrence/status/987369055962238976", "987369055962238976")</f>
        <v/>
      </c>
      <c r="B1829" s="2" t="n">
        <v>43210.69099537037</v>
      </c>
      <c r="C1829" t="n">
        <v>0</v>
      </c>
      <c r="D1829" t="n">
        <v>36</v>
      </c>
      <c r="E1829" t="s">
        <v>1814</v>
      </c>
      <c r="F1829">
        <f>HYPERLINK("http://pbs.twimg.com/media/Da_PD7vVwAAYA7f.jpg", "http://pbs.twimg.com/media/Da_PD7vVwAAYA7f.jpg")</f>
        <v/>
      </c>
      <c r="G1829" t="s"/>
      <c r="H1829" t="s"/>
      <c r="I1829" t="s"/>
      <c r="J1829" t="n">
        <v>-0.34</v>
      </c>
      <c r="K1829" t="n">
        <v>0.107</v>
      </c>
      <c r="L1829" t="n">
        <v>0.893</v>
      </c>
      <c r="M1829" t="n">
        <v>0</v>
      </c>
    </row>
    <row r="1830" spans="1:13">
      <c r="A1830" s="1">
        <f>HYPERLINK("http://www.twitter.com/NathanBLawrence/status/987369035586310145", "987369035586310145")</f>
        <v/>
      </c>
      <c r="B1830" s="2" t="n">
        <v>43210.6909375</v>
      </c>
      <c r="C1830" t="n">
        <v>0</v>
      </c>
      <c r="D1830" t="n">
        <v>13</v>
      </c>
      <c r="E1830" t="s">
        <v>1815</v>
      </c>
      <c r="F1830">
        <f>HYPERLINK("http://pbs.twimg.com/media/DayD5qmW4AA0qw8.jpg", "http://pbs.twimg.com/media/DayD5qmW4AA0qw8.jpg")</f>
        <v/>
      </c>
      <c r="G1830" t="s"/>
      <c r="H1830" t="s"/>
      <c r="I1830" t="s"/>
      <c r="J1830" t="n">
        <v>-0.296</v>
      </c>
      <c r="K1830" t="n">
        <v>0.128</v>
      </c>
      <c r="L1830" t="n">
        <v>0.872</v>
      </c>
      <c r="M1830" t="n">
        <v>0</v>
      </c>
    </row>
    <row r="1831" spans="1:13">
      <c r="A1831" s="1">
        <f>HYPERLINK("http://www.twitter.com/NathanBLawrence/status/987368985577607168", "987368985577607168")</f>
        <v/>
      </c>
      <c r="B1831" s="2" t="n">
        <v>43210.69079861111</v>
      </c>
      <c r="C1831" t="n">
        <v>0</v>
      </c>
      <c r="D1831" t="n">
        <v>52</v>
      </c>
      <c r="E1831" t="s">
        <v>1816</v>
      </c>
      <c r="F1831">
        <f>HYPERLINK("http://pbs.twimg.com/media/DbOfIeWUMAI2Pjz.jpg", "http://pbs.twimg.com/media/DbOfIeWUMAI2Pjz.jpg")</f>
        <v/>
      </c>
      <c r="G1831" t="s"/>
      <c r="H1831" t="s"/>
      <c r="I1831" t="s"/>
      <c r="J1831" t="n">
        <v>0</v>
      </c>
      <c r="K1831" t="n">
        <v>0</v>
      </c>
      <c r="L1831" t="n">
        <v>1</v>
      </c>
      <c r="M1831" t="n">
        <v>0</v>
      </c>
    </row>
    <row r="1832" spans="1:13">
      <c r="A1832" s="1">
        <f>HYPERLINK("http://www.twitter.com/NathanBLawrence/status/987368966799679493", "987368966799679493")</f>
        <v/>
      </c>
      <c r="B1832" s="2" t="n">
        <v>43210.69074074074</v>
      </c>
      <c r="C1832" t="n">
        <v>0</v>
      </c>
      <c r="D1832" t="n">
        <v>78</v>
      </c>
      <c r="E1832" t="s">
        <v>1817</v>
      </c>
      <c r="F1832" t="s"/>
      <c r="G1832" t="s"/>
      <c r="H1832" t="s"/>
      <c r="I1832" t="s"/>
      <c r="J1832" t="n">
        <v>0</v>
      </c>
      <c r="K1832" t="n">
        <v>0</v>
      </c>
      <c r="L1832" t="n">
        <v>1</v>
      </c>
      <c r="M1832" t="n">
        <v>0</v>
      </c>
    </row>
    <row r="1833" spans="1:13">
      <c r="A1833" s="1">
        <f>HYPERLINK("http://www.twitter.com/NathanBLawrence/status/987368874369781761", "987368874369781761")</f>
        <v/>
      </c>
      <c r="B1833" s="2" t="n">
        <v>43210.69048611111</v>
      </c>
      <c r="C1833" t="n">
        <v>0</v>
      </c>
      <c r="D1833" t="n">
        <v>127</v>
      </c>
      <c r="E1833" t="s">
        <v>1818</v>
      </c>
      <c r="F1833">
        <f>HYPERLINK("http://pbs.twimg.com/media/DbOeL6pUwAArUCZ.jpg", "http://pbs.twimg.com/media/DbOeL6pUwAArUCZ.jpg")</f>
        <v/>
      </c>
      <c r="G1833" t="s"/>
      <c r="H1833" t="s"/>
      <c r="I1833" t="s"/>
      <c r="J1833" t="n">
        <v>0.5610000000000001</v>
      </c>
      <c r="K1833" t="n">
        <v>0</v>
      </c>
      <c r="L1833" t="n">
        <v>0.824</v>
      </c>
      <c r="M1833" t="n">
        <v>0.176</v>
      </c>
    </row>
    <row r="1834" spans="1:13">
      <c r="A1834" s="1">
        <f>HYPERLINK("http://www.twitter.com/NathanBLawrence/status/987368626259931136", "987368626259931136")</f>
        <v/>
      </c>
      <c r="B1834" s="2" t="n">
        <v>43210.68980324074</v>
      </c>
      <c r="C1834" t="n">
        <v>0</v>
      </c>
      <c r="D1834" t="n">
        <v>101</v>
      </c>
      <c r="E1834" t="s">
        <v>1819</v>
      </c>
      <c r="F1834">
        <f>HYPERLINK("http://pbs.twimg.com/media/DbOnpLVUQAAGskA.jpg", "http://pbs.twimg.com/media/DbOnpLVUQAAGskA.jpg")</f>
        <v/>
      </c>
      <c r="G1834" t="s"/>
      <c r="H1834" t="s"/>
      <c r="I1834" t="s"/>
      <c r="J1834" t="n">
        <v>0.8506</v>
      </c>
      <c r="K1834" t="n">
        <v>0</v>
      </c>
      <c r="L1834" t="n">
        <v>0.6850000000000001</v>
      </c>
      <c r="M1834" t="n">
        <v>0.315</v>
      </c>
    </row>
    <row r="1835" spans="1:13">
      <c r="A1835" s="1">
        <f>HYPERLINK("http://www.twitter.com/NathanBLawrence/status/987367543412346880", "987367543412346880")</f>
        <v/>
      </c>
      <c r="B1835" s="2" t="n">
        <v>43210.68681712963</v>
      </c>
      <c r="C1835" t="n">
        <v>0</v>
      </c>
      <c r="D1835" t="n">
        <v>4</v>
      </c>
      <c r="E1835" t="s">
        <v>1820</v>
      </c>
      <c r="F1835">
        <f>HYPERLINK("http://pbs.twimg.com/media/DbNjqdqWkAA5VpV.jpg", "http://pbs.twimg.com/media/DbNjqdqWkAA5VpV.jpg")</f>
        <v/>
      </c>
      <c r="G1835" t="s"/>
      <c r="H1835" t="s"/>
      <c r="I1835" t="s"/>
      <c r="J1835" t="n">
        <v>0</v>
      </c>
      <c r="K1835" t="n">
        <v>0</v>
      </c>
      <c r="L1835" t="n">
        <v>1</v>
      </c>
      <c r="M1835" t="n">
        <v>0</v>
      </c>
    </row>
    <row r="1836" spans="1:13">
      <c r="A1836" s="1">
        <f>HYPERLINK("http://www.twitter.com/NathanBLawrence/status/987366451186106368", "987366451186106368")</f>
        <v/>
      </c>
      <c r="B1836" s="2" t="n">
        <v>43210.68380787037</v>
      </c>
      <c r="C1836" t="n">
        <v>0</v>
      </c>
      <c r="D1836" t="n">
        <v>5</v>
      </c>
      <c r="E1836" t="s">
        <v>1821</v>
      </c>
      <c r="F1836" t="s"/>
      <c r="G1836" t="s"/>
      <c r="H1836" t="s"/>
      <c r="I1836" t="s"/>
      <c r="J1836" t="n">
        <v>-0.8626</v>
      </c>
      <c r="K1836" t="n">
        <v>0.399</v>
      </c>
      <c r="L1836" t="n">
        <v>0.601</v>
      </c>
      <c r="M1836" t="n">
        <v>0</v>
      </c>
    </row>
    <row r="1837" spans="1:13">
      <c r="A1837" s="1">
        <f>HYPERLINK("http://www.twitter.com/NathanBLawrence/status/987267266684313600", "987267266684313600")</f>
        <v/>
      </c>
      <c r="B1837" s="2" t="n">
        <v>43210.41010416667</v>
      </c>
      <c r="C1837" t="n">
        <v>0</v>
      </c>
      <c r="D1837" t="n">
        <v>20</v>
      </c>
      <c r="E1837" t="s">
        <v>1822</v>
      </c>
      <c r="F1837">
        <f>HYPERLINK("http://pbs.twimg.com/media/DbNxJxyX4AA-cUX.jpg", "http://pbs.twimg.com/media/DbNxJxyX4AA-cUX.jpg")</f>
        <v/>
      </c>
      <c r="G1837" t="s"/>
      <c r="H1837" t="s"/>
      <c r="I1837" t="s"/>
      <c r="J1837" t="n">
        <v>0.4215</v>
      </c>
      <c r="K1837" t="n">
        <v>0</v>
      </c>
      <c r="L1837" t="n">
        <v>0.84</v>
      </c>
      <c r="M1837" t="n">
        <v>0.16</v>
      </c>
    </row>
    <row r="1838" spans="1:13">
      <c r="A1838" s="1">
        <f>HYPERLINK("http://www.twitter.com/NathanBLawrence/status/987263005326041088", "987263005326041088")</f>
        <v/>
      </c>
      <c r="B1838" s="2" t="n">
        <v>43210.39834490741</v>
      </c>
      <c r="C1838" t="n">
        <v>0</v>
      </c>
      <c r="D1838" t="n">
        <v>48</v>
      </c>
      <c r="E1838" t="s">
        <v>1823</v>
      </c>
      <c r="F1838" t="s"/>
      <c r="G1838" t="s"/>
      <c r="H1838" t="s"/>
      <c r="I1838" t="s"/>
      <c r="J1838" t="n">
        <v>0.296</v>
      </c>
      <c r="K1838" t="n">
        <v>0.142</v>
      </c>
      <c r="L1838" t="n">
        <v>0.677</v>
      </c>
      <c r="M1838" t="n">
        <v>0.181</v>
      </c>
    </row>
    <row r="1839" spans="1:13">
      <c r="A1839" s="1">
        <f>HYPERLINK("http://www.twitter.com/NathanBLawrence/status/987262385302974469", "987262385302974469")</f>
        <v/>
      </c>
      <c r="B1839" s="2" t="n">
        <v>43210.39663194444</v>
      </c>
      <c r="C1839" t="n">
        <v>0</v>
      </c>
      <c r="D1839" t="n">
        <v>17</v>
      </c>
      <c r="E1839" t="s">
        <v>1824</v>
      </c>
      <c r="F1839">
        <f>HYPERLINK("http://pbs.twimg.com/media/DbGl2seUMAA1yZl.jpg", "http://pbs.twimg.com/media/DbGl2seUMAA1yZl.jpg")</f>
        <v/>
      </c>
      <c r="G1839" t="s"/>
      <c r="H1839" t="s"/>
      <c r="I1839" t="s"/>
      <c r="J1839" t="n">
        <v>0</v>
      </c>
      <c r="K1839" t="n">
        <v>0</v>
      </c>
      <c r="L1839" t="n">
        <v>1</v>
      </c>
      <c r="M1839" t="n">
        <v>0</v>
      </c>
    </row>
    <row r="1840" spans="1:13">
      <c r="A1840" s="1">
        <f>HYPERLINK("http://www.twitter.com/NathanBLawrence/status/987252463416856577", "987252463416856577")</f>
        <v/>
      </c>
      <c r="B1840" s="2" t="n">
        <v>43210.36925925926</v>
      </c>
      <c r="C1840" t="n">
        <v>0</v>
      </c>
      <c r="D1840" t="n">
        <v>0</v>
      </c>
      <c r="E1840" t="s">
        <v>1825</v>
      </c>
      <c r="F1840" t="s"/>
      <c r="G1840" t="s"/>
      <c r="H1840" t="s"/>
      <c r="I1840" t="s"/>
      <c r="J1840" t="n">
        <v>0</v>
      </c>
      <c r="K1840" t="n">
        <v>0</v>
      </c>
      <c r="L1840" t="n">
        <v>1</v>
      </c>
      <c r="M1840" t="n">
        <v>0</v>
      </c>
    </row>
    <row r="1841" spans="1:13">
      <c r="A1841" s="1">
        <f>HYPERLINK("http://www.twitter.com/NathanBLawrence/status/987238710046441472", "987238710046441472")</f>
        <v/>
      </c>
      <c r="B1841" s="2" t="n">
        <v>43210.33130787037</v>
      </c>
      <c r="C1841" t="n">
        <v>0</v>
      </c>
      <c r="D1841" t="n">
        <v>3</v>
      </c>
      <c r="E1841" t="s">
        <v>1826</v>
      </c>
      <c r="F1841" t="s"/>
      <c r="G1841" t="s"/>
      <c r="H1841" t="s"/>
      <c r="I1841" t="s"/>
      <c r="J1841" t="n">
        <v>0.6997</v>
      </c>
      <c r="K1841" t="n">
        <v>0</v>
      </c>
      <c r="L1841" t="n">
        <v>0.775</v>
      </c>
      <c r="M1841" t="n">
        <v>0.225</v>
      </c>
    </row>
    <row r="1842" spans="1:13">
      <c r="A1842" s="1">
        <f>HYPERLINK("http://www.twitter.com/NathanBLawrence/status/987238179177672705", "987238179177672705")</f>
        <v/>
      </c>
      <c r="B1842" s="2" t="n">
        <v>43210.32983796296</v>
      </c>
      <c r="C1842" t="n">
        <v>0</v>
      </c>
      <c r="D1842" t="n">
        <v>0</v>
      </c>
      <c r="E1842" t="s">
        <v>1827</v>
      </c>
      <c r="F1842" t="s"/>
      <c r="G1842" t="s"/>
      <c r="H1842" t="s"/>
      <c r="I1842" t="s"/>
      <c r="J1842" t="n">
        <v>0.6619</v>
      </c>
      <c r="K1842" t="n">
        <v>0</v>
      </c>
      <c r="L1842" t="n">
        <v>0.869</v>
      </c>
      <c r="M1842" t="n">
        <v>0.131</v>
      </c>
    </row>
    <row r="1843" spans="1:13">
      <c r="A1843" s="1">
        <f>HYPERLINK("http://www.twitter.com/NathanBLawrence/status/987237919051182080", "987237919051182080")</f>
        <v/>
      </c>
      <c r="B1843" s="2" t="n">
        <v>43210.32912037037</v>
      </c>
      <c r="C1843" t="n">
        <v>0</v>
      </c>
      <c r="D1843" t="n">
        <v>6</v>
      </c>
      <c r="E1843" t="s">
        <v>1828</v>
      </c>
      <c r="F1843" t="s"/>
      <c r="G1843" t="s"/>
      <c r="H1843" t="s"/>
      <c r="I1843" t="s"/>
      <c r="J1843" t="n">
        <v>-0.7178</v>
      </c>
      <c r="K1843" t="n">
        <v>0.231</v>
      </c>
      <c r="L1843" t="n">
        <v>0.769</v>
      </c>
      <c r="M1843" t="n">
        <v>0</v>
      </c>
    </row>
    <row r="1844" spans="1:13">
      <c r="A1844" s="1">
        <f>HYPERLINK("http://www.twitter.com/NathanBLawrence/status/987237890886422528", "987237890886422528")</f>
        <v/>
      </c>
      <c r="B1844" s="2" t="n">
        <v>43210.32903935185</v>
      </c>
      <c r="C1844" t="n">
        <v>0</v>
      </c>
      <c r="D1844" t="n">
        <v>4</v>
      </c>
      <c r="E1844" t="s">
        <v>1829</v>
      </c>
      <c r="F1844" t="s"/>
      <c r="G1844" t="s"/>
      <c r="H1844" t="s"/>
      <c r="I1844" t="s"/>
      <c r="J1844" t="n">
        <v>-0.5622</v>
      </c>
      <c r="K1844" t="n">
        <v>0.161</v>
      </c>
      <c r="L1844" t="n">
        <v>0.839</v>
      </c>
      <c r="M1844" t="n">
        <v>0</v>
      </c>
    </row>
    <row r="1845" spans="1:13">
      <c r="A1845" s="1">
        <f>HYPERLINK("http://www.twitter.com/NathanBLawrence/status/987237579476135938", "987237579476135938")</f>
        <v/>
      </c>
      <c r="B1845" s="2" t="n">
        <v>43210.32818287037</v>
      </c>
      <c r="C1845" t="n">
        <v>0</v>
      </c>
      <c r="D1845" t="n">
        <v>3</v>
      </c>
      <c r="E1845" t="s">
        <v>1830</v>
      </c>
      <c r="F1845">
        <f>HYPERLINK("http://pbs.twimg.com/media/DbNO8RJW4AEXCcj.jpg", "http://pbs.twimg.com/media/DbNO8RJW4AEXCcj.jpg")</f>
        <v/>
      </c>
      <c r="G1845" t="s"/>
      <c r="H1845" t="s"/>
      <c r="I1845" t="s"/>
      <c r="J1845" t="n">
        <v>0</v>
      </c>
      <c r="K1845" t="n">
        <v>0</v>
      </c>
      <c r="L1845" t="n">
        <v>1</v>
      </c>
      <c r="M1845" t="n">
        <v>0</v>
      </c>
    </row>
    <row r="1846" spans="1:13">
      <c r="A1846" s="1">
        <f>HYPERLINK("http://www.twitter.com/NathanBLawrence/status/987236772483563520", "987236772483563520")</f>
        <v/>
      </c>
      <c r="B1846" s="2" t="n">
        <v>43210.32596064815</v>
      </c>
      <c r="C1846" t="n">
        <v>0</v>
      </c>
      <c r="D1846" t="n">
        <v>10</v>
      </c>
      <c r="E1846" t="s">
        <v>1831</v>
      </c>
      <c r="F1846" t="s"/>
      <c r="G1846" t="s"/>
      <c r="H1846" t="s"/>
      <c r="I1846" t="s"/>
      <c r="J1846" t="n">
        <v>-0.0258</v>
      </c>
      <c r="K1846" t="n">
        <v>0.08400000000000001</v>
      </c>
      <c r="L1846" t="n">
        <v>0.837</v>
      </c>
      <c r="M1846" t="n">
        <v>0.08</v>
      </c>
    </row>
    <row r="1847" spans="1:13">
      <c r="A1847" s="1">
        <f>HYPERLINK("http://www.twitter.com/NathanBLawrence/status/987236702258425858", "987236702258425858")</f>
        <v/>
      </c>
      <c r="B1847" s="2" t="n">
        <v>43210.32576388889</v>
      </c>
      <c r="C1847" t="n">
        <v>0</v>
      </c>
      <c r="D1847" t="n">
        <v>2</v>
      </c>
      <c r="E1847" t="s">
        <v>1832</v>
      </c>
      <c r="F1847" t="s"/>
      <c r="G1847" t="s"/>
      <c r="H1847" t="s"/>
      <c r="I1847" t="s"/>
      <c r="J1847" t="n">
        <v>0</v>
      </c>
      <c r="K1847" t="n">
        <v>0</v>
      </c>
      <c r="L1847" t="n">
        <v>1</v>
      </c>
      <c r="M1847" t="n">
        <v>0</v>
      </c>
    </row>
    <row r="1848" spans="1:13">
      <c r="A1848" s="1">
        <f>HYPERLINK("http://www.twitter.com/NathanBLawrence/status/987235507896766464", "987235507896766464")</f>
        <v/>
      </c>
      <c r="B1848" s="2" t="n">
        <v>43210.32246527778</v>
      </c>
      <c r="C1848" t="n">
        <v>2</v>
      </c>
      <c r="D1848" t="n">
        <v>0</v>
      </c>
      <c r="E1848" t="s">
        <v>1833</v>
      </c>
      <c r="F1848" t="s"/>
      <c r="G1848" t="s"/>
      <c r="H1848" t="s"/>
      <c r="I1848" t="s"/>
      <c r="J1848" t="n">
        <v>0.0772</v>
      </c>
      <c r="K1848" t="n">
        <v>0</v>
      </c>
      <c r="L1848" t="n">
        <v>0.86</v>
      </c>
      <c r="M1848" t="n">
        <v>0.14</v>
      </c>
    </row>
    <row r="1849" spans="1:13">
      <c r="A1849" s="1">
        <f>HYPERLINK("http://www.twitter.com/NathanBLawrence/status/987235267932229632", "987235267932229632")</f>
        <v/>
      </c>
      <c r="B1849" s="2" t="n">
        <v>43210.32180555556</v>
      </c>
      <c r="C1849" t="n">
        <v>1</v>
      </c>
      <c r="D1849" t="n">
        <v>0</v>
      </c>
      <c r="E1849" t="s">
        <v>1834</v>
      </c>
      <c r="F1849" t="s"/>
      <c r="G1849" t="s"/>
      <c r="H1849" t="s"/>
      <c r="I1849" t="s"/>
      <c r="J1849" t="n">
        <v>-0.483</v>
      </c>
      <c r="K1849" t="n">
        <v>0.258</v>
      </c>
      <c r="L1849" t="n">
        <v>0.742</v>
      </c>
      <c r="M1849" t="n">
        <v>0</v>
      </c>
    </row>
    <row r="1850" spans="1:13">
      <c r="A1850" s="1">
        <f>HYPERLINK("http://www.twitter.com/NathanBLawrence/status/987235114500444160", "987235114500444160")</f>
        <v/>
      </c>
      <c r="B1850" s="2" t="n">
        <v>43210.32137731482</v>
      </c>
      <c r="C1850" t="n">
        <v>0</v>
      </c>
      <c r="D1850" t="n">
        <v>6</v>
      </c>
      <c r="E1850" t="s">
        <v>1835</v>
      </c>
      <c r="F1850" t="s"/>
      <c r="G1850" t="s"/>
      <c r="H1850" t="s"/>
      <c r="I1850" t="s"/>
      <c r="J1850" t="n">
        <v>0.6166</v>
      </c>
      <c r="K1850" t="n">
        <v>0</v>
      </c>
      <c r="L1850" t="n">
        <v>0.825</v>
      </c>
      <c r="M1850" t="n">
        <v>0.175</v>
      </c>
    </row>
    <row r="1851" spans="1:13">
      <c r="A1851" s="1">
        <f>HYPERLINK("http://www.twitter.com/NathanBLawrence/status/987234397739995136", "987234397739995136")</f>
        <v/>
      </c>
      <c r="B1851" s="2" t="n">
        <v>43210.31940972222</v>
      </c>
      <c r="C1851" t="n">
        <v>0</v>
      </c>
      <c r="D1851" t="n">
        <v>20</v>
      </c>
      <c r="E1851" t="s">
        <v>1836</v>
      </c>
      <c r="F1851" t="s"/>
      <c r="G1851" t="s"/>
      <c r="H1851" t="s"/>
      <c r="I1851" t="s"/>
      <c r="J1851" t="n">
        <v>0.25</v>
      </c>
      <c r="K1851" t="n">
        <v>0.083</v>
      </c>
      <c r="L1851" t="n">
        <v>0.795</v>
      </c>
      <c r="M1851" t="n">
        <v>0.121</v>
      </c>
    </row>
    <row r="1852" spans="1:13">
      <c r="A1852" s="1">
        <f>HYPERLINK("http://www.twitter.com/NathanBLawrence/status/987233886047555585", "987233886047555585")</f>
        <v/>
      </c>
      <c r="B1852" s="2" t="n">
        <v>43210.31799768518</v>
      </c>
      <c r="C1852" t="n">
        <v>0</v>
      </c>
      <c r="D1852" t="n">
        <v>11</v>
      </c>
      <c r="E1852" t="s">
        <v>1837</v>
      </c>
      <c r="F1852">
        <f>HYPERLINK("http://pbs.twimg.com/media/DbJr3SIUwAIncqt.jpg", "http://pbs.twimg.com/media/DbJr3SIUwAIncqt.jpg")</f>
        <v/>
      </c>
      <c r="G1852" t="s"/>
      <c r="H1852" t="s"/>
      <c r="I1852" t="s"/>
      <c r="J1852" t="n">
        <v>-0.4753</v>
      </c>
      <c r="K1852" t="n">
        <v>0.134</v>
      </c>
      <c r="L1852" t="n">
        <v>0.866</v>
      </c>
      <c r="M1852" t="n">
        <v>0</v>
      </c>
    </row>
    <row r="1853" spans="1:13">
      <c r="A1853" s="1">
        <f>HYPERLINK("http://www.twitter.com/NathanBLawrence/status/987233731604877312", "987233731604877312")</f>
        <v/>
      </c>
      <c r="B1853" s="2" t="n">
        <v>43210.31756944444</v>
      </c>
      <c r="C1853" t="n">
        <v>1</v>
      </c>
      <c r="D1853" t="n">
        <v>0</v>
      </c>
      <c r="E1853" t="s">
        <v>1838</v>
      </c>
      <c r="F1853" t="s"/>
      <c r="G1853" t="s"/>
      <c r="H1853" t="s"/>
      <c r="I1853" t="s"/>
      <c r="J1853" t="n">
        <v>0.6696</v>
      </c>
      <c r="K1853" t="n">
        <v>0</v>
      </c>
      <c r="L1853" t="n">
        <v>0.64</v>
      </c>
      <c r="M1853" t="n">
        <v>0.36</v>
      </c>
    </row>
    <row r="1854" spans="1:13">
      <c r="A1854" s="1">
        <f>HYPERLINK("http://www.twitter.com/NathanBLawrence/status/987232851551768576", "987232851551768576")</f>
        <v/>
      </c>
      <c r="B1854" s="2" t="n">
        <v>43210.31513888889</v>
      </c>
      <c r="C1854" t="n">
        <v>0</v>
      </c>
      <c r="D1854" t="n">
        <v>0</v>
      </c>
      <c r="E1854" t="s">
        <v>1839</v>
      </c>
      <c r="F1854" t="s"/>
      <c r="G1854" t="s"/>
      <c r="H1854" t="s"/>
      <c r="I1854" t="s"/>
      <c r="J1854" t="n">
        <v>0.4323</v>
      </c>
      <c r="K1854" t="n">
        <v>0.136</v>
      </c>
      <c r="L1854" t="n">
        <v>0.656</v>
      </c>
      <c r="M1854" t="n">
        <v>0.208</v>
      </c>
    </row>
    <row r="1855" spans="1:13">
      <c r="A1855" s="1">
        <f>HYPERLINK("http://www.twitter.com/NathanBLawrence/status/987231688827834369", "987231688827834369")</f>
        <v/>
      </c>
      <c r="B1855" s="2" t="n">
        <v>43210.31193287037</v>
      </c>
      <c r="C1855" t="n">
        <v>0</v>
      </c>
      <c r="D1855" t="n">
        <v>3</v>
      </c>
      <c r="E1855" t="s">
        <v>1840</v>
      </c>
      <c r="F1855">
        <f>HYPERLINK("http://pbs.twimg.com/media/DbLPtwjXUAAauYB.jpg", "http://pbs.twimg.com/media/DbLPtwjXUAAauYB.jpg")</f>
        <v/>
      </c>
      <c r="G1855" t="s"/>
      <c r="H1855" t="s"/>
      <c r="I1855" t="s"/>
      <c r="J1855" t="n">
        <v>0.4926</v>
      </c>
      <c r="K1855" t="n">
        <v>0</v>
      </c>
      <c r="L1855" t="n">
        <v>0.738</v>
      </c>
      <c r="M1855" t="n">
        <v>0.262</v>
      </c>
    </row>
    <row r="1856" spans="1:13">
      <c r="A1856" s="1">
        <f>HYPERLINK("http://www.twitter.com/NathanBLawrence/status/987231125683802112", "987231125683802112")</f>
        <v/>
      </c>
      <c r="B1856" s="2" t="n">
        <v>43210.31037037037</v>
      </c>
      <c r="C1856" t="n">
        <v>0</v>
      </c>
      <c r="D1856" t="n">
        <v>1</v>
      </c>
      <c r="E1856" t="s">
        <v>1841</v>
      </c>
      <c r="F1856">
        <f>HYPERLINK("http://pbs.twimg.com/media/DbGEOw2WAAA0R9d.jpg", "http://pbs.twimg.com/media/DbGEOw2WAAA0R9d.jpg")</f>
        <v/>
      </c>
      <c r="G1856" t="s"/>
      <c r="H1856" t="s"/>
      <c r="I1856" t="s"/>
      <c r="J1856" t="n">
        <v>0</v>
      </c>
      <c r="K1856" t="n">
        <v>0</v>
      </c>
      <c r="L1856" t="n">
        <v>1</v>
      </c>
      <c r="M1856" t="n">
        <v>0</v>
      </c>
    </row>
    <row r="1857" spans="1:13">
      <c r="A1857" s="1">
        <f>HYPERLINK("http://www.twitter.com/NathanBLawrence/status/987230882774814721", "987230882774814721")</f>
        <v/>
      </c>
      <c r="B1857" s="2" t="n">
        <v>43210.30969907407</v>
      </c>
      <c r="C1857" t="n">
        <v>0</v>
      </c>
      <c r="D1857" t="n">
        <v>1</v>
      </c>
      <c r="E1857" t="s">
        <v>1842</v>
      </c>
      <c r="F1857" t="s"/>
      <c r="G1857" t="s"/>
      <c r="H1857" t="s"/>
      <c r="I1857" t="s"/>
      <c r="J1857" t="n">
        <v>-0.5904</v>
      </c>
      <c r="K1857" t="n">
        <v>0.39</v>
      </c>
      <c r="L1857" t="n">
        <v>0.61</v>
      </c>
      <c r="M1857" t="n">
        <v>0</v>
      </c>
    </row>
    <row r="1858" spans="1:13">
      <c r="A1858" s="1">
        <f>HYPERLINK("http://www.twitter.com/NathanBLawrence/status/987230377029795840", "987230377029795840")</f>
        <v/>
      </c>
      <c r="B1858" s="2" t="n">
        <v>43210.30831018519</v>
      </c>
      <c r="C1858" t="n">
        <v>0</v>
      </c>
      <c r="D1858" t="n">
        <v>25</v>
      </c>
      <c r="E1858" t="s">
        <v>1843</v>
      </c>
      <c r="F1858">
        <f>HYPERLINK("http://pbs.twimg.com/media/DbMpHkvVAAAwuuZ.jpg", "http://pbs.twimg.com/media/DbMpHkvVAAAwuuZ.jpg")</f>
        <v/>
      </c>
      <c r="G1858" t="s"/>
      <c r="H1858" t="s"/>
      <c r="I1858" t="s"/>
      <c r="J1858" t="n">
        <v>0</v>
      </c>
      <c r="K1858" t="n">
        <v>0</v>
      </c>
      <c r="L1858" t="n">
        <v>1</v>
      </c>
      <c r="M1858" t="n">
        <v>0</v>
      </c>
    </row>
    <row r="1859" spans="1:13">
      <c r="A1859" s="1">
        <f>HYPERLINK("http://www.twitter.com/NathanBLawrence/status/987229969066668032", "987229969066668032")</f>
        <v/>
      </c>
      <c r="B1859" s="2" t="n">
        <v>43210.3071875</v>
      </c>
      <c r="C1859" t="n">
        <v>0</v>
      </c>
      <c r="D1859" t="n">
        <v>5</v>
      </c>
      <c r="E1859" t="s">
        <v>1844</v>
      </c>
      <c r="F1859" t="s"/>
      <c r="G1859" t="s"/>
      <c r="H1859" t="s"/>
      <c r="I1859" t="s"/>
      <c r="J1859" t="n">
        <v>0</v>
      </c>
      <c r="K1859" t="n">
        <v>0</v>
      </c>
      <c r="L1859" t="n">
        <v>1</v>
      </c>
      <c r="M1859" t="n">
        <v>0</v>
      </c>
    </row>
    <row r="1860" spans="1:13">
      <c r="A1860" s="1">
        <f>HYPERLINK("http://www.twitter.com/NathanBLawrence/status/987229942801977344", "987229942801977344")</f>
        <v/>
      </c>
      <c r="B1860" s="2" t="n">
        <v>43210.30710648148</v>
      </c>
      <c r="C1860" t="n">
        <v>0</v>
      </c>
      <c r="D1860" t="n">
        <v>4</v>
      </c>
      <c r="E1860" t="s">
        <v>1845</v>
      </c>
      <c r="F1860">
        <f>HYPERLINK("http://pbs.twimg.com/media/Da87ptoX0AAbm1y.jpg", "http://pbs.twimg.com/media/Da87ptoX0AAbm1y.jpg")</f>
        <v/>
      </c>
      <c r="G1860" t="s"/>
      <c r="H1860" t="s"/>
      <c r="I1860" t="s"/>
      <c r="J1860" t="n">
        <v>0</v>
      </c>
      <c r="K1860" t="n">
        <v>0</v>
      </c>
      <c r="L1860" t="n">
        <v>1</v>
      </c>
      <c r="M1860" t="n">
        <v>0</v>
      </c>
    </row>
    <row r="1861" spans="1:13">
      <c r="A1861" s="1">
        <f>HYPERLINK("http://www.twitter.com/NathanBLawrence/status/987229914830131201", "987229914830131201")</f>
        <v/>
      </c>
      <c r="B1861" s="2" t="n">
        <v>43210.30703703704</v>
      </c>
      <c r="C1861" t="n">
        <v>0</v>
      </c>
      <c r="D1861" t="n">
        <v>277</v>
      </c>
      <c r="E1861" t="s">
        <v>1846</v>
      </c>
      <c r="F1861" t="s"/>
      <c r="G1861" t="s"/>
      <c r="H1861" t="s"/>
      <c r="I1861" t="s"/>
      <c r="J1861" t="n">
        <v>-0.765</v>
      </c>
      <c r="K1861" t="n">
        <v>0.369</v>
      </c>
      <c r="L1861" t="n">
        <v>0.438</v>
      </c>
      <c r="M1861" t="n">
        <v>0.194</v>
      </c>
    </row>
    <row r="1862" spans="1:13">
      <c r="A1862" s="1">
        <f>HYPERLINK("http://www.twitter.com/NathanBLawrence/status/987229866859880448", "987229866859880448")</f>
        <v/>
      </c>
      <c r="B1862" s="2" t="n">
        <v>43210.30689814815</v>
      </c>
      <c r="C1862" t="n">
        <v>0</v>
      </c>
      <c r="D1862" t="n">
        <v>5</v>
      </c>
      <c r="E1862" t="s">
        <v>1847</v>
      </c>
      <c r="F1862" t="s"/>
      <c r="G1862" t="s"/>
      <c r="H1862" t="s"/>
      <c r="I1862" t="s"/>
      <c r="J1862" t="n">
        <v>-0.4939</v>
      </c>
      <c r="K1862" t="n">
        <v>0.167</v>
      </c>
      <c r="L1862" t="n">
        <v>0.833</v>
      </c>
      <c r="M1862" t="n">
        <v>0</v>
      </c>
    </row>
    <row r="1863" spans="1:13">
      <c r="A1863" s="1">
        <f>HYPERLINK("http://www.twitter.com/NathanBLawrence/status/987229786647953409", "987229786647953409")</f>
        <v/>
      </c>
      <c r="B1863" s="2" t="n">
        <v>43210.30667824074</v>
      </c>
      <c r="C1863" t="n">
        <v>0</v>
      </c>
      <c r="D1863" t="n">
        <v>8</v>
      </c>
      <c r="E1863" t="s">
        <v>1351</v>
      </c>
      <c r="F1863">
        <f>HYPERLINK("http://pbs.twimg.com/media/DbGU1IBVwAA-xoz.jpg", "http://pbs.twimg.com/media/DbGU1IBVwAA-xoz.jpg")</f>
        <v/>
      </c>
      <c r="G1863" t="s"/>
      <c r="H1863" t="s"/>
      <c r="I1863" t="s"/>
      <c r="J1863" t="n">
        <v>0.8201000000000001</v>
      </c>
      <c r="K1863" t="n">
        <v>0</v>
      </c>
      <c r="L1863" t="n">
        <v>0.643</v>
      </c>
      <c r="M1863" t="n">
        <v>0.357</v>
      </c>
    </row>
    <row r="1864" spans="1:13">
      <c r="A1864" s="1">
        <f>HYPERLINK("http://www.twitter.com/NathanBLawrence/status/987229751814316032", "987229751814316032")</f>
        <v/>
      </c>
      <c r="B1864" s="2" t="n">
        <v>43210.30658564815</v>
      </c>
      <c r="C1864" t="n">
        <v>0</v>
      </c>
      <c r="D1864" t="n">
        <v>7</v>
      </c>
      <c r="E1864" t="s">
        <v>1848</v>
      </c>
      <c r="F1864" t="s"/>
      <c r="G1864" t="s"/>
      <c r="H1864" t="s"/>
      <c r="I1864" t="s"/>
      <c r="J1864" t="n">
        <v>0.3612</v>
      </c>
      <c r="K1864" t="n">
        <v>0</v>
      </c>
      <c r="L1864" t="n">
        <v>0.902</v>
      </c>
      <c r="M1864" t="n">
        <v>0.098</v>
      </c>
    </row>
    <row r="1865" spans="1:13">
      <c r="A1865" s="1">
        <f>HYPERLINK("http://www.twitter.com/NathanBLawrence/status/987229719069327362", "987229719069327362")</f>
        <v/>
      </c>
      <c r="B1865" s="2" t="n">
        <v>43210.30649305556</v>
      </c>
      <c r="C1865" t="n">
        <v>0</v>
      </c>
      <c r="D1865" t="n">
        <v>5</v>
      </c>
      <c r="E1865" t="s">
        <v>1849</v>
      </c>
      <c r="F1865" t="s"/>
      <c r="G1865" t="s"/>
      <c r="H1865" t="s"/>
      <c r="I1865" t="s"/>
      <c r="J1865" t="n">
        <v>0</v>
      </c>
      <c r="K1865" t="n">
        <v>0</v>
      </c>
      <c r="L1865" t="n">
        <v>1</v>
      </c>
      <c r="M1865" t="n">
        <v>0</v>
      </c>
    </row>
    <row r="1866" spans="1:13">
      <c r="A1866" s="1">
        <f>HYPERLINK("http://www.twitter.com/NathanBLawrence/status/987228815255654400", "987228815255654400")</f>
        <v/>
      </c>
      <c r="B1866" s="2" t="n">
        <v>43210.30400462963</v>
      </c>
      <c r="C1866" t="n">
        <v>0</v>
      </c>
      <c r="D1866" t="n">
        <v>31</v>
      </c>
      <c r="E1866" t="s">
        <v>1850</v>
      </c>
      <c r="F1866">
        <f>HYPERLINK("http://pbs.twimg.com/media/DbGQRAlU8AE8sOs.jpg", "http://pbs.twimg.com/media/DbGQRAlU8AE8sOs.jpg")</f>
        <v/>
      </c>
      <c r="G1866" t="s"/>
      <c r="H1866" t="s"/>
      <c r="I1866" t="s"/>
      <c r="J1866" t="n">
        <v>0.8306</v>
      </c>
      <c r="K1866" t="n">
        <v>0</v>
      </c>
      <c r="L1866" t="n">
        <v>0.615</v>
      </c>
      <c r="M1866" t="n">
        <v>0.385</v>
      </c>
    </row>
    <row r="1867" spans="1:13">
      <c r="A1867" s="1">
        <f>HYPERLINK("http://www.twitter.com/NathanBLawrence/status/987228740928327680", "987228740928327680")</f>
        <v/>
      </c>
      <c r="B1867" s="2" t="n">
        <v>43210.3037962963</v>
      </c>
      <c r="C1867" t="n">
        <v>0</v>
      </c>
      <c r="D1867" t="n">
        <v>1</v>
      </c>
      <c r="E1867" t="s">
        <v>1851</v>
      </c>
      <c r="F1867">
        <f>HYPERLINK("http://pbs.twimg.com/media/DbKW9AjUwAAXR2_.jpg", "http://pbs.twimg.com/media/DbKW9AjUwAAXR2_.jpg")</f>
        <v/>
      </c>
      <c r="G1867" t="s"/>
      <c r="H1867" t="s"/>
      <c r="I1867" t="s"/>
      <c r="J1867" t="n">
        <v>0.4404</v>
      </c>
      <c r="K1867" t="n">
        <v>0</v>
      </c>
      <c r="L1867" t="n">
        <v>0.734</v>
      </c>
      <c r="M1867" t="n">
        <v>0.266</v>
      </c>
    </row>
    <row r="1868" spans="1:13">
      <c r="A1868" s="1">
        <f>HYPERLINK("http://www.twitter.com/NathanBLawrence/status/987228679590825984", "987228679590825984")</f>
        <v/>
      </c>
      <c r="B1868" s="2" t="n">
        <v>43210.30362268518</v>
      </c>
      <c r="C1868" t="n">
        <v>0</v>
      </c>
      <c r="D1868" t="n">
        <v>8</v>
      </c>
      <c r="E1868" t="s">
        <v>1852</v>
      </c>
      <c r="F1868" t="s"/>
      <c r="G1868" t="s"/>
      <c r="H1868" t="s"/>
      <c r="I1868" t="s"/>
      <c r="J1868" t="n">
        <v>-0.8519</v>
      </c>
      <c r="K1868" t="n">
        <v>0.288</v>
      </c>
      <c r="L1868" t="n">
        <v>0.712</v>
      </c>
      <c r="M1868" t="n">
        <v>0</v>
      </c>
    </row>
    <row r="1869" spans="1:13">
      <c r="A1869" s="1">
        <f>HYPERLINK("http://www.twitter.com/NathanBLawrence/status/987227977594408960", "987227977594408960")</f>
        <v/>
      </c>
      <c r="B1869" s="2" t="n">
        <v>43210.30168981481</v>
      </c>
      <c r="C1869" t="n">
        <v>0</v>
      </c>
      <c r="D1869" t="n">
        <v>6</v>
      </c>
      <c r="E1869" t="s">
        <v>1853</v>
      </c>
      <c r="F1869">
        <f>HYPERLINK("http://pbs.twimg.com/media/DbL665ZXcAEWmTZ.jpg", "http://pbs.twimg.com/media/DbL665ZXcAEWmTZ.jpg")</f>
        <v/>
      </c>
      <c r="G1869" t="s"/>
      <c r="H1869" t="s"/>
      <c r="I1869" t="s"/>
      <c r="J1869" t="n">
        <v>0.6166</v>
      </c>
      <c r="K1869" t="n">
        <v>0</v>
      </c>
      <c r="L1869" t="n">
        <v>0.788</v>
      </c>
      <c r="M1869" t="n">
        <v>0.212</v>
      </c>
    </row>
    <row r="1870" spans="1:13">
      <c r="A1870" s="1">
        <f>HYPERLINK("http://www.twitter.com/NathanBLawrence/status/987227827790647296", "987227827790647296")</f>
        <v/>
      </c>
      <c r="B1870" s="2" t="n">
        <v>43210.30127314815</v>
      </c>
      <c r="C1870" t="n">
        <v>0</v>
      </c>
      <c r="D1870" t="n">
        <v>17</v>
      </c>
      <c r="E1870" t="s">
        <v>1812</v>
      </c>
      <c r="F1870">
        <f>HYPERLINK("http://pbs.twimg.com/media/DbLAcxfWkAAohV2.jpg", "http://pbs.twimg.com/media/DbLAcxfWkAAohV2.jpg")</f>
        <v/>
      </c>
      <c r="G1870" t="s"/>
      <c r="H1870" t="s"/>
      <c r="I1870" t="s"/>
      <c r="J1870" t="n">
        <v>-0.8411999999999999</v>
      </c>
      <c r="K1870" t="n">
        <v>0.347</v>
      </c>
      <c r="L1870" t="n">
        <v>0.653</v>
      </c>
      <c r="M1870" t="n">
        <v>0</v>
      </c>
    </row>
    <row r="1871" spans="1:13">
      <c r="A1871" s="1">
        <f>HYPERLINK("http://www.twitter.com/NathanBLawrence/status/987227807569924097", "987227807569924097")</f>
        <v/>
      </c>
      <c r="B1871" s="2" t="n">
        <v>43210.30121527778</v>
      </c>
      <c r="C1871" t="n">
        <v>0</v>
      </c>
      <c r="D1871" t="n">
        <v>5</v>
      </c>
      <c r="E1871" t="s">
        <v>1854</v>
      </c>
      <c r="F1871" t="s"/>
      <c r="G1871" t="s"/>
      <c r="H1871" t="s"/>
      <c r="I1871" t="s"/>
      <c r="J1871" t="n">
        <v>0.128</v>
      </c>
      <c r="K1871" t="n">
        <v>0</v>
      </c>
      <c r="L1871" t="n">
        <v>0.923</v>
      </c>
      <c r="M1871" t="n">
        <v>0.077</v>
      </c>
    </row>
    <row r="1872" spans="1:13">
      <c r="A1872" s="1">
        <f>HYPERLINK("http://www.twitter.com/NathanBLawrence/status/987227707460202496", "987227707460202496")</f>
        <v/>
      </c>
      <c r="B1872" s="2" t="n">
        <v>43210.3009375</v>
      </c>
      <c r="C1872" t="n">
        <v>0</v>
      </c>
      <c r="D1872" t="n">
        <v>17</v>
      </c>
      <c r="E1872" t="s">
        <v>1855</v>
      </c>
      <c r="F1872" t="s"/>
      <c r="G1872" t="s"/>
      <c r="H1872" t="s"/>
      <c r="I1872" t="s"/>
      <c r="J1872" t="n">
        <v>-0.784</v>
      </c>
      <c r="K1872" t="n">
        <v>0.273</v>
      </c>
      <c r="L1872" t="n">
        <v>0.727</v>
      </c>
      <c r="M1872" t="n">
        <v>0</v>
      </c>
    </row>
    <row r="1873" spans="1:13">
      <c r="A1873" s="1">
        <f>HYPERLINK("http://www.twitter.com/NathanBLawrence/status/987227661897486336", "987227661897486336")</f>
        <v/>
      </c>
      <c r="B1873" s="2" t="n">
        <v>43210.30082175926</v>
      </c>
      <c r="C1873" t="n">
        <v>0</v>
      </c>
      <c r="D1873" t="n">
        <v>5</v>
      </c>
      <c r="E1873" t="s">
        <v>1856</v>
      </c>
      <c r="F1873" t="s"/>
      <c r="G1873" t="s"/>
      <c r="H1873" t="s"/>
      <c r="I1873" t="s"/>
      <c r="J1873" t="n">
        <v>0.34</v>
      </c>
      <c r="K1873" t="n">
        <v>0.105</v>
      </c>
      <c r="L1873" t="n">
        <v>0.676</v>
      </c>
      <c r="M1873" t="n">
        <v>0.22</v>
      </c>
    </row>
    <row r="1874" spans="1:13">
      <c r="A1874" s="1">
        <f>HYPERLINK("http://www.twitter.com/NathanBLawrence/status/987227634781351936", "987227634781351936")</f>
        <v/>
      </c>
      <c r="B1874" s="2" t="n">
        <v>43210.30074074074</v>
      </c>
      <c r="C1874" t="n">
        <v>0</v>
      </c>
      <c r="D1874" t="n">
        <v>7</v>
      </c>
      <c r="E1874" t="s">
        <v>1857</v>
      </c>
      <c r="F1874" t="s"/>
      <c r="G1874" t="s"/>
      <c r="H1874" t="s"/>
      <c r="I1874" t="s"/>
      <c r="J1874" t="n">
        <v>-0.3802</v>
      </c>
      <c r="K1874" t="n">
        <v>0.178</v>
      </c>
      <c r="L1874" t="n">
        <v>0.822</v>
      </c>
      <c r="M1874" t="n">
        <v>0</v>
      </c>
    </row>
    <row r="1875" spans="1:13">
      <c r="A1875" s="1">
        <f>HYPERLINK("http://www.twitter.com/NathanBLawrence/status/987227560076595201", "987227560076595201")</f>
        <v/>
      </c>
      <c r="B1875" s="2" t="n">
        <v>43210.3005324074</v>
      </c>
      <c r="C1875" t="n">
        <v>0</v>
      </c>
      <c r="D1875" t="n">
        <v>10</v>
      </c>
      <c r="E1875" t="s">
        <v>1858</v>
      </c>
      <c r="F1875" t="s"/>
      <c r="G1875" t="s"/>
      <c r="H1875" t="s"/>
      <c r="I1875" t="s"/>
      <c r="J1875" t="n">
        <v>0</v>
      </c>
      <c r="K1875" t="n">
        <v>0</v>
      </c>
      <c r="L1875" t="n">
        <v>1</v>
      </c>
      <c r="M1875" t="n">
        <v>0</v>
      </c>
    </row>
    <row r="1876" spans="1:13">
      <c r="A1876" s="1">
        <f>HYPERLINK("http://www.twitter.com/NathanBLawrence/status/987227338445377536", "987227338445377536")</f>
        <v/>
      </c>
      <c r="B1876" s="2" t="n">
        <v>43210.29991898148</v>
      </c>
      <c r="C1876" t="n">
        <v>0</v>
      </c>
      <c r="D1876" t="n">
        <v>4</v>
      </c>
      <c r="E1876" t="s">
        <v>1859</v>
      </c>
      <c r="F1876" t="s"/>
      <c r="G1876" t="s"/>
      <c r="H1876" t="s"/>
      <c r="I1876" t="s"/>
      <c r="J1876" t="n">
        <v>0.7964</v>
      </c>
      <c r="K1876" t="n">
        <v>0.094</v>
      </c>
      <c r="L1876" t="n">
        <v>0.606</v>
      </c>
      <c r="M1876" t="n">
        <v>0.3</v>
      </c>
    </row>
    <row r="1877" spans="1:13">
      <c r="A1877" s="1">
        <f>HYPERLINK("http://www.twitter.com/NathanBLawrence/status/987226860869378048", "987226860869378048")</f>
        <v/>
      </c>
      <c r="B1877" s="2" t="n">
        <v>43210.29861111111</v>
      </c>
      <c r="C1877" t="n">
        <v>1</v>
      </c>
      <c r="D1877" t="n">
        <v>0</v>
      </c>
      <c r="E1877" t="s">
        <v>1860</v>
      </c>
      <c r="F1877" t="s"/>
      <c r="G1877" t="s"/>
      <c r="H1877" t="s"/>
      <c r="I1877" t="s"/>
      <c r="J1877" t="n">
        <v>0.8401999999999999</v>
      </c>
      <c r="K1877" t="n">
        <v>0</v>
      </c>
      <c r="L1877" t="n">
        <v>0.727</v>
      </c>
      <c r="M1877" t="n">
        <v>0.273</v>
      </c>
    </row>
    <row r="1878" spans="1:13">
      <c r="A1878" s="1">
        <f>HYPERLINK("http://www.twitter.com/NathanBLawrence/status/987226542089691136", "987226542089691136")</f>
        <v/>
      </c>
      <c r="B1878" s="2" t="n">
        <v>43210.29773148148</v>
      </c>
      <c r="C1878" t="n">
        <v>2</v>
      </c>
      <c r="D1878" t="n">
        <v>0</v>
      </c>
      <c r="E1878" t="s">
        <v>1861</v>
      </c>
      <c r="F1878" t="s"/>
      <c r="G1878" t="s"/>
      <c r="H1878" t="s"/>
      <c r="I1878" t="s"/>
      <c r="J1878" t="n">
        <v>0.8445</v>
      </c>
      <c r="K1878" t="n">
        <v>0.08699999999999999</v>
      </c>
      <c r="L1878" t="n">
        <v>0.669</v>
      </c>
      <c r="M1878" t="n">
        <v>0.244</v>
      </c>
    </row>
    <row r="1879" spans="1:13">
      <c r="A1879" s="1">
        <f>HYPERLINK("http://www.twitter.com/NathanBLawrence/status/987225704105422848", "987225704105422848")</f>
        <v/>
      </c>
      <c r="B1879" s="2" t="n">
        <v>43210.29541666667</v>
      </c>
      <c r="C1879" t="n">
        <v>3</v>
      </c>
      <c r="D1879" t="n">
        <v>4</v>
      </c>
      <c r="E1879" t="s">
        <v>1862</v>
      </c>
      <c r="F1879" t="s"/>
      <c r="G1879" t="s"/>
      <c r="H1879" t="s"/>
      <c r="I1879" t="s"/>
      <c r="J1879" t="n">
        <v>0.6369</v>
      </c>
      <c r="K1879" t="n">
        <v>0.182</v>
      </c>
      <c r="L1879" t="n">
        <v>0.585</v>
      </c>
      <c r="M1879" t="n">
        <v>0.233</v>
      </c>
    </row>
    <row r="1880" spans="1:13">
      <c r="A1880" s="1">
        <f>HYPERLINK("http://www.twitter.com/NathanBLawrence/status/987219998673338369", "987219998673338369")</f>
        <v/>
      </c>
      <c r="B1880" s="2" t="n">
        <v>43210.27967592593</v>
      </c>
      <c r="C1880" t="n">
        <v>0</v>
      </c>
      <c r="D1880" t="n">
        <v>11</v>
      </c>
      <c r="E1880" t="s">
        <v>1863</v>
      </c>
      <c r="F1880">
        <f>HYPERLINK("http://pbs.twimg.com/media/DbNO8RJW4AEXCcj.jpg", "http://pbs.twimg.com/media/DbNO8RJW4AEXCcj.jpg")</f>
        <v/>
      </c>
      <c r="G1880" t="s"/>
      <c r="H1880" t="s"/>
      <c r="I1880" t="s"/>
      <c r="J1880" t="n">
        <v>0.2382</v>
      </c>
      <c r="K1880" t="n">
        <v>0</v>
      </c>
      <c r="L1880" t="n">
        <v>0.907</v>
      </c>
      <c r="M1880" t="n">
        <v>0.093</v>
      </c>
    </row>
    <row r="1881" spans="1:13">
      <c r="A1881" s="1">
        <f>HYPERLINK("http://www.twitter.com/NathanBLawrence/status/987174321528418304", "987174321528418304")</f>
        <v/>
      </c>
      <c r="B1881" s="2" t="n">
        <v>43210.15362268518</v>
      </c>
      <c r="C1881" t="n">
        <v>0</v>
      </c>
      <c r="D1881" t="n">
        <v>1450</v>
      </c>
      <c r="E1881" t="s">
        <v>1864</v>
      </c>
      <c r="F1881" t="s"/>
      <c r="G1881" t="s"/>
      <c r="H1881" t="s"/>
      <c r="I1881" t="s"/>
      <c r="J1881" t="n">
        <v>0</v>
      </c>
      <c r="K1881" t="n">
        <v>0</v>
      </c>
      <c r="L1881" t="n">
        <v>1</v>
      </c>
      <c r="M1881" t="n">
        <v>0</v>
      </c>
    </row>
    <row r="1882" spans="1:13">
      <c r="A1882" s="1">
        <f>HYPERLINK("http://www.twitter.com/NathanBLawrence/status/987165640535560192", "987165640535560192")</f>
        <v/>
      </c>
      <c r="B1882" s="2" t="n">
        <v>43210.12967592593</v>
      </c>
      <c r="C1882" t="n">
        <v>0</v>
      </c>
      <c r="D1882" t="n">
        <v>26506</v>
      </c>
      <c r="E1882" t="s">
        <v>1865</v>
      </c>
      <c r="F1882" t="s"/>
      <c r="G1882" t="s"/>
      <c r="H1882" t="s"/>
      <c r="I1882" t="s"/>
      <c r="J1882" t="n">
        <v>0.4404</v>
      </c>
      <c r="K1882" t="n">
        <v>0</v>
      </c>
      <c r="L1882" t="n">
        <v>0.879</v>
      </c>
      <c r="M1882" t="n">
        <v>0.121</v>
      </c>
    </row>
    <row r="1883" spans="1:13">
      <c r="A1883" s="1">
        <f>HYPERLINK("http://www.twitter.com/NathanBLawrence/status/987056072035794945", "987056072035794945")</f>
        <v/>
      </c>
      <c r="B1883" s="2" t="n">
        <v>43209.82731481481</v>
      </c>
      <c r="C1883" t="n">
        <v>0</v>
      </c>
      <c r="D1883" t="n">
        <v>4</v>
      </c>
      <c r="E1883" t="s">
        <v>1866</v>
      </c>
      <c r="F1883" t="s"/>
      <c r="G1883" t="s"/>
      <c r="H1883" t="s"/>
      <c r="I1883" t="s"/>
      <c r="J1883" t="n">
        <v>-0.3182</v>
      </c>
      <c r="K1883" t="n">
        <v>0.176</v>
      </c>
      <c r="L1883" t="n">
        <v>0.733</v>
      </c>
      <c r="M1883" t="n">
        <v>0.092</v>
      </c>
    </row>
    <row r="1884" spans="1:13">
      <c r="A1884" s="1">
        <f>HYPERLINK("http://www.twitter.com/NathanBLawrence/status/987056052993708032", "987056052993708032")</f>
        <v/>
      </c>
      <c r="B1884" s="2" t="n">
        <v>43209.82726851852</v>
      </c>
      <c r="C1884" t="n">
        <v>0</v>
      </c>
      <c r="D1884" t="n">
        <v>9</v>
      </c>
      <c r="E1884" t="s">
        <v>1867</v>
      </c>
      <c r="F1884" t="s"/>
      <c r="G1884" t="s"/>
      <c r="H1884" t="s"/>
      <c r="I1884" t="s"/>
      <c r="J1884" t="n">
        <v>0.6124000000000001</v>
      </c>
      <c r="K1884" t="n">
        <v>0</v>
      </c>
      <c r="L1884" t="n">
        <v>0.783</v>
      </c>
      <c r="M1884" t="n">
        <v>0.217</v>
      </c>
    </row>
    <row r="1885" spans="1:13">
      <c r="A1885" s="1">
        <f>HYPERLINK("http://www.twitter.com/NathanBLawrence/status/987056026951344129", "987056026951344129")</f>
        <v/>
      </c>
      <c r="B1885" s="2" t="n">
        <v>43209.82719907408</v>
      </c>
      <c r="C1885" t="n">
        <v>0</v>
      </c>
      <c r="D1885" t="n">
        <v>12</v>
      </c>
      <c r="E1885" t="s">
        <v>1868</v>
      </c>
      <c r="F1885" t="s"/>
      <c r="G1885" t="s"/>
      <c r="H1885" t="s"/>
      <c r="I1885" t="s"/>
      <c r="J1885" t="n">
        <v>0.296</v>
      </c>
      <c r="K1885" t="n">
        <v>0.16</v>
      </c>
      <c r="L1885" t="n">
        <v>0.634</v>
      </c>
      <c r="M1885" t="n">
        <v>0.205</v>
      </c>
    </row>
    <row r="1886" spans="1:13">
      <c r="A1886" s="1">
        <f>HYPERLINK("http://www.twitter.com/NathanBLawrence/status/987056005296066562", "987056005296066562")</f>
        <v/>
      </c>
      <c r="B1886" s="2" t="n">
        <v>43209.82712962963</v>
      </c>
      <c r="C1886" t="n">
        <v>0</v>
      </c>
      <c r="D1886" t="n">
        <v>10</v>
      </c>
      <c r="E1886" t="s">
        <v>1544</v>
      </c>
      <c r="F1886" t="s"/>
      <c r="G1886" t="s"/>
      <c r="H1886" t="s"/>
      <c r="I1886" t="s"/>
      <c r="J1886" t="n">
        <v>-0.8070000000000001</v>
      </c>
      <c r="K1886" t="n">
        <v>0.328</v>
      </c>
      <c r="L1886" t="n">
        <v>0.672</v>
      </c>
      <c r="M1886" t="n">
        <v>0</v>
      </c>
    </row>
    <row r="1887" spans="1:13">
      <c r="A1887" s="1">
        <f>HYPERLINK("http://www.twitter.com/NathanBLawrence/status/986949708500357120", "986949708500357120")</f>
        <v/>
      </c>
      <c r="B1887" s="2" t="n">
        <v>43209.53380787037</v>
      </c>
      <c r="C1887" t="n">
        <v>0</v>
      </c>
      <c r="D1887" t="n">
        <v>12</v>
      </c>
      <c r="E1887" t="s">
        <v>1869</v>
      </c>
      <c r="F1887" t="s"/>
      <c r="G1887" t="s"/>
      <c r="H1887" t="s"/>
      <c r="I1887" t="s"/>
      <c r="J1887" t="n">
        <v>0</v>
      </c>
      <c r="K1887" t="n">
        <v>0</v>
      </c>
      <c r="L1887" t="n">
        <v>1</v>
      </c>
      <c r="M1887" t="n">
        <v>0</v>
      </c>
    </row>
    <row r="1888" spans="1:13">
      <c r="A1888" s="1">
        <f>HYPERLINK("http://www.twitter.com/NathanBLawrence/status/986949601524666368", "986949601524666368")</f>
        <v/>
      </c>
      <c r="B1888" s="2" t="n">
        <v>43209.53351851852</v>
      </c>
      <c r="C1888" t="n">
        <v>0</v>
      </c>
      <c r="D1888" t="n">
        <v>14</v>
      </c>
      <c r="E1888" t="s">
        <v>1870</v>
      </c>
      <c r="F1888" t="s"/>
      <c r="G1888" t="s"/>
      <c r="H1888" t="s"/>
      <c r="I1888" t="s"/>
      <c r="J1888" t="n">
        <v>-0.908</v>
      </c>
      <c r="K1888" t="n">
        <v>0.443</v>
      </c>
      <c r="L1888" t="n">
        <v>0.478</v>
      </c>
      <c r="M1888" t="n">
        <v>0.08</v>
      </c>
    </row>
    <row r="1889" spans="1:13">
      <c r="A1889" s="1">
        <f>HYPERLINK("http://www.twitter.com/NathanBLawrence/status/986838370620985346", "986838370620985346")</f>
        <v/>
      </c>
      <c r="B1889" s="2" t="n">
        <v>43209.22657407408</v>
      </c>
      <c r="C1889" t="n">
        <v>0</v>
      </c>
      <c r="D1889" t="n">
        <v>3</v>
      </c>
      <c r="E1889" t="s">
        <v>1871</v>
      </c>
      <c r="F1889" t="s"/>
      <c r="G1889" t="s"/>
      <c r="H1889" t="s"/>
      <c r="I1889" t="s"/>
      <c r="J1889" t="n">
        <v>-0.0516</v>
      </c>
      <c r="K1889" t="n">
        <v>0.124</v>
      </c>
      <c r="L1889" t="n">
        <v>0.76</v>
      </c>
      <c r="M1889" t="n">
        <v>0.116</v>
      </c>
    </row>
    <row r="1890" spans="1:13">
      <c r="A1890" s="1">
        <f>HYPERLINK("http://www.twitter.com/NathanBLawrence/status/986838350706434048", "986838350706434048")</f>
        <v/>
      </c>
      <c r="B1890" s="2" t="n">
        <v>43209.22652777778</v>
      </c>
      <c r="C1890" t="n">
        <v>0</v>
      </c>
      <c r="D1890" t="n">
        <v>4</v>
      </c>
      <c r="E1890" t="s">
        <v>1872</v>
      </c>
      <c r="F1890" t="s"/>
      <c r="G1890" t="s"/>
      <c r="H1890" t="s"/>
      <c r="I1890" t="s"/>
      <c r="J1890" t="n">
        <v>0</v>
      </c>
      <c r="K1890" t="n">
        <v>0</v>
      </c>
      <c r="L1890" t="n">
        <v>1</v>
      </c>
      <c r="M1890" t="n">
        <v>0</v>
      </c>
    </row>
    <row r="1891" spans="1:13">
      <c r="A1891" s="1">
        <f>HYPERLINK("http://www.twitter.com/NathanBLawrence/status/986838322940137472", "986838322940137472")</f>
        <v/>
      </c>
      <c r="B1891" s="2" t="n">
        <v>43209.22644675926</v>
      </c>
      <c r="C1891" t="n">
        <v>0</v>
      </c>
      <c r="D1891" t="n">
        <v>11</v>
      </c>
      <c r="E1891" t="s">
        <v>1339</v>
      </c>
      <c r="F1891">
        <f>HYPERLINK("http://pbs.twimg.com/media/DbHt_nkWkAAanAo.jpg", "http://pbs.twimg.com/media/DbHt_nkWkAAanAo.jpg")</f>
        <v/>
      </c>
      <c r="G1891">
        <f>HYPERLINK("http://pbs.twimg.com/media/DbHuANrXUAEPS-Y.jpg", "http://pbs.twimg.com/media/DbHuANrXUAEPS-Y.jpg")</f>
        <v/>
      </c>
      <c r="H1891">
        <f>HYPERLINK("http://pbs.twimg.com/media/DbHuA42XcAAb4hf.jpg", "http://pbs.twimg.com/media/DbHuA42XcAAb4hf.jpg")</f>
        <v/>
      </c>
      <c r="I1891">
        <f>HYPERLINK("http://pbs.twimg.com/media/DbHuBe7WkAESvgr.jpg", "http://pbs.twimg.com/media/DbHuBe7WkAESvgr.jpg")</f>
        <v/>
      </c>
      <c r="J1891" t="n">
        <v>-0.5266999999999999</v>
      </c>
      <c r="K1891" t="n">
        <v>0.227</v>
      </c>
      <c r="L1891" t="n">
        <v>0.773</v>
      </c>
      <c r="M1891" t="n">
        <v>0</v>
      </c>
    </row>
    <row r="1892" spans="1:13">
      <c r="A1892" s="1">
        <f>HYPERLINK("http://www.twitter.com/NathanBLawrence/status/986838296604143616", "986838296604143616")</f>
        <v/>
      </c>
      <c r="B1892" s="2" t="n">
        <v>43209.22637731482</v>
      </c>
      <c r="C1892" t="n">
        <v>0</v>
      </c>
      <c r="D1892" t="n">
        <v>12</v>
      </c>
      <c r="E1892" t="s">
        <v>1873</v>
      </c>
      <c r="F1892">
        <f>HYPERLINK("https://video.twimg.com/ext_tw_video/986832044738084864/pu/vid/320x180/JsnztLe-wKxa3GAA.mp4?tag=3", "https://video.twimg.com/ext_tw_video/986832044738084864/pu/vid/320x180/JsnztLe-wKxa3GAA.mp4?tag=3")</f>
        <v/>
      </c>
      <c r="G1892" t="s"/>
      <c r="H1892" t="s"/>
      <c r="I1892" t="s"/>
      <c r="J1892" t="n">
        <v>-0.5266999999999999</v>
      </c>
      <c r="K1892" t="n">
        <v>0.145</v>
      </c>
      <c r="L1892" t="n">
        <v>0.855</v>
      </c>
      <c r="M1892" t="n">
        <v>0</v>
      </c>
    </row>
    <row r="1893" spans="1:13">
      <c r="A1893" s="1">
        <f>HYPERLINK("http://www.twitter.com/NathanBLawrence/status/986838249640427521", "986838249640427521")</f>
        <v/>
      </c>
      <c r="B1893" s="2" t="n">
        <v>43209.22623842592</v>
      </c>
      <c r="C1893" t="n">
        <v>0</v>
      </c>
      <c r="D1893" t="n">
        <v>7</v>
      </c>
      <c r="E1893" t="s">
        <v>1874</v>
      </c>
      <c r="F1893" t="s"/>
      <c r="G1893" t="s"/>
      <c r="H1893" t="s"/>
      <c r="I1893" t="s"/>
      <c r="J1893" t="n">
        <v>-0.2235</v>
      </c>
      <c r="K1893" t="n">
        <v>0.079</v>
      </c>
      <c r="L1893" t="n">
        <v>0.921</v>
      </c>
      <c r="M1893" t="n">
        <v>0</v>
      </c>
    </row>
    <row r="1894" spans="1:13">
      <c r="A1894" s="1">
        <f>HYPERLINK("http://www.twitter.com/NathanBLawrence/status/986838198625161217", "986838198625161217")</f>
        <v/>
      </c>
      <c r="B1894" s="2" t="n">
        <v>43209.22609953704</v>
      </c>
      <c r="C1894" t="n">
        <v>0</v>
      </c>
      <c r="D1894" t="n">
        <v>7</v>
      </c>
      <c r="E1894" t="s">
        <v>1875</v>
      </c>
      <c r="F1894" t="s"/>
      <c r="G1894" t="s"/>
      <c r="H1894" t="s"/>
      <c r="I1894" t="s"/>
      <c r="J1894" t="n">
        <v>-0.7003</v>
      </c>
      <c r="K1894" t="n">
        <v>0.234</v>
      </c>
      <c r="L1894" t="n">
        <v>0.766</v>
      </c>
      <c r="M1894" t="n">
        <v>0</v>
      </c>
    </row>
    <row r="1895" spans="1:13">
      <c r="A1895" s="1">
        <f>HYPERLINK("http://www.twitter.com/NathanBLawrence/status/986838068299812864", "986838068299812864")</f>
        <v/>
      </c>
      <c r="B1895" s="2" t="n">
        <v>43209.22574074074</v>
      </c>
      <c r="C1895" t="n">
        <v>0</v>
      </c>
      <c r="D1895" t="n">
        <v>0</v>
      </c>
      <c r="E1895" t="s">
        <v>1876</v>
      </c>
      <c r="F1895" t="s"/>
      <c r="G1895" t="s"/>
      <c r="H1895" t="s"/>
      <c r="I1895" t="s"/>
      <c r="J1895" t="n">
        <v>0</v>
      </c>
      <c r="K1895" t="n">
        <v>0</v>
      </c>
      <c r="L1895" t="n">
        <v>1</v>
      </c>
      <c r="M1895" t="n">
        <v>0</v>
      </c>
    </row>
    <row r="1896" spans="1:13">
      <c r="A1896" s="1">
        <f>HYPERLINK("http://www.twitter.com/NathanBLawrence/status/986837858123173911", "986837858123173911")</f>
        <v/>
      </c>
      <c r="B1896" s="2" t="n">
        <v>43209.22516203704</v>
      </c>
      <c r="C1896" t="n">
        <v>0</v>
      </c>
      <c r="D1896" t="n">
        <v>4</v>
      </c>
      <c r="E1896" t="s">
        <v>1877</v>
      </c>
      <c r="F1896" t="s"/>
      <c r="G1896" t="s"/>
      <c r="H1896" t="s"/>
      <c r="I1896" t="s"/>
      <c r="J1896" t="n">
        <v>0</v>
      </c>
      <c r="K1896" t="n">
        <v>0</v>
      </c>
      <c r="L1896" t="n">
        <v>1</v>
      </c>
      <c r="M1896" t="n">
        <v>0</v>
      </c>
    </row>
    <row r="1897" spans="1:13">
      <c r="A1897" s="1">
        <f>HYPERLINK("http://www.twitter.com/NathanBLawrence/status/986835324163772416", "986835324163772416")</f>
        <v/>
      </c>
      <c r="B1897" s="2" t="n">
        <v>43209.2181712963</v>
      </c>
      <c r="C1897" t="n">
        <v>0</v>
      </c>
      <c r="D1897" t="n">
        <v>0</v>
      </c>
      <c r="E1897" t="s">
        <v>1878</v>
      </c>
      <c r="F1897" t="s"/>
      <c r="G1897" t="s"/>
      <c r="H1897" t="s"/>
      <c r="I1897" t="s"/>
      <c r="J1897" t="n">
        <v>0.5574</v>
      </c>
      <c r="K1897" t="n">
        <v>0.184</v>
      </c>
      <c r="L1897" t="n">
        <v>0.329</v>
      </c>
      <c r="M1897" t="n">
        <v>0.487</v>
      </c>
    </row>
    <row r="1898" spans="1:13">
      <c r="A1898" s="1">
        <f>HYPERLINK("http://www.twitter.com/NathanBLawrence/status/986831018173878272", "986831018173878272")</f>
        <v/>
      </c>
      <c r="B1898" s="2" t="n">
        <v>43209.20628472222</v>
      </c>
      <c r="C1898" t="n">
        <v>0</v>
      </c>
      <c r="D1898" t="n">
        <v>12</v>
      </c>
      <c r="E1898" t="s">
        <v>1339</v>
      </c>
      <c r="F1898">
        <f>HYPERLINK("http://pbs.twimg.com/media/DaSYWSrVAAAV0m8.jpg", "http://pbs.twimg.com/media/DaSYWSrVAAAV0m8.jpg")</f>
        <v/>
      </c>
      <c r="G1898">
        <f>HYPERLINK("http://pbs.twimg.com/media/DaSYW_kVAAAEkuC.jpg", "http://pbs.twimg.com/media/DaSYW_kVAAAEkuC.jpg")</f>
        <v/>
      </c>
      <c r="H1898">
        <f>HYPERLINK("http://pbs.twimg.com/media/DaSYXp0UwAA5bUu.jpg", "http://pbs.twimg.com/media/DaSYXp0UwAA5bUu.jpg")</f>
        <v/>
      </c>
      <c r="I1898">
        <f>HYPERLINK("http://pbs.twimg.com/media/DaSYYFmVAAAfbFq.jpg", "http://pbs.twimg.com/media/DaSYYFmVAAAfbFq.jpg")</f>
        <v/>
      </c>
      <c r="J1898" t="n">
        <v>-0.5266999999999999</v>
      </c>
      <c r="K1898" t="n">
        <v>0.227</v>
      </c>
      <c r="L1898" t="n">
        <v>0.773</v>
      </c>
      <c r="M1898" t="n">
        <v>0</v>
      </c>
    </row>
    <row r="1899" spans="1:13">
      <c r="A1899" s="1">
        <f>HYPERLINK("http://www.twitter.com/NathanBLawrence/status/986830801928114176", "986830801928114176")</f>
        <v/>
      </c>
      <c r="B1899" s="2" t="n">
        <v>43209.20569444444</v>
      </c>
      <c r="C1899" t="n">
        <v>0</v>
      </c>
      <c r="D1899" t="n">
        <v>9</v>
      </c>
      <c r="E1899" t="s">
        <v>1879</v>
      </c>
      <c r="F1899" t="s"/>
      <c r="G1899" t="s"/>
      <c r="H1899" t="s"/>
      <c r="I1899" t="s"/>
      <c r="J1899" t="n">
        <v>0</v>
      </c>
      <c r="K1899" t="n">
        <v>0</v>
      </c>
      <c r="L1899" t="n">
        <v>1</v>
      </c>
      <c r="M1899" t="n">
        <v>0</v>
      </c>
    </row>
    <row r="1900" spans="1:13">
      <c r="A1900" s="1">
        <f>HYPERLINK("http://www.twitter.com/NathanBLawrence/status/986830784828006400", "986830784828006400")</f>
        <v/>
      </c>
      <c r="B1900" s="2" t="n">
        <v>43209.20564814815</v>
      </c>
      <c r="C1900" t="n">
        <v>0</v>
      </c>
      <c r="D1900" t="n">
        <v>15</v>
      </c>
      <c r="E1900" t="s">
        <v>1880</v>
      </c>
      <c r="F1900">
        <f>HYPERLINK("http://pbs.twimg.com/media/Daw08CRV4AA8fzd.jpg", "http://pbs.twimg.com/media/Daw08CRV4AA8fzd.jpg")</f>
        <v/>
      </c>
      <c r="G1900" t="s"/>
      <c r="H1900" t="s"/>
      <c r="I1900" t="s"/>
      <c r="J1900" t="n">
        <v>0.4084</v>
      </c>
      <c r="K1900" t="n">
        <v>0.054</v>
      </c>
      <c r="L1900" t="n">
        <v>0.8129999999999999</v>
      </c>
      <c r="M1900" t="n">
        <v>0.133</v>
      </c>
    </row>
    <row r="1901" spans="1:13">
      <c r="A1901" s="1">
        <f>HYPERLINK("http://www.twitter.com/NathanBLawrence/status/986830674089906176", "986830674089906176")</f>
        <v/>
      </c>
      <c r="B1901" s="2" t="n">
        <v>43209.20533564815</v>
      </c>
      <c r="C1901" t="n">
        <v>0</v>
      </c>
      <c r="D1901" t="n">
        <v>3</v>
      </c>
      <c r="E1901" t="s">
        <v>1881</v>
      </c>
      <c r="F1901" t="s"/>
      <c r="G1901" t="s"/>
      <c r="H1901" t="s"/>
      <c r="I1901" t="s"/>
      <c r="J1901" t="n">
        <v>-0.3612</v>
      </c>
      <c r="K1901" t="n">
        <v>0.212</v>
      </c>
      <c r="L1901" t="n">
        <v>0.788</v>
      </c>
      <c r="M1901" t="n">
        <v>0</v>
      </c>
    </row>
    <row r="1902" spans="1:13">
      <c r="A1902" s="1">
        <f>HYPERLINK("http://www.twitter.com/NathanBLawrence/status/986830494187868160", "986830494187868160")</f>
        <v/>
      </c>
      <c r="B1902" s="2" t="n">
        <v>43209.20483796296</v>
      </c>
      <c r="C1902" t="n">
        <v>0</v>
      </c>
      <c r="D1902" t="n">
        <v>5</v>
      </c>
      <c r="E1902" t="s">
        <v>1882</v>
      </c>
      <c r="F1902" t="s"/>
      <c r="G1902" t="s"/>
      <c r="H1902" t="s"/>
      <c r="I1902" t="s"/>
      <c r="J1902" t="n">
        <v>-0.4404</v>
      </c>
      <c r="K1902" t="n">
        <v>0.153</v>
      </c>
      <c r="L1902" t="n">
        <v>0.847</v>
      </c>
      <c r="M1902" t="n">
        <v>0</v>
      </c>
    </row>
    <row r="1903" spans="1:13">
      <c r="A1903" s="1">
        <f>HYPERLINK("http://www.twitter.com/NathanBLawrence/status/986830304433311745", "986830304433311745")</f>
        <v/>
      </c>
      <c r="B1903" s="2" t="n">
        <v>43209.20431712963</v>
      </c>
      <c r="C1903" t="n">
        <v>0</v>
      </c>
      <c r="D1903" t="n">
        <v>7</v>
      </c>
      <c r="E1903" t="s">
        <v>1883</v>
      </c>
      <c r="F1903" t="s"/>
      <c r="G1903" t="s"/>
      <c r="H1903" t="s"/>
      <c r="I1903" t="s"/>
      <c r="J1903" t="n">
        <v>-0.8074</v>
      </c>
      <c r="K1903" t="n">
        <v>0.278</v>
      </c>
      <c r="L1903" t="n">
        <v>0.722</v>
      </c>
      <c r="M1903" t="n">
        <v>0</v>
      </c>
    </row>
    <row r="1904" spans="1:13">
      <c r="A1904" s="1">
        <f>HYPERLINK("http://www.twitter.com/NathanBLawrence/status/986830231674720257", "986830231674720257")</f>
        <v/>
      </c>
      <c r="B1904" s="2" t="n">
        <v>43209.20412037037</v>
      </c>
      <c r="C1904" t="n">
        <v>0</v>
      </c>
      <c r="D1904" t="n">
        <v>5</v>
      </c>
      <c r="E1904" t="s">
        <v>1884</v>
      </c>
      <c r="F1904" t="s"/>
      <c r="G1904" t="s"/>
      <c r="H1904" t="s"/>
      <c r="I1904" t="s"/>
      <c r="J1904" t="n">
        <v>0.1779</v>
      </c>
      <c r="K1904" t="n">
        <v>0.08400000000000001</v>
      </c>
      <c r="L1904" t="n">
        <v>0.803</v>
      </c>
      <c r="M1904" t="n">
        <v>0.112</v>
      </c>
    </row>
    <row r="1905" spans="1:13">
      <c r="A1905" s="1">
        <f>HYPERLINK("http://www.twitter.com/NathanBLawrence/status/986830175932506112", "986830175932506112")</f>
        <v/>
      </c>
      <c r="B1905" s="2" t="n">
        <v>43209.20396990741</v>
      </c>
      <c r="C1905" t="n">
        <v>0</v>
      </c>
      <c r="D1905" t="n">
        <v>20</v>
      </c>
      <c r="E1905" t="s">
        <v>1869</v>
      </c>
      <c r="F1905" t="s"/>
      <c r="G1905" t="s"/>
      <c r="H1905" t="s"/>
      <c r="I1905" t="s"/>
      <c r="J1905" t="n">
        <v>0</v>
      </c>
      <c r="K1905" t="n">
        <v>0</v>
      </c>
      <c r="L1905" t="n">
        <v>1</v>
      </c>
      <c r="M1905" t="n">
        <v>0</v>
      </c>
    </row>
    <row r="1906" spans="1:13">
      <c r="A1906" s="1">
        <f>HYPERLINK("http://www.twitter.com/NathanBLawrence/status/986830152381460480", "986830152381460480")</f>
        <v/>
      </c>
      <c r="B1906" s="2" t="n">
        <v>43209.20390046296</v>
      </c>
      <c r="C1906" t="n">
        <v>0</v>
      </c>
      <c r="D1906" t="n">
        <v>4</v>
      </c>
      <c r="E1906" t="s">
        <v>1885</v>
      </c>
      <c r="F1906" t="s"/>
      <c r="G1906" t="s"/>
      <c r="H1906" t="s"/>
      <c r="I1906" t="s"/>
      <c r="J1906" t="n">
        <v>0.0258</v>
      </c>
      <c r="K1906" t="n">
        <v>0.098</v>
      </c>
      <c r="L1906" t="n">
        <v>0.8</v>
      </c>
      <c r="M1906" t="n">
        <v>0.102</v>
      </c>
    </row>
    <row r="1907" spans="1:13">
      <c r="A1907" s="1">
        <f>HYPERLINK("http://www.twitter.com/NathanBLawrence/status/986830068159860736", "986830068159860736")</f>
        <v/>
      </c>
      <c r="B1907" s="2" t="n">
        <v>43209.20366898148</v>
      </c>
      <c r="C1907" t="n">
        <v>0</v>
      </c>
      <c r="D1907" t="n">
        <v>9</v>
      </c>
      <c r="E1907" t="s">
        <v>1886</v>
      </c>
      <c r="F1907">
        <f>HYPERLINK("http://pbs.twimg.com/media/DbEksoFXUAInxX0.jpg", "http://pbs.twimg.com/media/DbEksoFXUAInxX0.jpg")</f>
        <v/>
      </c>
      <c r="G1907" t="s"/>
      <c r="H1907" t="s"/>
      <c r="I1907" t="s"/>
      <c r="J1907" t="n">
        <v>0</v>
      </c>
      <c r="K1907" t="n">
        <v>0</v>
      </c>
      <c r="L1907" t="n">
        <v>1</v>
      </c>
      <c r="M1907" t="n">
        <v>0</v>
      </c>
    </row>
    <row r="1908" spans="1:13">
      <c r="A1908" s="1">
        <f>HYPERLINK("http://www.twitter.com/NathanBLawrence/status/986829953110028289", "986829953110028289")</f>
        <v/>
      </c>
      <c r="B1908" s="2" t="n">
        <v>43209.20334490741</v>
      </c>
      <c r="C1908" t="n">
        <v>0</v>
      </c>
      <c r="D1908" t="n">
        <v>10</v>
      </c>
      <c r="E1908" t="s">
        <v>1887</v>
      </c>
      <c r="F1908" t="s"/>
      <c r="G1908" t="s"/>
      <c r="H1908" t="s"/>
      <c r="I1908" t="s"/>
      <c r="J1908" t="n">
        <v>-0.4215</v>
      </c>
      <c r="K1908" t="n">
        <v>0.122</v>
      </c>
      <c r="L1908" t="n">
        <v>0.827</v>
      </c>
      <c r="M1908" t="n">
        <v>0.051</v>
      </c>
    </row>
    <row r="1909" spans="1:13">
      <c r="A1909" s="1">
        <f>HYPERLINK("http://www.twitter.com/NathanBLawrence/status/986829938522288128", "986829938522288128")</f>
        <v/>
      </c>
      <c r="B1909" s="2" t="n">
        <v>43209.20331018518</v>
      </c>
      <c r="C1909" t="n">
        <v>0</v>
      </c>
      <c r="D1909" t="n">
        <v>3</v>
      </c>
      <c r="E1909" t="s">
        <v>1888</v>
      </c>
      <c r="F1909" t="s"/>
      <c r="G1909" t="s"/>
      <c r="H1909" t="s"/>
      <c r="I1909" t="s"/>
      <c r="J1909" t="n">
        <v>0.3182</v>
      </c>
      <c r="K1909" t="n">
        <v>0</v>
      </c>
      <c r="L1909" t="n">
        <v>0.897</v>
      </c>
      <c r="M1909" t="n">
        <v>0.103</v>
      </c>
    </row>
    <row r="1910" spans="1:13">
      <c r="A1910" s="1">
        <f>HYPERLINK("http://www.twitter.com/NathanBLawrence/status/986829920075681793", "986829920075681793")</f>
        <v/>
      </c>
      <c r="B1910" s="2" t="n">
        <v>43209.20326388889</v>
      </c>
      <c r="C1910" t="n">
        <v>0</v>
      </c>
      <c r="D1910" t="n">
        <v>5</v>
      </c>
      <c r="E1910" t="s">
        <v>1889</v>
      </c>
      <c r="F1910" t="s"/>
      <c r="G1910" t="s"/>
      <c r="H1910" t="s"/>
      <c r="I1910" t="s"/>
      <c r="J1910" t="n">
        <v>0.4215</v>
      </c>
      <c r="K1910" t="n">
        <v>0</v>
      </c>
      <c r="L1910" t="n">
        <v>0.872</v>
      </c>
      <c r="M1910" t="n">
        <v>0.128</v>
      </c>
    </row>
    <row r="1911" spans="1:13">
      <c r="A1911" s="1">
        <f>HYPERLINK("http://www.twitter.com/NathanBLawrence/status/986829882637389825", "986829882637389825")</f>
        <v/>
      </c>
      <c r="B1911" s="2" t="n">
        <v>43209.20315972222</v>
      </c>
      <c r="C1911" t="n">
        <v>0</v>
      </c>
      <c r="D1911" t="n">
        <v>13</v>
      </c>
      <c r="E1911" t="s">
        <v>1890</v>
      </c>
      <c r="F1911" t="s"/>
      <c r="G1911" t="s"/>
      <c r="H1911" t="s"/>
      <c r="I1911" t="s"/>
      <c r="J1911" t="n">
        <v>0</v>
      </c>
      <c r="K1911" t="n">
        <v>0</v>
      </c>
      <c r="L1911" t="n">
        <v>1</v>
      </c>
      <c r="M1911" t="n">
        <v>0</v>
      </c>
    </row>
    <row r="1912" spans="1:13">
      <c r="A1912" s="1">
        <f>HYPERLINK("http://www.twitter.com/NathanBLawrence/status/986797026498183168", "986797026498183168")</f>
        <v/>
      </c>
      <c r="B1912" s="2" t="n">
        <v>43209.11248842593</v>
      </c>
      <c r="C1912" t="n">
        <v>0</v>
      </c>
      <c r="D1912" t="n">
        <v>11</v>
      </c>
      <c r="E1912" t="s">
        <v>1891</v>
      </c>
      <c r="F1912">
        <f>HYPERLINK("http://pbs.twimg.com/media/DbHCbK4X0AAHwhf.jpg", "http://pbs.twimg.com/media/DbHCbK4X0AAHwhf.jpg")</f>
        <v/>
      </c>
      <c r="G1912" t="s"/>
      <c r="H1912" t="s"/>
      <c r="I1912" t="s"/>
      <c r="J1912" t="n">
        <v>0.7739</v>
      </c>
      <c r="K1912" t="n">
        <v>0</v>
      </c>
      <c r="L1912" t="n">
        <v>0.728</v>
      </c>
      <c r="M1912" t="n">
        <v>0.272</v>
      </c>
    </row>
    <row r="1913" spans="1:13">
      <c r="A1913" s="1">
        <f>HYPERLINK("http://www.twitter.com/NathanBLawrence/status/986796843467247616", "986796843467247616")</f>
        <v/>
      </c>
      <c r="B1913" s="2" t="n">
        <v>43209.11197916666</v>
      </c>
      <c r="C1913" t="n">
        <v>0</v>
      </c>
      <c r="D1913" t="n">
        <v>1</v>
      </c>
      <c r="E1913" t="s">
        <v>1892</v>
      </c>
      <c r="F1913" t="s"/>
      <c r="G1913" t="s"/>
      <c r="H1913" t="s"/>
      <c r="I1913" t="s"/>
      <c r="J1913" t="n">
        <v>0</v>
      </c>
      <c r="K1913" t="n">
        <v>0</v>
      </c>
      <c r="L1913" t="n">
        <v>1</v>
      </c>
      <c r="M1913" t="n">
        <v>0</v>
      </c>
    </row>
    <row r="1914" spans="1:13">
      <c r="A1914" s="1">
        <f>HYPERLINK("http://www.twitter.com/NathanBLawrence/status/986796758331281413", "986796758331281413")</f>
        <v/>
      </c>
      <c r="B1914" s="2" t="n">
        <v>43209.11174768519</v>
      </c>
      <c r="C1914" t="n">
        <v>0</v>
      </c>
      <c r="D1914" t="n">
        <v>6</v>
      </c>
      <c r="E1914" t="s">
        <v>1893</v>
      </c>
      <c r="F1914" t="s"/>
      <c r="G1914" t="s"/>
      <c r="H1914" t="s"/>
      <c r="I1914" t="s"/>
      <c r="J1914" t="n">
        <v>-0.7702</v>
      </c>
      <c r="K1914" t="n">
        <v>0.268</v>
      </c>
      <c r="L1914" t="n">
        <v>0.732</v>
      </c>
      <c r="M1914" t="n">
        <v>0</v>
      </c>
    </row>
    <row r="1915" spans="1:13">
      <c r="A1915" s="1">
        <f>HYPERLINK("http://www.twitter.com/NathanBLawrence/status/986750340132417537", "986750340132417537")</f>
        <v/>
      </c>
      <c r="B1915" s="2" t="n">
        <v>43208.98365740741</v>
      </c>
      <c r="C1915" t="n">
        <v>0</v>
      </c>
      <c r="D1915" t="n">
        <v>3</v>
      </c>
      <c r="E1915" t="s">
        <v>1894</v>
      </c>
      <c r="F1915" t="s"/>
      <c r="G1915" t="s"/>
      <c r="H1915" t="s"/>
      <c r="I1915" t="s"/>
      <c r="J1915" t="n">
        <v>0</v>
      </c>
      <c r="K1915" t="n">
        <v>0</v>
      </c>
      <c r="L1915" t="n">
        <v>1</v>
      </c>
      <c r="M1915" t="n">
        <v>0</v>
      </c>
    </row>
    <row r="1916" spans="1:13">
      <c r="A1916" s="1">
        <f>HYPERLINK("http://www.twitter.com/NathanBLawrence/status/986750297044324352", "986750297044324352")</f>
        <v/>
      </c>
      <c r="B1916" s="2" t="n">
        <v>43208.98354166667</v>
      </c>
      <c r="C1916" t="n">
        <v>0</v>
      </c>
      <c r="D1916" t="n">
        <v>5</v>
      </c>
      <c r="E1916" t="s">
        <v>1895</v>
      </c>
      <c r="F1916" t="s"/>
      <c r="G1916" t="s"/>
      <c r="H1916" t="s"/>
      <c r="I1916" t="s"/>
      <c r="J1916" t="n">
        <v>-0.2023</v>
      </c>
      <c r="K1916" t="n">
        <v>0.154</v>
      </c>
      <c r="L1916" t="n">
        <v>0.769</v>
      </c>
      <c r="M1916" t="n">
        <v>0.077</v>
      </c>
    </row>
    <row r="1917" spans="1:13">
      <c r="A1917" s="1">
        <f>HYPERLINK("http://www.twitter.com/NathanBLawrence/status/986750118467600384", "986750118467600384")</f>
        <v/>
      </c>
      <c r="B1917" s="2" t="n">
        <v>43208.98304398148</v>
      </c>
      <c r="C1917" t="n">
        <v>0</v>
      </c>
      <c r="D1917" t="n">
        <v>0</v>
      </c>
      <c r="E1917" t="s">
        <v>1896</v>
      </c>
      <c r="F1917" t="s"/>
      <c r="G1917" t="s"/>
      <c r="H1917" t="s"/>
      <c r="I1917" t="s"/>
      <c r="J1917" t="n">
        <v>0.2732</v>
      </c>
      <c r="K1917" t="n">
        <v>0</v>
      </c>
      <c r="L1917" t="n">
        <v>0.769</v>
      </c>
      <c r="M1917" t="n">
        <v>0.231</v>
      </c>
    </row>
    <row r="1918" spans="1:13">
      <c r="A1918" s="1">
        <f>HYPERLINK("http://www.twitter.com/NathanBLawrence/status/986706982936698881", "986706982936698881")</f>
        <v/>
      </c>
      <c r="B1918" s="2" t="n">
        <v>43208.8640162037</v>
      </c>
      <c r="C1918" t="n">
        <v>0</v>
      </c>
      <c r="D1918" t="n">
        <v>3</v>
      </c>
      <c r="E1918" t="s">
        <v>1897</v>
      </c>
      <c r="F1918">
        <f>HYPERLINK("http://pbs.twimg.com/media/DbF7MwUXkAA5_JY.jpg", "http://pbs.twimg.com/media/DbF7MwUXkAA5_JY.jpg")</f>
        <v/>
      </c>
      <c r="G1918" t="s"/>
      <c r="H1918" t="s"/>
      <c r="I1918" t="s"/>
      <c r="J1918" t="n">
        <v>0.3244</v>
      </c>
      <c r="K1918" t="n">
        <v>0</v>
      </c>
      <c r="L1918" t="n">
        <v>0.794</v>
      </c>
      <c r="M1918" t="n">
        <v>0.206</v>
      </c>
    </row>
    <row r="1919" spans="1:13">
      <c r="A1919" s="1">
        <f>HYPERLINK("http://www.twitter.com/NathanBLawrence/status/986706961487065095", "986706961487065095")</f>
        <v/>
      </c>
      <c r="B1919" s="2" t="n">
        <v>43208.86395833334</v>
      </c>
      <c r="C1919" t="n">
        <v>0</v>
      </c>
      <c r="D1919" t="n">
        <v>3</v>
      </c>
      <c r="E1919" t="s">
        <v>1898</v>
      </c>
      <c r="F1919">
        <f>HYPERLINK("http://pbs.twimg.com/media/DbF7vAsXUAYNcT5.jpg", "http://pbs.twimg.com/media/DbF7vAsXUAYNcT5.jpg")</f>
        <v/>
      </c>
      <c r="G1919" t="s"/>
      <c r="H1919" t="s"/>
      <c r="I1919" t="s"/>
      <c r="J1919" t="n">
        <v>0.3612</v>
      </c>
      <c r="K1919" t="n">
        <v>0</v>
      </c>
      <c r="L1919" t="n">
        <v>0.878</v>
      </c>
      <c r="M1919" t="n">
        <v>0.122</v>
      </c>
    </row>
    <row r="1920" spans="1:13">
      <c r="A1920" s="1">
        <f>HYPERLINK("http://www.twitter.com/NathanBLawrence/status/986706878720872453", "986706878720872453")</f>
        <v/>
      </c>
      <c r="B1920" s="2" t="n">
        <v>43208.86372685185</v>
      </c>
      <c r="C1920" t="n">
        <v>0</v>
      </c>
      <c r="D1920" t="n">
        <v>4</v>
      </c>
      <c r="E1920" t="s">
        <v>1899</v>
      </c>
      <c r="F1920" t="s"/>
      <c r="G1920" t="s"/>
      <c r="H1920" t="s"/>
      <c r="I1920" t="s"/>
      <c r="J1920" t="n">
        <v>0.5562</v>
      </c>
      <c r="K1920" t="n">
        <v>0</v>
      </c>
      <c r="L1920" t="n">
        <v>0.8070000000000001</v>
      </c>
      <c r="M1920" t="n">
        <v>0.193</v>
      </c>
    </row>
    <row r="1921" spans="1:13">
      <c r="A1921" s="1">
        <f>HYPERLINK("http://www.twitter.com/NathanBLawrence/status/986706831061016576", "986706831061016576")</f>
        <v/>
      </c>
      <c r="B1921" s="2" t="n">
        <v>43208.86359953704</v>
      </c>
      <c r="C1921" t="n">
        <v>0</v>
      </c>
      <c r="D1921" t="n">
        <v>40</v>
      </c>
      <c r="E1921" t="s">
        <v>1900</v>
      </c>
      <c r="F1921">
        <f>HYPERLINK("http://pbs.twimg.com/media/DbFwgMsUMAAdOQ2.jpg", "http://pbs.twimg.com/media/DbFwgMsUMAAdOQ2.jpg")</f>
        <v/>
      </c>
      <c r="G1921">
        <f>HYPERLINK("http://pbs.twimg.com/media/DbFwgMtV4AAeuu2.jpg", "http://pbs.twimg.com/media/DbFwgMtV4AAeuu2.jpg")</f>
        <v/>
      </c>
      <c r="H1921">
        <f>HYPERLINK("http://pbs.twimg.com/media/DbFwgMsVMAA_lUT.jpg", "http://pbs.twimg.com/media/DbFwgMsVMAA_lUT.jpg")</f>
        <v/>
      </c>
      <c r="I1921">
        <f>HYPERLINK("http://pbs.twimg.com/media/DbFwgMsVAAA_q4L.jpg", "http://pbs.twimg.com/media/DbFwgMsVAAA_q4L.jpg")</f>
        <v/>
      </c>
      <c r="J1921" t="n">
        <v>0.6249</v>
      </c>
      <c r="K1921" t="n">
        <v>0</v>
      </c>
      <c r="L1921" t="n">
        <v>0.837</v>
      </c>
      <c r="M1921" t="n">
        <v>0.163</v>
      </c>
    </row>
    <row r="1922" spans="1:13">
      <c r="A1922" s="1">
        <f>HYPERLINK("http://www.twitter.com/NathanBLawrence/status/986706791005343747", "986706791005343747")</f>
        <v/>
      </c>
      <c r="B1922" s="2" t="n">
        <v>43208.8634837963</v>
      </c>
      <c r="C1922" t="n">
        <v>0</v>
      </c>
      <c r="D1922" t="n">
        <v>48</v>
      </c>
      <c r="E1922" t="s">
        <v>1901</v>
      </c>
      <c r="F1922">
        <f>HYPERLINK("http://pbs.twimg.com/media/DbF4wD3WAAUaO-r.jpg", "http://pbs.twimg.com/media/DbF4wD3WAAUaO-r.jpg")</f>
        <v/>
      </c>
      <c r="G1922" t="s"/>
      <c r="H1922" t="s"/>
      <c r="I1922" t="s"/>
      <c r="J1922" t="n">
        <v>0.7739</v>
      </c>
      <c r="K1922" t="n">
        <v>0</v>
      </c>
      <c r="L1922" t="n">
        <v>0.704</v>
      </c>
      <c r="M1922" t="n">
        <v>0.296</v>
      </c>
    </row>
    <row r="1923" spans="1:13">
      <c r="A1923" s="1">
        <f>HYPERLINK("http://www.twitter.com/NathanBLawrence/status/986702974415142913", "986702974415142913")</f>
        <v/>
      </c>
      <c r="B1923" s="2" t="n">
        <v>43208.85295138889</v>
      </c>
      <c r="C1923" t="n">
        <v>0</v>
      </c>
      <c r="D1923" t="n">
        <v>9</v>
      </c>
      <c r="E1923" t="s">
        <v>1902</v>
      </c>
      <c r="F1923" t="s"/>
      <c r="G1923" t="s"/>
      <c r="H1923" t="s"/>
      <c r="I1923" t="s"/>
      <c r="J1923" t="n">
        <v>0.3595</v>
      </c>
      <c r="K1923" t="n">
        <v>0</v>
      </c>
      <c r="L1923" t="n">
        <v>0.868</v>
      </c>
      <c r="M1923" t="n">
        <v>0.132</v>
      </c>
    </row>
    <row r="1924" spans="1:13">
      <c r="A1924" s="1">
        <f>HYPERLINK("http://www.twitter.com/NathanBLawrence/status/986702844735754240", "986702844735754240")</f>
        <v/>
      </c>
      <c r="B1924" s="2" t="n">
        <v>43208.85259259259</v>
      </c>
      <c r="C1924" t="n">
        <v>0</v>
      </c>
      <c r="D1924" t="n">
        <v>7</v>
      </c>
      <c r="E1924" t="s">
        <v>1903</v>
      </c>
      <c r="F1924" t="s"/>
      <c r="G1924" t="s"/>
      <c r="H1924" t="s"/>
      <c r="I1924" t="s"/>
      <c r="J1924" t="n">
        <v>0</v>
      </c>
      <c r="K1924" t="n">
        <v>0</v>
      </c>
      <c r="L1924" t="n">
        <v>1</v>
      </c>
      <c r="M1924" t="n">
        <v>0</v>
      </c>
    </row>
    <row r="1925" spans="1:13">
      <c r="A1925" s="1">
        <f>HYPERLINK("http://www.twitter.com/NathanBLawrence/status/986702805384749057", "986702805384749057")</f>
        <v/>
      </c>
      <c r="B1925" s="2" t="n">
        <v>43208.85248842592</v>
      </c>
      <c r="C1925" t="n">
        <v>0</v>
      </c>
      <c r="D1925" t="n">
        <v>17</v>
      </c>
      <c r="E1925" t="s">
        <v>1904</v>
      </c>
      <c r="F1925">
        <f>HYPERLINK("https://video.twimg.com/ext_tw_video/986235469112532992/pu/vid/720x1280/giqgUq3TyLXG_aCA.mp4?tag=2", "https://video.twimg.com/ext_tw_video/986235469112532992/pu/vid/720x1280/giqgUq3TyLXG_aCA.mp4?tag=2")</f>
        <v/>
      </c>
      <c r="G1925" t="s"/>
      <c r="H1925" t="s"/>
      <c r="I1925" t="s"/>
      <c r="J1925" t="n">
        <v>-0.3818</v>
      </c>
      <c r="K1925" t="n">
        <v>0.133</v>
      </c>
      <c r="L1925" t="n">
        <v>0.867</v>
      </c>
      <c r="M1925" t="n">
        <v>0</v>
      </c>
    </row>
    <row r="1926" spans="1:13">
      <c r="A1926" s="1">
        <f>HYPERLINK("http://www.twitter.com/NathanBLawrence/status/986632077612339200", "986632077612339200")</f>
        <v/>
      </c>
      <c r="B1926" s="2" t="n">
        <v>43208.65731481482</v>
      </c>
      <c r="C1926" t="n">
        <v>0</v>
      </c>
      <c r="D1926" t="n">
        <v>195</v>
      </c>
      <c r="E1926" t="s">
        <v>1905</v>
      </c>
      <c r="F1926" t="s"/>
      <c r="G1926" t="s"/>
      <c r="H1926" t="s"/>
      <c r="I1926" t="s"/>
      <c r="J1926" t="n">
        <v>-0.7269</v>
      </c>
      <c r="K1926" t="n">
        <v>0.289</v>
      </c>
      <c r="L1926" t="n">
        <v>0.711</v>
      </c>
      <c r="M1926" t="n">
        <v>0</v>
      </c>
    </row>
    <row r="1927" spans="1:13">
      <c r="A1927" s="1">
        <f>HYPERLINK("http://www.twitter.com/NathanBLawrence/status/986632055680356353", "986632055680356353")</f>
        <v/>
      </c>
      <c r="B1927" s="2" t="n">
        <v>43208.65725694445</v>
      </c>
      <c r="C1927" t="n">
        <v>0</v>
      </c>
      <c r="D1927" t="n">
        <v>14</v>
      </c>
      <c r="E1927" t="s">
        <v>1906</v>
      </c>
      <c r="F1927" t="s"/>
      <c r="G1927" t="s"/>
      <c r="H1927" t="s"/>
      <c r="I1927" t="s"/>
      <c r="J1927" t="n">
        <v>0.5266999999999999</v>
      </c>
      <c r="K1927" t="n">
        <v>0</v>
      </c>
      <c r="L1927" t="n">
        <v>0.861</v>
      </c>
      <c r="M1927" t="n">
        <v>0.139</v>
      </c>
    </row>
    <row r="1928" spans="1:13">
      <c r="A1928" s="1">
        <f>HYPERLINK("http://www.twitter.com/NathanBLawrence/status/986632017558241280", "986632017558241280")</f>
        <v/>
      </c>
      <c r="B1928" s="2" t="n">
        <v>43208.65715277778</v>
      </c>
      <c r="C1928" t="n">
        <v>0</v>
      </c>
      <c r="D1928" t="n">
        <v>18</v>
      </c>
      <c r="E1928" t="s">
        <v>1907</v>
      </c>
      <c r="F1928" t="s"/>
      <c r="G1928" t="s"/>
      <c r="H1928" t="s"/>
      <c r="I1928" t="s"/>
      <c r="J1928" t="n">
        <v>0.4576</v>
      </c>
      <c r="K1928" t="n">
        <v>0</v>
      </c>
      <c r="L1928" t="n">
        <v>0.87</v>
      </c>
      <c r="M1928" t="n">
        <v>0.13</v>
      </c>
    </row>
    <row r="1929" spans="1:13">
      <c r="A1929" s="1">
        <f>HYPERLINK("http://www.twitter.com/NathanBLawrence/status/986631959630766080", "986631959630766080")</f>
        <v/>
      </c>
      <c r="B1929" s="2" t="n">
        <v>43208.65699074074</v>
      </c>
      <c r="C1929" t="n">
        <v>0</v>
      </c>
      <c r="D1929" t="n">
        <v>623</v>
      </c>
      <c r="E1929" t="s">
        <v>1908</v>
      </c>
      <c r="F1929" t="s"/>
      <c r="G1929" t="s"/>
      <c r="H1929" t="s"/>
      <c r="I1929" t="s"/>
      <c r="J1929" t="n">
        <v>-0.471</v>
      </c>
      <c r="K1929" t="n">
        <v>0.122</v>
      </c>
      <c r="L1929" t="n">
        <v>0.831</v>
      </c>
      <c r="M1929" t="n">
        <v>0.047</v>
      </c>
    </row>
    <row r="1930" spans="1:13">
      <c r="A1930" s="1">
        <f>HYPERLINK("http://www.twitter.com/NathanBLawrence/status/986631933974151172", "986631933974151172")</f>
        <v/>
      </c>
      <c r="B1930" s="2" t="n">
        <v>43208.65692129629</v>
      </c>
      <c r="C1930" t="n">
        <v>0</v>
      </c>
      <c r="D1930" t="n">
        <v>1444</v>
      </c>
      <c r="E1930" t="s">
        <v>1909</v>
      </c>
      <c r="F1930">
        <f>HYPERLINK("http://pbs.twimg.com/media/DbE30NIVQAAKeAg.jpg", "http://pbs.twimg.com/media/DbE30NIVQAAKeAg.jpg")</f>
        <v/>
      </c>
      <c r="G1930">
        <f>HYPERLINK("http://pbs.twimg.com/media/DbE31uiVMAAXX-s.jpg", "http://pbs.twimg.com/media/DbE31uiVMAAXX-s.jpg")</f>
        <v/>
      </c>
      <c r="H1930">
        <f>HYPERLINK("http://pbs.twimg.com/media/DbE33FtU0AIOCoR.jpg", "http://pbs.twimg.com/media/DbE33FtU0AIOCoR.jpg")</f>
        <v/>
      </c>
      <c r="I1930">
        <f>HYPERLINK("http://pbs.twimg.com/media/DbE34vJUwAAs0_8.jpg", "http://pbs.twimg.com/media/DbE34vJUwAAs0_8.jpg")</f>
        <v/>
      </c>
      <c r="J1930" t="n">
        <v>0</v>
      </c>
      <c r="K1930" t="n">
        <v>0</v>
      </c>
      <c r="L1930" t="n">
        <v>1</v>
      </c>
      <c r="M1930" t="n">
        <v>0</v>
      </c>
    </row>
    <row r="1931" spans="1:13">
      <c r="A1931" s="1">
        <f>HYPERLINK("http://www.twitter.com/NathanBLawrence/status/986631889665523718", "986631889665523718")</f>
        <v/>
      </c>
      <c r="B1931" s="2" t="n">
        <v>43208.65679398148</v>
      </c>
      <c r="C1931" t="n">
        <v>0</v>
      </c>
      <c r="D1931" t="n">
        <v>0</v>
      </c>
      <c r="E1931" t="s">
        <v>1910</v>
      </c>
      <c r="F1931" t="s"/>
      <c r="G1931" t="s"/>
      <c r="H1931" t="s"/>
      <c r="I1931" t="s"/>
      <c r="J1931" t="n">
        <v>-0.4404</v>
      </c>
      <c r="K1931" t="n">
        <v>0.42</v>
      </c>
      <c r="L1931" t="n">
        <v>0.58</v>
      </c>
      <c r="M1931" t="n">
        <v>0</v>
      </c>
    </row>
    <row r="1932" spans="1:13">
      <c r="A1932" s="1">
        <f>HYPERLINK("http://www.twitter.com/NathanBLawrence/status/986631852403363841", "986631852403363841")</f>
        <v/>
      </c>
      <c r="B1932" s="2" t="n">
        <v>43208.65670138889</v>
      </c>
      <c r="C1932" t="n">
        <v>0</v>
      </c>
      <c r="D1932" t="n">
        <v>1902</v>
      </c>
      <c r="E1932" t="s">
        <v>1911</v>
      </c>
      <c r="F1932" t="s"/>
      <c r="G1932" t="s"/>
      <c r="H1932" t="s"/>
      <c r="I1932" t="s"/>
      <c r="J1932" t="n">
        <v>-0.4404</v>
      </c>
      <c r="K1932" t="n">
        <v>0.121</v>
      </c>
      <c r="L1932" t="n">
        <v>0.879</v>
      </c>
      <c r="M1932" t="n">
        <v>0</v>
      </c>
    </row>
    <row r="1933" spans="1:13">
      <c r="A1933" s="1">
        <f>HYPERLINK("http://www.twitter.com/NathanBLawrence/status/986631800498900998", "986631800498900998")</f>
        <v/>
      </c>
      <c r="B1933" s="2" t="n">
        <v>43208.65655092592</v>
      </c>
      <c r="C1933" t="n">
        <v>0</v>
      </c>
      <c r="D1933" t="n">
        <v>112</v>
      </c>
      <c r="E1933" t="s">
        <v>1912</v>
      </c>
      <c r="F1933" t="s"/>
      <c r="G1933" t="s"/>
      <c r="H1933" t="s"/>
      <c r="I1933" t="s"/>
      <c r="J1933" t="n">
        <v>0</v>
      </c>
      <c r="K1933" t="n">
        <v>0</v>
      </c>
      <c r="L1933" t="n">
        <v>1</v>
      </c>
      <c r="M1933" t="n">
        <v>0</v>
      </c>
    </row>
    <row r="1934" spans="1:13">
      <c r="A1934" s="1">
        <f>HYPERLINK("http://www.twitter.com/NathanBLawrence/status/986631787022610432", "986631787022610432")</f>
        <v/>
      </c>
      <c r="B1934" s="2" t="n">
        <v>43208.6565162037</v>
      </c>
      <c r="C1934" t="n">
        <v>0</v>
      </c>
      <c r="D1934" t="n">
        <v>1227</v>
      </c>
      <c r="E1934" t="s">
        <v>1913</v>
      </c>
      <c r="F1934" t="s"/>
      <c r="G1934" t="s"/>
      <c r="H1934" t="s"/>
      <c r="I1934" t="s"/>
      <c r="J1934" t="n">
        <v>-0.7184</v>
      </c>
      <c r="K1934" t="n">
        <v>0.292</v>
      </c>
      <c r="L1934" t="n">
        <v>0.625</v>
      </c>
      <c r="M1934" t="n">
        <v>0.083</v>
      </c>
    </row>
    <row r="1935" spans="1:13">
      <c r="A1935" s="1">
        <f>HYPERLINK("http://www.twitter.com/NathanBLawrence/status/986631758379614209", "986631758379614209")</f>
        <v/>
      </c>
      <c r="B1935" s="2" t="n">
        <v>43208.65643518518</v>
      </c>
      <c r="C1935" t="n">
        <v>0</v>
      </c>
      <c r="D1935" t="n">
        <v>2862</v>
      </c>
      <c r="E1935" t="s">
        <v>1914</v>
      </c>
      <c r="F1935" t="s"/>
      <c r="G1935" t="s"/>
      <c r="H1935" t="s"/>
      <c r="I1935" t="s"/>
      <c r="J1935" t="n">
        <v>0</v>
      </c>
      <c r="K1935" t="n">
        <v>0</v>
      </c>
      <c r="L1935" t="n">
        <v>1</v>
      </c>
      <c r="M1935" t="n">
        <v>0</v>
      </c>
    </row>
    <row r="1936" spans="1:13">
      <c r="A1936" s="1">
        <f>HYPERLINK("http://www.twitter.com/NathanBLawrence/status/986631735344619521", "986631735344619521")</f>
        <v/>
      </c>
      <c r="B1936" s="2" t="n">
        <v>43208.65637731482</v>
      </c>
      <c r="C1936" t="n">
        <v>0</v>
      </c>
      <c r="D1936" t="n">
        <v>7</v>
      </c>
      <c r="E1936" t="s">
        <v>1915</v>
      </c>
      <c r="F1936" t="s"/>
      <c r="G1936" t="s"/>
      <c r="H1936" t="s"/>
      <c r="I1936" t="s"/>
      <c r="J1936" t="n">
        <v>-0.4019</v>
      </c>
      <c r="K1936" t="n">
        <v>0.101</v>
      </c>
      <c r="L1936" t="n">
        <v>0.899</v>
      </c>
      <c r="M1936" t="n">
        <v>0</v>
      </c>
    </row>
    <row r="1937" spans="1:13">
      <c r="A1937" s="1">
        <f>HYPERLINK("http://www.twitter.com/NathanBLawrence/status/986631715413286912", "986631715413286912")</f>
        <v/>
      </c>
      <c r="B1937" s="2" t="n">
        <v>43208.65631944445</v>
      </c>
      <c r="C1937" t="n">
        <v>0</v>
      </c>
      <c r="D1937" t="n">
        <v>4</v>
      </c>
      <c r="E1937" t="s">
        <v>1916</v>
      </c>
      <c r="F1937" t="s"/>
      <c r="G1937" t="s"/>
      <c r="H1937" t="s"/>
      <c r="I1937" t="s"/>
      <c r="J1937" t="n">
        <v>0.3182</v>
      </c>
      <c r="K1937" t="n">
        <v>0</v>
      </c>
      <c r="L1937" t="n">
        <v>0.723</v>
      </c>
      <c r="M1937" t="n">
        <v>0.277</v>
      </c>
    </row>
    <row r="1938" spans="1:13">
      <c r="A1938" s="1">
        <f>HYPERLINK("http://www.twitter.com/NathanBLawrence/status/986631688385122304", "986631688385122304")</f>
        <v/>
      </c>
      <c r="B1938" s="2" t="n">
        <v>43208.65623842592</v>
      </c>
      <c r="C1938" t="n">
        <v>0</v>
      </c>
      <c r="D1938" t="n">
        <v>3020</v>
      </c>
      <c r="E1938" t="s">
        <v>1917</v>
      </c>
      <c r="F1938" t="s"/>
      <c r="G1938" t="s"/>
      <c r="H1938" t="s"/>
      <c r="I1938" t="s"/>
      <c r="J1938" t="n">
        <v>-0.8591</v>
      </c>
      <c r="K1938" t="n">
        <v>0.418</v>
      </c>
      <c r="L1938" t="n">
        <v>0.582</v>
      </c>
      <c r="M1938" t="n">
        <v>0</v>
      </c>
    </row>
    <row r="1939" spans="1:13">
      <c r="A1939" s="1">
        <f>HYPERLINK("http://www.twitter.com/NathanBLawrence/status/986631640477728769", "986631640477728769")</f>
        <v/>
      </c>
      <c r="B1939" s="2" t="n">
        <v>43208.65611111111</v>
      </c>
      <c r="C1939" t="n">
        <v>0</v>
      </c>
      <c r="D1939" t="n">
        <v>28851</v>
      </c>
      <c r="E1939" t="s">
        <v>1918</v>
      </c>
      <c r="F1939" t="s"/>
      <c r="G1939" t="s"/>
      <c r="H1939" t="s"/>
      <c r="I1939" t="s"/>
      <c r="J1939" t="n">
        <v>-0.7248</v>
      </c>
      <c r="K1939" t="n">
        <v>0.248</v>
      </c>
      <c r="L1939" t="n">
        <v>0.701</v>
      </c>
      <c r="M1939" t="n">
        <v>0.051</v>
      </c>
    </row>
    <row r="1940" spans="1:13">
      <c r="A1940" s="1">
        <f>HYPERLINK("http://www.twitter.com/NathanBLawrence/status/986631626179465216", "986631626179465216")</f>
        <v/>
      </c>
      <c r="B1940" s="2" t="n">
        <v>43208.65607638889</v>
      </c>
      <c r="C1940" t="n">
        <v>0</v>
      </c>
      <c r="D1940" t="n">
        <v>7</v>
      </c>
      <c r="E1940" t="s">
        <v>1919</v>
      </c>
      <c r="F1940" t="s"/>
      <c r="G1940" t="s"/>
      <c r="H1940" t="s"/>
      <c r="I1940" t="s"/>
      <c r="J1940" t="n">
        <v>0</v>
      </c>
      <c r="K1940" t="n">
        <v>0</v>
      </c>
      <c r="L1940" t="n">
        <v>1</v>
      </c>
      <c r="M1940" t="n">
        <v>0</v>
      </c>
    </row>
    <row r="1941" spans="1:13">
      <c r="A1941" s="1">
        <f>HYPERLINK("http://www.twitter.com/NathanBLawrence/status/986631580532781056", "986631580532781056")</f>
        <v/>
      </c>
      <c r="B1941" s="2" t="n">
        <v>43208.65594907408</v>
      </c>
      <c r="C1941" t="n">
        <v>0</v>
      </c>
      <c r="D1941" t="n">
        <v>2</v>
      </c>
      <c r="E1941" t="s">
        <v>1920</v>
      </c>
      <c r="F1941" t="s"/>
      <c r="G1941" t="s"/>
      <c r="H1941" t="s"/>
      <c r="I1941" t="s"/>
      <c r="J1941" t="n">
        <v>0.7506</v>
      </c>
      <c r="K1941" t="n">
        <v>0</v>
      </c>
      <c r="L1941" t="n">
        <v>0.778</v>
      </c>
      <c r="M1941" t="n">
        <v>0.222</v>
      </c>
    </row>
    <row r="1942" spans="1:13">
      <c r="A1942" s="1">
        <f>HYPERLINK("http://www.twitter.com/NathanBLawrence/status/986631283194417152", "986631283194417152")</f>
        <v/>
      </c>
      <c r="B1942" s="2" t="n">
        <v>43208.65512731481</v>
      </c>
      <c r="C1942" t="n">
        <v>0</v>
      </c>
      <c r="D1942" t="n">
        <v>3</v>
      </c>
      <c r="E1942" t="s">
        <v>1921</v>
      </c>
      <c r="F1942" t="s"/>
      <c r="G1942" t="s"/>
      <c r="H1942" t="s"/>
      <c r="I1942" t="s"/>
      <c r="J1942" t="n">
        <v>0</v>
      </c>
      <c r="K1942" t="n">
        <v>0</v>
      </c>
      <c r="L1942" t="n">
        <v>1</v>
      </c>
      <c r="M1942" t="n">
        <v>0</v>
      </c>
    </row>
    <row r="1943" spans="1:13">
      <c r="A1943" s="1">
        <f>HYPERLINK("http://www.twitter.com/NathanBLawrence/status/986631254383742976", "986631254383742976")</f>
        <v/>
      </c>
      <c r="B1943" s="2" t="n">
        <v>43208.6550462963</v>
      </c>
      <c r="C1943" t="n">
        <v>0</v>
      </c>
      <c r="D1943" t="n">
        <v>3</v>
      </c>
      <c r="E1943" t="s">
        <v>1921</v>
      </c>
      <c r="F1943" t="s"/>
      <c r="G1943" t="s"/>
      <c r="H1943" t="s"/>
      <c r="I1943" t="s"/>
      <c r="J1943" t="n">
        <v>0</v>
      </c>
      <c r="K1943" t="n">
        <v>0</v>
      </c>
      <c r="L1943" t="n">
        <v>1</v>
      </c>
      <c r="M1943" t="n">
        <v>0</v>
      </c>
    </row>
    <row r="1944" spans="1:13">
      <c r="A1944" s="1">
        <f>HYPERLINK("http://www.twitter.com/NathanBLawrence/status/986631088536739841", "986631088536739841")</f>
        <v/>
      </c>
      <c r="B1944" s="2" t="n">
        <v>43208.65458333334</v>
      </c>
      <c r="C1944" t="n">
        <v>0</v>
      </c>
      <c r="D1944" t="n">
        <v>7</v>
      </c>
      <c r="E1944" t="s">
        <v>1922</v>
      </c>
      <c r="F1944" t="s"/>
      <c r="G1944" t="s"/>
      <c r="H1944" t="s"/>
      <c r="I1944" t="s"/>
      <c r="J1944" t="n">
        <v>-0.4939</v>
      </c>
      <c r="K1944" t="n">
        <v>0.158</v>
      </c>
      <c r="L1944" t="n">
        <v>0.842</v>
      </c>
      <c r="M1944" t="n">
        <v>0</v>
      </c>
    </row>
    <row r="1945" spans="1:13">
      <c r="A1945" s="1">
        <f>HYPERLINK("http://www.twitter.com/NathanBLawrence/status/986630838602387456", "986630838602387456")</f>
        <v/>
      </c>
      <c r="B1945" s="2" t="n">
        <v>43208.65390046296</v>
      </c>
      <c r="C1945" t="n">
        <v>0</v>
      </c>
      <c r="D1945" t="n">
        <v>0</v>
      </c>
      <c r="E1945" t="s">
        <v>1923</v>
      </c>
      <c r="F1945" t="s"/>
      <c r="G1945" t="s"/>
      <c r="H1945" t="s"/>
      <c r="I1945" t="s"/>
      <c r="J1945" t="n">
        <v>0</v>
      </c>
      <c r="K1945" t="n">
        <v>0</v>
      </c>
      <c r="L1945" t="n">
        <v>1</v>
      </c>
      <c r="M1945" t="n">
        <v>0</v>
      </c>
    </row>
    <row r="1946" spans="1:13">
      <c r="A1946" s="1">
        <f>HYPERLINK("http://www.twitter.com/NathanBLawrence/status/986630779135553536", "986630779135553536")</f>
        <v/>
      </c>
      <c r="B1946" s="2" t="n">
        <v>43208.65373842593</v>
      </c>
      <c r="C1946" t="n">
        <v>0</v>
      </c>
      <c r="D1946" t="n">
        <v>3</v>
      </c>
      <c r="E1946" t="s">
        <v>1924</v>
      </c>
      <c r="F1946" t="s"/>
      <c r="G1946" t="s"/>
      <c r="H1946" t="s"/>
      <c r="I1946" t="s"/>
      <c r="J1946" t="n">
        <v>-0.1779</v>
      </c>
      <c r="K1946" t="n">
        <v>0.147</v>
      </c>
      <c r="L1946" t="n">
        <v>0.736</v>
      </c>
      <c r="M1946" t="n">
        <v>0.117</v>
      </c>
    </row>
    <row r="1947" spans="1:13">
      <c r="A1947" s="1">
        <f>HYPERLINK("http://www.twitter.com/NathanBLawrence/status/986630755794251776", "986630755794251776")</f>
        <v/>
      </c>
      <c r="B1947" s="2" t="n">
        <v>43208.65366898148</v>
      </c>
      <c r="C1947" t="n">
        <v>0</v>
      </c>
      <c r="D1947" t="n">
        <v>8</v>
      </c>
      <c r="E1947" t="s">
        <v>1925</v>
      </c>
      <c r="F1947">
        <f>HYPERLINK("http://pbs.twimg.com/media/DbEsjZnW4AABVeh.jpg", "http://pbs.twimg.com/media/DbEsjZnW4AABVeh.jpg")</f>
        <v/>
      </c>
      <c r="G1947" t="s"/>
      <c r="H1947" t="s"/>
      <c r="I1947" t="s"/>
      <c r="J1947" t="n">
        <v>0</v>
      </c>
      <c r="K1947" t="n">
        <v>0</v>
      </c>
      <c r="L1947" t="n">
        <v>1</v>
      </c>
      <c r="M1947" t="n">
        <v>0</v>
      </c>
    </row>
    <row r="1948" spans="1:13">
      <c r="A1948" s="1">
        <f>HYPERLINK("http://www.twitter.com/NathanBLawrence/status/986630626391592961", "986630626391592961")</f>
        <v/>
      </c>
      <c r="B1948" s="2" t="n">
        <v>43208.65331018518</v>
      </c>
      <c r="C1948" t="n">
        <v>0</v>
      </c>
      <c r="D1948" t="n">
        <v>7</v>
      </c>
      <c r="E1948" t="s">
        <v>1926</v>
      </c>
      <c r="F1948" t="s"/>
      <c r="G1948" t="s"/>
      <c r="H1948" t="s"/>
      <c r="I1948" t="s"/>
      <c r="J1948" t="n">
        <v>0.7657</v>
      </c>
      <c r="K1948" t="n">
        <v>0.046</v>
      </c>
      <c r="L1948" t="n">
        <v>0.673</v>
      </c>
      <c r="M1948" t="n">
        <v>0.28</v>
      </c>
    </row>
    <row r="1949" spans="1:13">
      <c r="A1949" s="1">
        <f>HYPERLINK("http://www.twitter.com/NathanBLawrence/status/986630577892810752", "986630577892810752")</f>
        <v/>
      </c>
      <c r="B1949" s="2" t="n">
        <v>43208.65318287037</v>
      </c>
      <c r="C1949" t="n">
        <v>0</v>
      </c>
      <c r="D1949" t="n">
        <v>6</v>
      </c>
      <c r="E1949" t="s">
        <v>1927</v>
      </c>
      <c r="F1949">
        <f>HYPERLINK("http://pbs.twimg.com/media/DbEuxM3X0AA8ZLK.jpg", "http://pbs.twimg.com/media/DbEuxM3X0AA8ZLK.jpg")</f>
        <v/>
      </c>
      <c r="G1949" t="s"/>
      <c r="H1949" t="s"/>
      <c r="I1949" t="s"/>
      <c r="J1949" t="n">
        <v>0</v>
      </c>
      <c r="K1949" t="n">
        <v>0</v>
      </c>
      <c r="L1949" t="n">
        <v>1</v>
      </c>
      <c r="M1949" t="n">
        <v>0</v>
      </c>
    </row>
    <row r="1950" spans="1:13">
      <c r="A1950" s="1">
        <f>HYPERLINK("http://www.twitter.com/NathanBLawrence/status/986630215215583232", "986630215215583232")</f>
        <v/>
      </c>
      <c r="B1950" s="2" t="n">
        <v>43208.65217592593</v>
      </c>
      <c r="C1950" t="n">
        <v>0</v>
      </c>
      <c r="D1950" t="n">
        <v>7</v>
      </c>
      <c r="E1950" t="s">
        <v>1928</v>
      </c>
      <c r="F1950" t="s"/>
      <c r="G1950" t="s"/>
      <c r="H1950" t="s"/>
      <c r="I1950" t="s"/>
      <c r="J1950" t="n">
        <v>0</v>
      </c>
      <c r="K1950" t="n">
        <v>0</v>
      </c>
      <c r="L1950" t="n">
        <v>1</v>
      </c>
      <c r="M1950" t="n">
        <v>0</v>
      </c>
    </row>
    <row r="1951" spans="1:13">
      <c r="A1951" s="1">
        <f>HYPERLINK("http://www.twitter.com/NathanBLawrence/status/986630176510529537", "986630176510529537")</f>
        <v/>
      </c>
      <c r="B1951" s="2" t="n">
        <v>43208.65207175926</v>
      </c>
      <c r="C1951" t="n">
        <v>0</v>
      </c>
      <c r="D1951" t="n">
        <v>0</v>
      </c>
      <c r="E1951" t="s">
        <v>1929</v>
      </c>
      <c r="F1951" t="s"/>
      <c r="G1951" t="s"/>
      <c r="H1951" t="s"/>
      <c r="I1951" t="s"/>
      <c r="J1951" t="n">
        <v>0.4215</v>
      </c>
      <c r="K1951" t="n">
        <v>0</v>
      </c>
      <c r="L1951" t="n">
        <v>0.6820000000000001</v>
      </c>
      <c r="M1951" t="n">
        <v>0.318</v>
      </c>
    </row>
    <row r="1952" spans="1:13">
      <c r="A1952" s="1">
        <f>HYPERLINK("http://www.twitter.com/NathanBLawrence/status/986630146282180609", "986630146282180609")</f>
        <v/>
      </c>
      <c r="B1952" s="2" t="n">
        <v>43208.65199074074</v>
      </c>
      <c r="C1952" t="n">
        <v>0</v>
      </c>
      <c r="D1952" t="n">
        <v>15</v>
      </c>
      <c r="E1952" t="s">
        <v>1930</v>
      </c>
      <c r="F1952" t="s"/>
      <c r="G1952" t="s"/>
      <c r="H1952" t="s"/>
      <c r="I1952" t="s"/>
      <c r="J1952" t="n">
        <v>0.3054</v>
      </c>
      <c r="K1952" t="n">
        <v>0</v>
      </c>
      <c r="L1952" t="n">
        <v>0.899</v>
      </c>
      <c r="M1952" t="n">
        <v>0.101</v>
      </c>
    </row>
    <row r="1953" spans="1:13">
      <c r="A1953" s="1">
        <f>HYPERLINK("http://www.twitter.com/NathanBLawrence/status/986630125029609472", "986630125029609472")</f>
        <v/>
      </c>
      <c r="B1953" s="2" t="n">
        <v>43208.65193287037</v>
      </c>
      <c r="C1953" t="n">
        <v>0</v>
      </c>
      <c r="D1953" t="n">
        <v>4</v>
      </c>
      <c r="E1953" t="s">
        <v>1931</v>
      </c>
      <c r="F1953" t="s"/>
      <c r="G1953" t="s"/>
      <c r="H1953" t="s"/>
      <c r="I1953" t="s"/>
      <c r="J1953" t="n">
        <v>0.6705</v>
      </c>
      <c r="K1953" t="n">
        <v>0</v>
      </c>
      <c r="L1953" t="n">
        <v>0.645</v>
      </c>
      <c r="M1953" t="n">
        <v>0.355</v>
      </c>
    </row>
    <row r="1954" spans="1:13">
      <c r="A1954" s="1">
        <f>HYPERLINK("http://www.twitter.com/NathanBLawrence/status/986630100501389313", "986630100501389313")</f>
        <v/>
      </c>
      <c r="B1954" s="2" t="n">
        <v>43208.65186342593</v>
      </c>
      <c r="C1954" t="n">
        <v>0</v>
      </c>
      <c r="D1954" t="n">
        <v>2</v>
      </c>
      <c r="E1954" t="s">
        <v>1932</v>
      </c>
      <c r="F1954" t="s"/>
      <c r="G1954" t="s"/>
      <c r="H1954" t="s"/>
      <c r="I1954" t="s"/>
      <c r="J1954" t="n">
        <v>-0.8070000000000001</v>
      </c>
      <c r="K1954" t="n">
        <v>0.304</v>
      </c>
      <c r="L1954" t="n">
        <v>0.696</v>
      </c>
      <c r="M1954" t="n">
        <v>0</v>
      </c>
    </row>
    <row r="1955" spans="1:13">
      <c r="A1955" s="1">
        <f>HYPERLINK("http://www.twitter.com/NathanBLawrence/status/986630082126057472", "986630082126057472")</f>
        <v/>
      </c>
      <c r="B1955" s="2" t="n">
        <v>43208.65180555556</v>
      </c>
      <c r="C1955" t="n">
        <v>0</v>
      </c>
      <c r="D1955" t="n">
        <v>1</v>
      </c>
      <c r="E1955" t="s">
        <v>1933</v>
      </c>
      <c r="F1955" t="s"/>
      <c r="G1955" t="s"/>
      <c r="H1955" t="s"/>
      <c r="I1955" t="s"/>
      <c r="J1955" t="n">
        <v>0</v>
      </c>
      <c r="K1955" t="n">
        <v>0</v>
      </c>
      <c r="L1955" t="n">
        <v>1</v>
      </c>
      <c r="M1955" t="n">
        <v>0</v>
      </c>
    </row>
    <row r="1956" spans="1:13">
      <c r="A1956" s="1">
        <f>HYPERLINK("http://www.twitter.com/NathanBLawrence/status/986630042477383680", "986630042477383680")</f>
        <v/>
      </c>
      <c r="B1956" s="2" t="n">
        <v>43208.65170138889</v>
      </c>
      <c r="C1956" t="n">
        <v>0</v>
      </c>
      <c r="D1956" t="n">
        <v>25</v>
      </c>
      <c r="E1956" t="s">
        <v>1934</v>
      </c>
      <c r="F1956">
        <f>HYPERLINK("http://pbs.twimg.com/media/DbEq08sX4AAfCiV.jpg", "http://pbs.twimg.com/media/DbEq08sX4AAfCiV.jpg")</f>
        <v/>
      </c>
      <c r="G1956" t="s"/>
      <c r="H1956" t="s"/>
      <c r="I1956" t="s"/>
      <c r="J1956" t="n">
        <v>0.4466</v>
      </c>
      <c r="K1956" t="n">
        <v>0</v>
      </c>
      <c r="L1956" t="n">
        <v>0.86</v>
      </c>
      <c r="M1956" t="n">
        <v>0.14</v>
      </c>
    </row>
    <row r="1957" spans="1:13">
      <c r="A1957" s="1">
        <f>HYPERLINK("http://www.twitter.com/NathanBLawrence/status/986630006267838464", "986630006267838464")</f>
        <v/>
      </c>
      <c r="B1957" s="2" t="n">
        <v>43208.65159722222</v>
      </c>
      <c r="C1957" t="n">
        <v>0</v>
      </c>
      <c r="D1957" t="n">
        <v>11</v>
      </c>
      <c r="E1957" t="s">
        <v>1935</v>
      </c>
      <c r="F1957" t="s"/>
      <c r="G1957" t="s"/>
      <c r="H1957" t="s"/>
      <c r="I1957" t="s"/>
      <c r="J1957" t="n">
        <v>0.4588</v>
      </c>
      <c r="K1957" t="n">
        <v>0</v>
      </c>
      <c r="L1957" t="n">
        <v>0.789</v>
      </c>
      <c r="M1957" t="n">
        <v>0.211</v>
      </c>
    </row>
    <row r="1958" spans="1:13">
      <c r="A1958" s="1">
        <f>HYPERLINK("http://www.twitter.com/NathanBLawrence/status/986629895647322112", "986629895647322112")</f>
        <v/>
      </c>
      <c r="B1958" s="2" t="n">
        <v>43208.6512962963</v>
      </c>
      <c r="C1958" t="n">
        <v>0</v>
      </c>
      <c r="D1958" t="n">
        <v>7</v>
      </c>
      <c r="E1958" t="s">
        <v>1936</v>
      </c>
      <c r="F1958" t="s"/>
      <c r="G1958" t="s"/>
      <c r="H1958" t="s"/>
      <c r="I1958" t="s"/>
      <c r="J1958" t="n">
        <v>-0.4404</v>
      </c>
      <c r="K1958" t="n">
        <v>0.178</v>
      </c>
      <c r="L1958" t="n">
        <v>0.822</v>
      </c>
      <c r="M1958" t="n">
        <v>0</v>
      </c>
    </row>
    <row r="1959" spans="1:13">
      <c r="A1959" s="1">
        <f>HYPERLINK("http://www.twitter.com/NathanBLawrence/status/986629841909899264", "986629841909899264")</f>
        <v/>
      </c>
      <c r="B1959" s="2" t="n">
        <v>43208.65114583333</v>
      </c>
      <c r="C1959" t="n">
        <v>0</v>
      </c>
      <c r="D1959" t="n">
        <v>9</v>
      </c>
      <c r="E1959" t="s">
        <v>1937</v>
      </c>
      <c r="F1959" t="s"/>
      <c r="G1959" t="s"/>
      <c r="H1959" t="s"/>
      <c r="I1959" t="s"/>
      <c r="J1959" t="n">
        <v>0.34</v>
      </c>
      <c r="K1959" t="n">
        <v>0</v>
      </c>
      <c r="L1959" t="n">
        <v>0.897</v>
      </c>
      <c r="M1959" t="n">
        <v>0.103</v>
      </c>
    </row>
    <row r="1960" spans="1:13">
      <c r="A1960" s="1">
        <f>HYPERLINK("http://www.twitter.com/NathanBLawrence/status/986629793897680902", "986629793897680902")</f>
        <v/>
      </c>
      <c r="B1960" s="2" t="n">
        <v>43208.65101851852</v>
      </c>
      <c r="C1960" t="n">
        <v>0</v>
      </c>
      <c r="D1960" t="n">
        <v>6</v>
      </c>
      <c r="E1960" t="s">
        <v>1938</v>
      </c>
      <c r="F1960" t="s"/>
      <c r="G1960" t="s"/>
      <c r="H1960" t="s"/>
      <c r="I1960" t="s"/>
      <c r="J1960" t="n">
        <v>-0.636</v>
      </c>
      <c r="K1960" t="n">
        <v>0.252</v>
      </c>
      <c r="L1960" t="n">
        <v>0.659</v>
      </c>
      <c r="M1960" t="n">
        <v>0.089</v>
      </c>
    </row>
    <row r="1961" spans="1:13">
      <c r="A1961" s="1">
        <f>HYPERLINK("http://www.twitter.com/NathanBLawrence/status/986629730597261314", "986629730597261314")</f>
        <v/>
      </c>
      <c r="B1961" s="2" t="n">
        <v>43208.65084490741</v>
      </c>
      <c r="C1961" t="n">
        <v>0</v>
      </c>
      <c r="D1961" t="n">
        <v>8</v>
      </c>
      <c r="E1961" t="s">
        <v>1939</v>
      </c>
      <c r="F1961">
        <f>HYPERLINK("http://pbs.twimg.com/media/DbDvoF1UQAAGKhy.jpg", "http://pbs.twimg.com/media/DbDvoF1UQAAGKhy.jpg")</f>
        <v/>
      </c>
      <c r="G1961" t="s"/>
      <c r="H1961" t="s"/>
      <c r="I1961" t="s"/>
      <c r="J1961" t="n">
        <v>-0.2342</v>
      </c>
      <c r="K1961" t="n">
        <v>0.134</v>
      </c>
      <c r="L1961" t="n">
        <v>0.763</v>
      </c>
      <c r="M1961" t="n">
        <v>0.103</v>
      </c>
    </row>
    <row r="1962" spans="1:13">
      <c r="A1962" s="1">
        <f>HYPERLINK("http://www.twitter.com/NathanBLawrence/status/986629544441536512", "986629544441536512")</f>
        <v/>
      </c>
      <c r="B1962" s="2" t="n">
        <v>43208.65032407407</v>
      </c>
      <c r="C1962" t="n">
        <v>0</v>
      </c>
      <c r="D1962" t="n">
        <v>11</v>
      </c>
      <c r="E1962" t="s">
        <v>1351</v>
      </c>
      <c r="F1962">
        <f>HYPERLINK("http://pbs.twimg.com/media/DbEjnsCUMAccyuA.jpg", "http://pbs.twimg.com/media/DbEjnsCUMAccyuA.jpg")</f>
        <v/>
      </c>
      <c r="G1962" t="s"/>
      <c r="H1962" t="s"/>
      <c r="I1962" t="s"/>
      <c r="J1962" t="n">
        <v>0.8201000000000001</v>
      </c>
      <c r="K1962" t="n">
        <v>0</v>
      </c>
      <c r="L1962" t="n">
        <v>0.643</v>
      </c>
      <c r="M1962" t="n">
        <v>0.357</v>
      </c>
    </row>
    <row r="1963" spans="1:13">
      <c r="A1963" s="1">
        <f>HYPERLINK("http://www.twitter.com/NathanBLawrence/status/986629479433953280", "986629479433953280")</f>
        <v/>
      </c>
      <c r="B1963" s="2" t="n">
        <v>43208.65015046296</v>
      </c>
      <c r="C1963" t="n">
        <v>0</v>
      </c>
      <c r="D1963" t="n">
        <v>8</v>
      </c>
      <c r="E1963" t="s">
        <v>1940</v>
      </c>
      <c r="F1963">
        <f>HYPERLINK("http://pbs.twimg.com/media/DbEaC_oUMAA81y7.jpg", "http://pbs.twimg.com/media/DbEaC_oUMAA81y7.jpg")</f>
        <v/>
      </c>
      <c r="G1963" t="s"/>
      <c r="H1963" t="s"/>
      <c r="I1963" t="s"/>
      <c r="J1963" t="n">
        <v>0.3182</v>
      </c>
      <c r="K1963" t="n">
        <v>0</v>
      </c>
      <c r="L1963" t="n">
        <v>0.901</v>
      </c>
      <c r="M1963" t="n">
        <v>0.099</v>
      </c>
    </row>
    <row r="1964" spans="1:13">
      <c r="A1964" s="1">
        <f>HYPERLINK("http://www.twitter.com/NathanBLawrence/status/986629456411418625", "986629456411418625")</f>
        <v/>
      </c>
      <c r="B1964" s="2" t="n">
        <v>43208.65008101852</v>
      </c>
      <c r="C1964" t="n">
        <v>0</v>
      </c>
      <c r="D1964" t="n">
        <v>11</v>
      </c>
      <c r="E1964" t="s">
        <v>1941</v>
      </c>
      <c r="F1964">
        <f>HYPERLINK("http://pbs.twimg.com/media/DbEmTdkUMAAVLLF.jpg", "http://pbs.twimg.com/media/DbEmTdkUMAAVLLF.jpg")</f>
        <v/>
      </c>
      <c r="G1964" t="s"/>
      <c r="H1964" t="s"/>
      <c r="I1964" t="s"/>
      <c r="J1964" t="n">
        <v>-0.3612</v>
      </c>
      <c r="K1964" t="n">
        <v>0.111</v>
      </c>
      <c r="L1964" t="n">
        <v>0.889</v>
      </c>
      <c r="M1964" t="n">
        <v>0</v>
      </c>
    </row>
    <row r="1965" spans="1:13">
      <c r="A1965" s="1">
        <f>HYPERLINK("http://www.twitter.com/NathanBLawrence/status/986629409342926848", "986629409342926848")</f>
        <v/>
      </c>
      <c r="B1965" s="2" t="n">
        <v>43208.6499537037</v>
      </c>
      <c r="C1965" t="n">
        <v>0</v>
      </c>
      <c r="D1965" t="n">
        <v>3</v>
      </c>
      <c r="E1965" t="s">
        <v>1942</v>
      </c>
      <c r="F1965" t="s"/>
      <c r="G1965" t="s"/>
      <c r="H1965" t="s"/>
      <c r="I1965" t="s"/>
      <c r="J1965" t="n">
        <v>0</v>
      </c>
      <c r="K1965" t="n">
        <v>0</v>
      </c>
      <c r="L1965" t="n">
        <v>1</v>
      </c>
      <c r="M1965" t="n">
        <v>0</v>
      </c>
    </row>
    <row r="1966" spans="1:13">
      <c r="A1966" s="1">
        <f>HYPERLINK("http://www.twitter.com/NathanBLawrence/status/986629382390341632", "986629382390341632")</f>
        <v/>
      </c>
      <c r="B1966" s="2" t="n">
        <v>43208.64988425926</v>
      </c>
      <c r="C1966" t="n">
        <v>0</v>
      </c>
      <c r="D1966" t="n">
        <v>12</v>
      </c>
      <c r="E1966" t="s">
        <v>1943</v>
      </c>
      <c r="F1966">
        <f>HYPERLINK("http://pbs.twimg.com/media/DbEs7ByX4AAUq5K.jpg", "http://pbs.twimg.com/media/DbEs7ByX4AAUq5K.jpg")</f>
        <v/>
      </c>
      <c r="G1966" t="s"/>
      <c r="H1966" t="s"/>
      <c r="I1966" t="s"/>
      <c r="J1966" t="n">
        <v>-0.7717000000000001</v>
      </c>
      <c r="K1966" t="n">
        <v>0.332</v>
      </c>
      <c r="L1966" t="n">
        <v>0.504</v>
      </c>
      <c r="M1966" t="n">
        <v>0.163</v>
      </c>
    </row>
    <row r="1967" spans="1:13">
      <c r="A1967" s="1">
        <f>HYPERLINK("http://www.twitter.com/NathanBLawrence/status/986629359699156998", "986629359699156998")</f>
        <v/>
      </c>
      <c r="B1967" s="2" t="n">
        <v>43208.64981481482</v>
      </c>
      <c r="C1967" t="n">
        <v>0</v>
      </c>
      <c r="D1967" t="n">
        <v>11</v>
      </c>
      <c r="E1967" t="s">
        <v>1944</v>
      </c>
      <c r="F1967" t="s"/>
      <c r="G1967" t="s"/>
      <c r="H1967" t="s"/>
      <c r="I1967" t="s"/>
      <c r="J1967" t="n">
        <v>-0.0772</v>
      </c>
      <c r="K1967" t="n">
        <v>0.058</v>
      </c>
      <c r="L1967" t="n">
        <v>0.9419999999999999</v>
      </c>
      <c r="M1967" t="n">
        <v>0</v>
      </c>
    </row>
    <row r="1968" spans="1:13">
      <c r="A1968" s="1">
        <f>HYPERLINK("http://www.twitter.com/NathanBLawrence/status/986629351495163905", "986629351495163905")</f>
        <v/>
      </c>
      <c r="B1968" s="2" t="n">
        <v>43208.64979166666</v>
      </c>
      <c r="C1968" t="n">
        <v>1</v>
      </c>
      <c r="D1968" t="n">
        <v>0</v>
      </c>
      <c r="E1968" t="s">
        <v>1945</v>
      </c>
      <c r="F1968" t="s"/>
      <c r="G1968" t="s"/>
      <c r="H1968" t="s"/>
      <c r="I1968" t="s"/>
      <c r="J1968" t="n">
        <v>0</v>
      </c>
      <c r="K1968" t="n">
        <v>0</v>
      </c>
      <c r="L1968" t="n">
        <v>1</v>
      </c>
      <c r="M1968" t="n">
        <v>0</v>
      </c>
    </row>
    <row r="1969" spans="1:13">
      <c r="A1969" s="1">
        <f>HYPERLINK("http://www.twitter.com/NathanBLawrence/status/986464421223587840", "986464421223587840")</f>
        <v/>
      </c>
      <c r="B1969" s="2" t="n">
        <v>43208.19467592592</v>
      </c>
      <c r="C1969" t="n">
        <v>0</v>
      </c>
      <c r="D1969" t="n">
        <v>15</v>
      </c>
      <c r="E1969" t="s">
        <v>1946</v>
      </c>
      <c r="F1969" t="s"/>
      <c r="G1969" t="s"/>
      <c r="H1969" t="s"/>
      <c r="I1969" t="s"/>
      <c r="J1969" t="n">
        <v>0</v>
      </c>
      <c r="K1969" t="n">
        <v>0</v>
      </c>
      <c r="L1969" t="n">
        <v>1</v>
      </c>
      <c r="M1969" t="n">
        <v>0</v>
      </c>
    </row>
    <row r="1970" spans="1:13">
      <c r="A1970" s="1">
        <f>HYPERLINK("http://www.twitter.com/NathanBLawrence/status/986464376717758465", "986464376717758465")</f>
        <v/>
      </c>
      <c r="B1970" s="2" t="n">
        <v>43208.19454861111</v>
      </c>
      <c r="C1970" t="n">
        <v>0</v>
      </c>
      <c r="D1970" t="n">
        <v>7</v>
      </c>
      <c r="E1970" t="s">
        <v>1947</v>
      </c>
      <c r="F1970" t="s"/>
      <c r="G1970" t="s"/>
      <c r="H1970" t="s"/>
      <c r="I1970" t="s"/>
      <c r="J1970" t="n">
        <v>-0.4995</v>
      </c>
      <c r="K1970" t="n">
        <v>0.139</v>
      </c>
      <c r="L1970" t="n">
        <v>0.861</v>
      </c>
      <c r="M1970" t="n">
        <v>0</v>
      </c>
    </row>
    <row r="1971" spans="1:13">
      <c r="A1971" s="1">
        <f>HYPERLINK("http://www.twitter.com/NathanBLawrence/status/986464357256220672", "986464357256220672")</f>
        <v/>
      </c>
      <c r="B1971" s="2" t="n">
        <v>43208.19450231481</v>
      </c>
      <c r="C1971" t="n">
        <v>0</v>
      </c>
      <c r="D1971" t="n">
        <v>6</v>
      </c>
      <c r="E1971" t="s">
        <v>1948</v>
      </c>
      <c r="F1971" t="s"/>
      <c r="G1971" t="s"/>
      <c r="H1971" t="s"/>
      <c r="I1971" t="s"/>
      <c r="J1971" t="n">
        <v>-0.7351</v>
      </c>
      <c r="K1971" t="n">
        <v>0.228</v>
      </c>
      <c r="L1971" t="n">
        <v>0.772</v>
      </c>
      <c r="M1971" t="n">
        <v>0</v>
      </c>
    </row>
    <row r="1972" spans="1:13">
      <c r="A1972" s="1">
        <f>HYPERLINK("http://www.twitter.com/NathanBLawrence/status/986464342995554304", "986464342995554304")</f>
        <v/>
      </c>
      <c r="B1972" s="2" t="n">
        <v>43208.19445601852</v>
      </c>
      <c r="C1972" t="n">
        <v>0</v>
      </c>
      <c r="D1972" t="n">
        <v>6</v>
      </c>
      <c r="E1972" t="s">
        <v>1949</v>
      </c>
      <c r="F1972" t="s"/>
      <c r="G1972" t="s"/>
      <c r="H1972" t="s"/>
      <c r="I1972" t="s"/>
      <c r="J1972" t="n">
        <v>0</v>
      </c>
      <c r="K1972" t="n">
        <v>0</v>
      </c>
      <c r="L1972" t="n">
        <v>1</v>
      </c>
      <c r="M1972" t="n">
        <v>0</v>
      </c>
    </row>
    <row r="1973" spans="1:13">
      <c r="A1973" s="1">
        <f>HYPERLINK("http://www.twitter.com/NathanBLawrence/status/986464321524944896", "986464321524944896")</f>
        <v/>
      </c>
      <c r="B1973" s="2" t="n">
        <v>43208.19439814815</v>
      </c>
      <c r="C1973" t="n">
        <v>0</v>
      </c>
      <c r="D1973" t="n">
        <v>5</v>
      </c>
      <c r="E1973" t="s">
        <v>1950</v>
      </c>
      <c r="F1973" t="s"/>
      <c r="G1973" t="s"/>
      <c r="H1973" t="s"/>
      <c r="I1973" t="s"/>
      <c r="J1973" t="n">
        <v>0</v>
      </c>
      <c r="K1973" t="n">
        <v>0</v>
      </c>
      <c r="L1973" t="n">
        <v>1</v>
      </c>
      <c r="M1973" t="n">
        <v>0</v>
      </c>
    </row>
    <row r="1974" spans="1:13">
      <c r="A1974" s="1">
        <f>HYPERLINK("http://www.twitter.com/NathanBLawrence/status/986464254399311872", "986464254399311872")</f>
        <v/>
      </c>
      <c r="B1974" s="2" t="n">
        <v>43208.19421296296</v>
      </c>
      <c r="C1974" t="n">
        <v>0</v>
      </c>
      <c r="D1974" t="n">
        <v>18</v>
      </c>
      <c r="E1974" t="s">
        <v>1951</v>
      </c>
      <c r="F1974">
        <f>HYPERLINK("http://pbs.twimg.com/media/DbAZOmZXUAIdnQI.jpg", "http://pbs.twimg.com/media/DbAZOmZXUAIdnQI.jpg")</f>
        <v/>
      </c>
      <c r="G1974" t="s"/>
      <c r="H1974" t="s"/>
      <c r="I1974" t="s"/>
      <c r="J1974" t="n">
        <v>-0.3612</v>
      </c>
      <c r="K1974" t="n">
        <v>0.102</v>
      </c>
      <c r="L1974" t="n">
        <v>0.898</v>
      </c>
      <c r="M1974" t="n">
        <v>0</v>
      </c>
    </row>
    <row r="1975" spans="1:13">
      <c r="A1975" s="1">
        <f>HYPERLINK("http://www.twitter.com/NathanBLawrence/status/986464229065715715", "986464229065715715")</f>
        <v/>
      </c>
      <c r="B1975" s="2" t="n">
        <v>43208.19414351852</v>
      </c>
      <c r="C1975" t="n">
        <v>0</v>
      </c>
      <c r="D1975" t="n">
        <v>8</v>
      </c>
      <c r="E1975" t="s">
        <v>1952</v>
      </c>
      <c r="F1975">
        <f>HYPERLINK("http://pbs.twimg.com/media/DbAwxxlW4AA3aA5.jpg", "http://pbs.twimg.com/media/DbAwxxlW4AA3aA5.jpg")</f>
        <v/>
      </c>
      <c r="G1975" t="s"/>
      <c r="H1975" t="s"/>
      <c r="I1975" t="s"/>
      <c r="J1975" t="n">
        <v>0</v>
      </c>
      <c r="K1975" t="n">
        <v>0</v>
      </c>
      <c r="L1975" t="n">
        <v>1</v>
      </c>
      <c r="M1975" t="n">
        <v>0</v>
      </c>
    </row>
    <row r="1976" spans="1:13">
      <c r="A1976" s="1">
        <f>HYPERLINK("http://www.twitter.com/NathanBLawrence/status/986464216642195456", "986464216642195456")</f>
        <v/>
      </c>
      <c r="B1976" s="2" t="n">
        <v>43208.1941087963</v>
      </c>
      <c r="C1976" t="n">
        <v>0</v>
      </c>
      <c r="D1976" t="n">
        <v>5</v>
      </c>
      <c r="E1976" t="s">
        <v>1953</v>
      </c>
      <c r="F1976" t="s"/>
      <c r="G1976" t="s"/>
      <c r="H1976" t="s"/>
      <c r="I1976" t="s"/>
      <c r="J1976" t="n">
        <v>0</v>
      </c>
      <c r="K1976" t="n">
        <v>0</v>
      </c>
      <c r="L1976" t="n">
        <v>1</v>
      </c>
      <c r="M1976" t="n">
        <v>0</v>
      </c>
    </row>
    <row r="1977" spans="1:13">
      <c r="A1977" s="1">
        <f>HYPERLINK("http://www.twitter.com/NathanBLawrence/status/986464205997072384", "986464205997072384")</f>
        <v/>
      </c>
      <c r="B1977" s="2" t="n">
        <v>43208.19407407408</v>
      </c>
      <c r="C1977" t="n">
        <v>0</v>
      </c>
      <c r="D1977" t="n">
        <v>8</v>
      </c>
      <c r="E1977" t="s">
        <v>1953</v>
      </c>
      <c r="F1977" t="s"/>
      <c r="G1977" t="s"/>
      <c r="H1977" t="s"/>
      <c r="I1977" t="s"/>
      <c r="J1977" t="n">
        <v>0</v>
      </c>
      <c r="K1977" t="n">
        <v>0</v>
      </c>
      <c r="L1977" t="n">
        <v>1</v>
      </c>
      <c r="M1977" t="n">
        <v>0</v>
      </c>
    </row>
    <row r="1978" spans="1:13">
      <c r="A1978" s="1">
        <f>HYPERLINK("http://www.twitter.com/NathanBLawrence/status/986464062182653952", "986464062182653952")</f>
        <v/>
      </c>
      <c r="B1978" s="2" t="n">
        <v>43208.19368055555</v>
      </c>
      <c r="C1978" t="n">
        <v>0</v>
      </c>
      <c r="D1978" t="n">
        <v>8</v>
      </c>
      <c r="E1978" t="s">
        <v>1954</v>
      </c>
      <c r="F1978" t="s"/>
      <c r="G1978" t="s"/>
      <c r="H1978" t="s"/>
      <c r="I1978" t="s"/>
      <c r="J1978" t="n">
        <v>0</v>
      </c>
      <c r="K1978" t="n">
        <v>0</v>
      </c>
      <c r="L1978" t="n">
        <v>1</v>
      </c>
      <c r="M1978" t="n">
        <v>0</v>
      </c>
    </row>
    <row r="1979" spans="1:13">
      <c r="A1979" s="1">
        <f>HYPERLINK("http://www.twitter.com/NathanBLawrence/status/986464018520072193", "986464018520072193")</f>
        <v/>
      </c>
      <c r="B1979" s="2" t="n">
        <v>43208.19356481481</v>
      </c>
      <c r="C1979" t="n">
        <v>0</v>
      </c>
      <c r="D1979" t="n">
        <v>5</v>
      </c>
      <c r="E1979" t="s">
        <v>1955</v>
      </c>
      <c r="F1979" t="s"/>
      <c r="G1979" t="s"/>
      <c r="H1979" t="s"/>
      <c r="I1979" t="s"/>
      <c r="J1979" t="n">
        <v>0.2732</v>
      </c>
      <c r="K1979" t="n">
        <v>0</v>
      </c>
      <c r="L1979" t="n">
        <v>0.87</v>
      </c>
      <c r="M1979" t="n">
        <v>0.13</v>
      </c>
    </row>
    <row r="1980" spans="1:13">
      <c r="A1980" s="1">
        <f>HYPERLINK("http://www.twitter.com/NathanBLawrence/status/986463459327037441", "986463459327037441")</f>
        <v/>
      </c>
      <c r="B1980" s="2" t="n">
        <v>43208.19201388889</v>
      </c>
      <c r="C1980" t="n">
        <v>0</v>
      </c>
      <c r="D1980" t="n">
        <v>3</v>
      </c>
      <c r="E1980" t="s">
        <v>1956</v>
      </c>
      <c r="F1980" t="s"/>
      <c r="G1980" t="s"/>
      <c r="H1980" t="s"/>
      <c r="I1980" t="s"/>
      <c r="J1980" t="n">
        <v>0.4215</v>
      </c>
      <c r="K1980" t="n">
        <v>0.099</v>
      </c>
      <c r="L1980" t="n">
        <v>0.676</v>
      </c>
      <c r="M1980" t="n">
        <v>0.225</v>
      </c>
    </row>
    <row r="1981" spans="1:13">
      <c r="A1981" s="1">
        <f>HYPERLINK("http://www.twitter.com/NathanBLawrence/status/986463450288279553", "986463450288279553")</f>
        <v/>
      </c>
      <c r="B1981" s="2" t="n">
        <v>43208.19199074074</v>
      </c>
      <c r="C1981" t="n">
        <v>0</v>
      </c>
      <c r="D1981" t="n">
        <v>5</v>
      </c>
      <c r="E1981" t="s">
        <v>1957</v>
      </c>
      <c r="F1981" t="s"/>
      <c r="G1981" t="s"/>
      <c r="H1981" t="s"/>
      <c r="I1981" t="s"/>
      <c r="J1981" t="n">
        <v>0.4019</v>
      </c>
      <c r="K1981" t="n">
        <v>0</v>
      </c>
      <c r="L1981" t="n">
        <v>0.847</v>
      </c>
      <c r="M1981" t="n">
        <v>0.153</v>
      </c>
    </row>
    <row r="1982" spans="1:13">
      <c r="A1982" s="1">
        <f>HYPERLINK("http://www.twitter.com/NathanBLawrence/status/986463439357906944", "986463439357906944")</f>
        <v/>
      </c>
      <c r="B1982" s="2" t="n">
        <v>43208.19196759259</v>
      </c>
      <c r="C1982" t="n">
        <v>0</v>
      </c>
      <c r="D1982" t="n">
        <v>5</v>
      </c>
      <c r="E1982" t="s">
        <v>1958</v>
      </c>
      <c r="F1982" t="s"/>
      <c r="G1982" t="s"/>
      <c r="H1982" t="s"/>
      <c r="I1982" t="s"/>
      <c r="J1982" t="n">
        <v>0.2732</v>
      </c>
      <c r="K1982" t="n">
        <v>0</v>
      </c>
      <c r="L1982" t="n">
        <v>0.829</v>
      </c>
      <c r="M1982" t="n">
        <v>0.171</v>
      </c>
    </row>
    <row r="1983" spans="1:13">
      <c r="A1983" s="1">
        <f>HYPERLINK("http://www.twitter.com/NathanBLawrence/status/986463101347336192", "986463101347336192")</f>
        <v/>
      </c>
      <c r="B1983" s="2" t="n">
        <v>43208.1910300926</v>
      </c>
      <c r="C1983" t="n">
        <v>0</v>
      </c>
      <c r="D1983" t="n">
        <v>11</v>
      </c>
      <c r="E1983" t="s">
        <v>1959</v>
      </c>
      <c r="F1983">
        <f>HYPERLINK("http://pbs.twimg.com/media/Da8JNytVwAA5xfd.jpg", "http://pbs.twimg.com/media/Da8JNytVwAA5xfd.jpg")</f>
        <v/>
      </c>
      <c r="G1983" t="s"/>
      <c r="H1983" t="s"/>
      <c r="I1983" t="s"/>
      <c r="J1983" t="n">
        <v>0.3818</v>
      </c>
      <c r="K1983" t="n">
        <v>0</v>
      </c>
      <c r="L1983" t="n">
        <v>0.86</v>
      </c>
      <c r="M1983" t="n">
        <v>0.14</v>
      </c>
    </row>
    <row r="1984" spans="1:13">
      <c r="A1984" s="1">
        <f>HYPERLINK("http://www.twitter.com/NathanBLawrence/status/986463084041646080", "986463084041646080")</f>
        <v/>
      </c>
      <c r="B1984" s="2" t="n">
        <v>43208.1909837963</v>
      </c>
      <c r="C1984" t="n">
        <v>0</v>
      </c>
      <c r="D1984" t="n">
        <v>4</v>
      </c>
      <c r="E1984" t="s">
        <v>1960</v>
      </c>
      <c r="F1984" t="s"/>
      <c r="G1984" t="s"/>
      <c r="H1984" t="s"/>
      <c r="I1984" t="s"/>
      <c r="J1984" t="n">
        <v>-0.3595</v>
      </c>
      <c r="K1984" t="n">
        <v>0.135</v>
      </c>
      <c r="L1984" t="n">
        <v>0.865</v>
      </c>
      <c r="M1984" t="n">
        <v>0</v>
      </c>
    </row>
    <row r="1985" spans="1:13">
      <c r="A1985" s="1">
        <f>HYPERLINK("http://www.twitter.com/NathanBLawrence/status/986463054501220353", "986463054501220353")</f>
        <v/>
      </c>
      <c r="B1985" s="2" t="n">
        <v>43208.19090277778</v>
      </c>
      <c r="C1985" t="n">
        <v>0</v>
      </c>
      <c r="D1985" t="n">
        <v>22</v>
      </c>
      <c r="E1985" t="s">
        <v>1961</v>
      </c>
      <c r="F1985">
        <f>HYPERLINK("http://pbs.twimg.com/media/Da_QmlLUMAMWEiq.jpg", "http://pbs.twimg.com/media/Da_QmlLUMAMWEiq.jpg")</f>
        <v/>
      </c>
      <c r="G1985">
        <f>HYPERLINK("http://pbs.twimg.com/media/Da_QmwuVAAAHokc.jpg", "http://pbs.twimg.com/media/Da_QmwuVAAAHokc.jpg")</f>
        <v/>
      </c>
      <c r="H1985" t="s"/>
      <c r="I1985" t="s"/>
      <c r="J1985" t="n">
        <v>-0.4767</v>
      </c>
      <c r="K1985" t="n">
        <v>0.154</v>
      </c>
      <c r="L1985" t="n">
        <v>0.846</v>
      </c>
      <c r="M1985" t="n">
        <v>0</v>
      </c>
    </row>
    <row r="1986" spans="1:13">
      <c r="A1986" s="1">
        <f>HYPERLINK("http://www.twitter.com/NathanBLawrence/status/986462995273474048", "986462995273474048")</f>
        <v/>
      </c>
      <c r="B1986" s="2" t="n">
        <v>43208.19074074074</v>
      </c>
      <c r="C1986" t="n">
        <v>0</v>
      </c>
      <c r="D1986" t="n">
        <v>5</v>
      </c>
      <c r="E1986" t="s">
        <v>1962</v>
      </c>
      <c r="F1986" t="s"/>
      <c r="G1986" t="s"/>
      <c r="H1986" t="s"/>
      <c r="I1986" t="s"/>
      <c r="J1986" t="n">
        <v>-0.0772</v>
      </c>
      <c r="K1986" t="n">
        <v>0.169</v>
      </c>
      <c r="L1986" t="n">
        <v>0.676</v>
      </c>
      <c r="M1986" t="n">
        <v>0.155</v>
      </c>
    </row>
    <row r="1987" spans="1:13">
      <c r="A1987" s="1">
        <f>HYPERLINK("http://www.twitter.com/NathanBLawrence/status/986462876994101248", "986462876994101248")</f>
        <v/>
      </c>
      <c r="B1987" s="2" t="n">
        <v>43208.19041666666</v>
      </c>
      <c r="C1987" t="n">
        <v>0</v>
      </c>
      <c r="D1987" t="n">
        <v>9</v>
      </c>
      <c r="E1987" t="s">
        <v>1963</v>
      </c>
      <c r="F1987" t="s"/>
      <c r="G1987" t="s"/>
      <c r="H1987" t="s"/>
      <c r="I1987" t="s"/>
      <c r="J1987" t="n">
        <v>-0.9013</v>
      </c>
      <c r="K1987" t="n">
        <v>0.335</v>
      </c>
      <c r="L1987" t="n">
        <v>0.665</v>
      </c>
      <c r="M1987" t="n">
        <v>0</v>
      </c>
    </row>
    <row r="1988" spans="1:13">
      <c r="A1988" s="1">
        <f>HYPERLINK("http://www.twitter.com/NathanBLawrence/status/986462862733467648", "986462862733467648")</f>
        <v/>
      </c>
      <c r="B1988" s="2" t="n">
        <v>43208.19037037037</v>
      </c>
      <c r="C1988" t="n">
        <v>0</v>
      </c>
      <c r="D1988" t="n">
        <v>6</v>
      </c>
      <c r="E1988" t="s">
        <v>1964</v>
      </c>
      <c r="F1988" t="s"/>
      <c r="G1988" t="s"/>
      <c r="H1988" t="s"/>
      <c r="I1988" t="s"/>
      <c r="J1988" t="n">
        <v>-0.6841</v>
      </c>
      <c r="K1988" t="n">
        <v>0.229</v>
      </c>
      <c r="L1988" t="n">
        <v>0.771</v>
      </c>
      <c r="M1988" t="n">
        <v>0</v>
      </c>
    </row>
    <row r="1989" spans="1:13">
      <c r="A1989" s="1">
        <f>HYPERLINK("http://www.twitter.com/NathanBLawrence/status/986462837441744897", "986462837441744897")</f>
        <v/>
      </c>
      <c r="B1989" s="2" t="n">
        <v>43208.19030092593</v>
      </c>
      <c r="C1989" t="n">
        <v>0</v>
      </c>
      <c r="D1989" t="n">
        <v>7</v>
      </c>
      <c r="E1989" t="s">
        <v>1965</v>
      </c>
      <c r="F1989" t="s"/>
      <c r="G1989" t="s"/>
      <c r="H1989" t="s"/>
      <c r="I1989" t="s"/>
      <c r="J1989" t="n">
        <v>0.5473</v>
      </c>
      <c r="K1989" t="n">
        <v>0.128</v>
      </c>
      <c r="L1989" t="n">
        <v>0.5629999999999999</v>
      </c>
      <c r="M1989" t="n">
        <v>0.309</v>
      </c>
    </row>
    <row r="1990" spans="1:13">
      <c r="A1990" s="1">
        <f>HYPERLINK("http://www.twitter.com/NathanBLawrence/status/986462800313831424", "986462800313831424")</f>
        <v/>
      </c>
      <c r="B1990" s="2" t="n">
        <v>43208.19019675926</v>
      </c>
      <c r="C1990" t="n">
        <v>0</v>
      </c>
      <c r="D1990" t="n">
        <v>12</v>
      </c>
      <c r="E1990" t="s">
        <v>1966</v>
      </c>
      <c r="F1990">
        <f>HYPERLINK("http://pbs.twimg.com/media/DbBrhMHVMAAfSrT.jpg", "http://pbs.twimg.com/media/DbBrhMHVMAAfSrT.jpg")</f>
        <v/>
      </c>
      <c r="G1990" t="s"/>
      <c r="H1990" t="s"/>
      <c r="I1990" t="s"/>
      <c r="J1990" t="n">
        <v>-0.6778</v>
      </c>
      <c r="K1990" t="n">
        <v>0.247</v>
      </c>
      <c r="L1990" t="n">
        <v>0.753</v>
      </c>
      <c r="M1990" t="n">
        <v>0</v>
      </c>
    </row>
    <row r="1991" spans="1:13">
      <c r="A1991" s="1">
        <f>HYPERLINK("http://www.twitter.com/NathanBLawrence/status/986462752880386048", "986462752880386048")</f>
        <v/>
      </c>
      <c r="B1991" s="2" t="n">
        <v>43208.19006944444</v>
      </c>
      <c r="C1991" t="n">
        <v>0</v>
      </c>
      <c r="D1991" t="n">
        <v>7</v>
      </c>
      <c r="E1991" t="s">
        <v>1967</v>
      </c>
      <c r="F1991" t="s"/>
      <c r="G1991" t="s"/>
      <c r="H1991" t="s"/>
      <c r="I1991" t="s"/>
      <c r="J1991" t="n">
        <v>-0.9125</v>
      </c>
      <c r="K1991" t="n">
        <v>0.336</v>
      </c>
      <c r="L1991" t="n">
        <v>0.664</v>
      </c>
      <c r="M1991" t="n">
        <v>0</v>
      </c>
    </row>
    <row r="1992" spans="1:13">
      <c r="A1992" s="1">
        <f>HYPERLINK("http://www.twitter.com/NathanBLawrence/status/986462589793329152", "986462589793329152")</f>
        <v/>
      </c>
      <c r="B1992" s="2" t="n">
        <v>43208.18961805556</v>
      </c>
      <c r="C1992" t="n">
        <v>0</v>
      </c>
      <c r="D1992" t="n">
        <v>11</v>
      </c>
      <c r="E1992" t="s">
        <v>1968</v>
      </c>
      <c r="F1992" t="s"/>
      <c r="G1992" t="s"/>
      <c r="H1992" t="s"/>
      <c r="I1992" t="s"/>
      <c r="J1992" t="n">
        <v>0</v>
      </c>
      <c r="K1992" t="n">
        <v>0</v>
      </c>
      <c r="L1992" t="n">
        <v>1</v>
      </c>
      <c r="M1992" t="n">
        <v>0</v>
      </c>
    </row>
    <row r="1993" spans="1:13">
      <c r="A1993" s="1">
        <f>HYPERLINK("http://www.twitter.com/NathanBLawrence/status/986461930427645953", "986461930427645953")</f>
        <v/>
      </c>
      <c r="B1993" s="2" t="n">
        <v>43208.18780092592</v>
      </c>
      <c r="C1993" t="n">
        <v>0</v>
      </c>
      <c r="D1993" t="n">
        <v>2</v>
      </c>
      <c r="E1993" t="s">
        <v>1969</v>
      </c>
      <c r="F1993" t="s"/>
      <c r="G1993" t="s"/>
      <c r="H1993" t="s"/>
      <c r="I1993" t="s"/>
      <c r="J1993" t="n">
        <v>0</v>
      </c>
      <c r="K1993" t="n">
        <v>0</v>
      </c>
      <c r="L1993" t="n">
        <v>1</v>
      </c>
      <c r="M1993" t="n">
        <v>0</v>
      </c>
    </row>
    <row r="1994" spans="1:13">
      <c r="A1994" s="1">
        <f>HYPERLINK("http://www.twitter.com/NathanBLawrence/status/986461913503629314", "986461913503629314")</f>
        <v/>
      </c>
      <c r="B1994" s="2" t="n">
        <v>43208.18775462963</v>
      </c>
      <c r="C1994" t="n">
        <v>0</v>
      </c>
      <c r="D1994" t="n">
        <v>8</v>
      </c>
      <c r="E1994" t="s">
        <v>1970</v>
      </c>
      <c r="F1994" t="s"/>
      <c r="G1994" t="s"/>
      <c r="H1994" t="s"/>
      <c r="I1994" t="s"/>
      <c r="J1994" t="n">
        <v>0.7964</v>
      </c>
      <c r="K1994" t="n">
        <v>0</v>
      </c>
      <c r="L1994" t="n">
        <v>0.712</v>
      </c>
      <c r="M1994" t="n">
        <v>0.288</v>
      </c>
    </row>
    <row r="1995" spans="1:13">
      <c r="A1995" s="1">
        <f>HYPERLINK("http://www.twitter.com/NathanBLawrence/status/986461897707925504", "986461897707925504")</f>
        <v/>
      </c>
      <c r="B1995" s="2" t="n">
        <v>43208.18770833333</v>
      </c>
      <c r="C1995" t="n">
        <v>0</v>
      </c>
      <c r="D1995" t="n">
        <v>8</v>
      </c>
      <c r="E1995" t="s">
        <v>1971</v>
      </c>
      <c r="F1995" t="s"/>
      <c r="G1995" t="s"/>
      <c r="H1995" t="s"/>
      <c r="I1995" t="s"/>
      <c r="J1995" t="n">
        <v>0.7964</v>
      </c>
      <c r="K1995" t="n">
        <v>0</v>
      </c>
      <c r="L1995" t="n">
        <v>0.712</v>
      </c>
      <c r="M1995" t="n">
        <v>0.288</v>
      </c>
    </row>
    <row r="1996" spans="1:13">
      <c r="A1996" s="1">
        <f>HYPERLINK("http://www.twitter.com/NathanBLawrence/status/986461874681253888", "986461874681253888")</f>
        <v/>
      </c>
      <c r="B1996" s="2" t="n">
        <v>43208.18765046296</v>
      </c>
      <c r="C1996" t="n">
        <v>0</v>
      </c>
      <c r="D1996" t="n">
        <v>6</v>
      </c>
      <c r="E1996" t="s">
        <v>1972</v>
      </c>
      <c r="F1996" t="s"/>
      <c r="G1996" t="s"/>
      <c r="H1996" t="s"/>
      <c r="I1996" t="s"/>
      <c r="J1996" t="n">
        <v>-0.4767</v>
      </c>
      <c r="K1996" t="n">
        <v>0.119</v>
      </c>
      <c r="L1996" t="n">
        <v>0.881</v>
      </c>
      <c r="M1996" t="n">
        <v>0</v>
      </c>
    </row>
    <row r="1997" spans="1:13">
      <c r="A1997" s="1">
        <f>HYPERLINK("http://www.twitter.com/NathanBLawrence/status/986461792003153920", "986461792003153920")</f>
        <v/>
      </c>
      <c r="B1997" s="2" t="n">
        <v>43208.18741898148</v>
      </c>
      <c r="C1997" t="n">
        <v>0</v>
      </c>
      <c r="D1997" t="n">
        <v>4</v>
      </c>
      <c r="E1997" t="s">
        <v>1973</v>
      </c>
      <c r="F1997" t="s"/>
      <c r="G1997" t="s"/>
      <c r="H1997" t="s"/>
      <c r="I1997" t="s"/>
      <c r="J1997" t="n">
        <v>0</v>
      </c>
      <c r="K1997" t="n">
        <v>0</v>
      </c>
      <c r="L1997" t="n">
        <v>1</v>
      </c>
      <c r="M1997" t="n">
        <v>0</v>
      </c>
    </row>
    <row r="1998" spans="1:13">
      <c r="A1998" s="1">
        <f>HYPERLINK("http://www.twitter.com/NathanBLawrence/status/986461776912044032", "986461776912044032")</f>
        <v/>
      </c>
      <c r="B1998" s="2" t="n">
        <v>43208.18737268518</v>
      </c>
      <c r="C1998" t="n">
        <v>0</v>
      </c>
      <c r="D1998" t="n">
        <v>8</v>
      </c>
      <c r="E1998" t="s">
        <v>1974</v>
      </c>
      <c r="F1998" t="s"/>
      <c r="G1998" t="s"/>
      <c r="H1998" t="s"/>
      <c r="I1998" t="s"/>
      <c r="J1998" t="n">
        <v>0.1759</v>
      </c>
      <c r="K1998" t="n">
        <v>0.135</v>
      </c>
      <c r="L1998" t="n">
        <v>0.655</v>
      </c>
      <c r="M1998" t="n">
        <v>0.209</v>
      </c>
    </row>
    <row r="1999" spans="1:13">
      <c r="A1999" s="1">
        <f>HYPERLINK("http://www.twitter.com/NathanBLawrence/status/986461385335934976", "986461385335934976")</f>
        <v/>
      </c>
      <c r="B1999" s="2" t="n">
        <v>43208.1862962963</v>
      </c>
      <c r="C1999" t="n">
        <v>0</v>
      </c>
      <c r="D1999" t="n">
        <v>7</v>
      </c>
      <c r="E1999" t="s">
        <v>1975</v>
      </c>
      <c r="F1999" t="s"/>
      <c r="G1999" t="s"/>
      <c r="H1999" t="s"/>
      <c r="I1999" t="s"/>
      <c r="J1999" t="n">
        <v>0.6037</v>
      </c>
      <c r="K1999" t="n">
        <v>0</v>
      </c>
      <c r="L1999" t="n">
        <v>0.859</v>
      </c>
      <c r="M1999" t="n">
        <v>0.141</v>
      </c>
    </row>
    <row r="2000" spans="1:13">
      <c r="A2000" s="1">
        <f>HYPERLINK("http://www.twitter.com/NathanBLawrence/status/986461372744650753", "986461372744650753")</f>
        <v/>
      </c>
      <c r="B2000" s="2" t="n">
        <v>43208.18626157408</v>
      </c>
      <c r="C2000" t="n">
        <v>0</v>
      </c>
      <c r="D2000" t="n">
        <v>1</v>
      </c>
      <c r="E2000" t="s">
        <v>1976</v>
      </c>
      <c r="F2000" t="s"/>
      <c r="G2000" t="s"/>
      <c r="H2000" t="s"/>
      <c r="I2000" t="s"/>
      <c r="J2000" t="n">
        <v>-0.6368</v>
      </c>
      <c r="K2000" t="n">
        <v>0.292</v>
      </c>
      <c r="L2000" t="n">
        <v>0.708</v>
      </c>
      <c r="M2000" t="n">
        <v>0</v>
      </c>
    </row>
    <row r="2001" spans="1:13">
      <c r="A2001" s="1">
        <f>HYPERLINK("http://www.twitter.com/NathanBLawrence/status/986461289563205633", "986461289563205633")</f>
        <v/>
      </c>
      <c r="B2001" s="2" t="n">
        <v>43208.18603009259</v>
      </c>
      <c r="C2001" t="n">
        <v>0</v>
      </c>
      <c r="D2001" t="n">
        <v>4</v>
      </c>
      <c r="E2001" t="s">
        <v>1977</v>
      </c>
      <c r="F2001" t="s"/>
      <c r="G2001" t="s"/>
      <c r="H2001" t="s"/>
      <c r="I2001" t="s"/>
      <c r="J2001" t="n">
        <v>0</v>
      </c>
      <c r="K2001" t="n">
        <v>0</v>
      </c>
      <c r="L2001" t="n">
        <v>1</v>
      </c>
      <c r="M2001" t="n">
        <v>0</v>
      </c>
    </row>
    <row r="2002" spans="1:13">
      <c r="A2002" s="1">
        <f>HYPERLINK("http://www.twitter.com/NathanBLawrence/status/986461079864782849", "986461079864782849")</f>
        <v/>
      </c>
      <c r="B2002" s="2" t="n">
        <v>43208.18545138889</v>
      </c>
      <c r="C2002" t="n">
        <v>0</v>
      </c>
      <c r="D2002" t="n">
        <v>2</v>
      </c>
      <c r="E2002" t="s">
        <v>1978</v>
      </c>
      <c r="F2002" t="s"/>
      <c r="G2002" t="s"/>
      <c r="H2002" t="s"/>
      <c r="I2002" t="s"/>
      <c r="J2002" t="n">
        <v>-0.2263</v>
      </c>
      <c r="K2002" t="n">
        <v>0.079</v>
      </c>
      <c r="L2002" t="n">
        <v>0.921</v>
      </c>
      <c r="M2002" t="n">
        <v>0</v>
      </c>
    </row>
    <row r="2003" spans="1:13">
      <c r="A2003" s="1">
        <f>HYPERLINK("http://www.twitter.com/NathanBLawrence/status/986461061204398080", "986461061204398080")</f>
        <v/>
      </c>
      <c r="B2003" s="2" t="n">
        <v>43208.18540509259</v>
      </c>
      <c r="C2003" t="n">
        <v>0</v>
      </c>
      <c r="D2003" t="n">
        <v>5</v>
      </c>
      <c r="E2003" t="s">
        <v>1979</v>
      </c>
      <c r="F2003" t="s"/>
      <c r="G2003" t="s"/>
      <c r="H2003" t="s"/>
      <c r="I2003" t="s"/>
      <c r="J2003" t="n">
        <v>-0.7153</v>
      </c>
      <c r="K2003" t="n">
        <v>0.249</v>
      </c>
      <c r="L2003" t="n">
        <v>0.751</v>
      </c>
      <c r="M2003" t="n">
        <v>0</v>
      </c>
    </row>
    <row r="2004" spans="1:13">
      <c r="A2004" s="1">
        <f>HYPERLINK("http://www.twitter.com/NathanBLawrence/status/986461022436413443", "986461022436413443")</f>
        <v/>
      </c>
      <c r="B2004" s="2" t="n">
        <v>43208.18528935185</v>
      </c>
      <c r="C2004" t="n">
        <v>0</v>
      </c>
      <c r="D2004" t="n">
        <v>2</v>
      </c>
      <c r="E2004" t="s">
        <v>1980</v>
      </c>
      <c r="F2004" t="s"/>
      <c r="G2004" t="s"/>
      <c r="H2004" t="s"/>
      <c r="I2004" t="s"/>
      <c r="J2004" t="n">
        <v>-0.6369</v>
      </c>
      <c r="K2004" t="n">
        <v>0.271</v>
      </c>
      <c r="L2004" t="n">
        <v>0.729</v>
      </c>
      <c r="M2004" t="n">
        <v>0</v>
      </c>
    </row>
    <row r="2005" spans="1:13">
      <c r="A2005" s="1">
        <f>HYPERLINK("http://www.twitter.com/NathanBLawrence/status/986456256574640129", "986456256574640129")</f>
        <v/>
      </c>
      <c r="B2005" s="2" t="n">
        <v>43208.1721412037</v>
      </c>
      <c r="C2005" t="n">
        <v>2</v>
      </c>
      <c r="D2005" t="n">
        <v>1</v>
      </c>
      <c r="E2005" t="s">
        <v>1981</v>
      </c>
      <c r="F2005" t="s"/>
      <c r="G2005" t="s"/>
      <c r="H2005" t="s"/>
      <c r="I2005" t="s"/>
      <c r="J2005" t="n">
        <v>0.0194</v>
      </c>
      <c r="K2005" t="n">
        <v>0.225</v>
      </c>
      <c r="L2005" t="n">
        <v>0.546</v>
      </c>
      <c r="M2005" t="n">
        <v>0.229</v>
      </c>
    </row>
    <row r="2006" spans="1:13">
      <c r="A2006" s="1">
        <f>HYPERLINK("http://www.twitter.com/NathanBLawrence/status/986451357770055681", "986451357770055681")</f>
        <v/>
      </c>
      <c r="B2006" s="2" t="n">
        <v>43208.15862268519</v>
      </c>
      <c r="C2006" t="n">
        <v>0</v>
      </c>
      <c r="D2006" t="n">
        <v>6</v>
      </c>
      <c r="E2006" t="s">
        <v>1982</v>
      </c>
      <c r="F2006">
        <f>HYPERLINK("http://pbs.twimg.com/media/DbCUIidXkAIL1Uz.jpg", "http://pbs.twimg.com/media/DbCUIidXkAIL1Uz.jpg")</f>
        <v/>
      </c>
      <c r="G2006" t="s"/>
      <c r="H2006" t="s"/>
      <c r="I2006" t="s"/>
      <c r="J2006" t="n">
        <v>0</v>
      </c>
      <c r="K2006" t="n">
        <v>0</v>
      </c>
      <c r="L2006" t="n">
        <v>1</v>
      </c>
      <c r="M2006" t="n">
        <v>0</v>
      </c>
    </row>
    <row r="2007" spans="1:13">
      <c r="A2007" s="1">
        <f>HYPERLINK("http://www.twitter.com/NathanBLawrence/status/986448063903555585", "986448063903555585")</f>
        <v/>
      </c>
      <c r="B2007" s="2" t="n">
        <v>43208.14953703704</v>
      </c>
      <c r="C2007" t="n">
        <v>0</v>
      </c>
      <c r="D2007" t="n">
        <v>9</v>
      </c>
      <c r="E2007" t="s">
        <v>1983</v>
      </c>
      <c r="F2007" t="s"/>
      <c r="G2007" t="s"/>
      <c r="H2007" t="s"/>
      <c r="I2007" t="s"/>
      <c r="J2007" t="n">
        <v>0</v>
      </c>
      <c r="K2007" t="n">
        <v>0</v>
      </c>
      <c r="L2007" t="n">
        <v>1</v>
      </c>
      <c r="M2007" t="n">
        <v>0</v>
      </c>
    </row>
    <row r="2008" spans="1:13">
      <c r="A2008" s="1">
        <f>HYPERLINK("http://www.twitter.com/NathanBLawrence/status/986447854045728768", "986447854045728768")</f>
        <v/>
      </c>
      <c r="B2008" s="2" t="n">
        <v>43208.14895833333</v>
      </c>
      <c r="C2008" t="n">
        <v>0</v>
      </c>
      <c r="D2008" t="n">
        <v>5</v>
      </c>
      <c r="E2008" t="s">
        <v>1984</v>
      </c>
      <c r="F2008" t="s"/>
      <c r="G2008" t="s"/>
      <c r="H2008" t="s"/>
      <c r="I2008" t="s"/>
      <c r="J2008" t="n">
        <v>0</v>
      </c>
      <c r="K2008" t="n">
        <v>0</v>
      </c>
      <c r="L2008" t="n">
        <v>1</v>
      </c>
      <c r="M2008" t="n">
        <v>0</v>
      </c>
    </row>
    <row r="2009" spans="1:13">
      <c r="A2009" s="1">
        <f>HYPERLINK("http://www.twitter.com/NathanBLawrence/status/986447207556636674", "986447207556636674")</f>
        <v/>
      </c>
      <c r="B2009" s="2" t="n">
        <v>43208.14717592593</v>
      </c>
      <c r="C2009" t="n">
        <v>0</v>
      </c>
      <c r="D2009" t="n">
        <v>2</v>
      </c>
      <c r="E2009" t="s">
        <v>1985</v>
      </c>
      <c r="F2009" t="s"/>
      <c r="G2009" t="s"/>
      <c r="H2009" t="s"/>
      <c r="I2009" t="s"/>
      <c r="J2009" t="n">
        <v>-0.8401999999999999</v>
      </c>
      <c r="K2009" t="n">
        <v>0.378</v>
      </c>
      <c r="L2009" t="n">
        <v>0.435</v>
      </c>
      <c r="M2009" t="n">
        <v>0.188</v>
      </c>
    </row>
    <row r="2010" spans="1:13">
      <c r="A2010" s="1">
        <f>HYPERLINK("http://www.twitter.com/NathanBLawrence/status/986447169086517253", "986447169086517253")</f>
        <v/>
      </c>
      <c r="B2010" s="2" t="n">
        <v>43208.14707175926</v>
      </c>
      <c r="C2010" t="n">
        <v>0</v>
      </c>
      <c r="D2010" t="n">
        <v>7</v>
      </c>
      <c r="E2010" t="s">
        <v>1986</v>
      </c>
      <c r="F2010" t="s"/>
      <c r="G2010" t="s"/>
      <c r="H2010" t="s"/>
      <c r="I2010" t="s"/>
      <c r="J2010" t="n">
        <v>-0.296</v>
      </c>
      <c r="K2010" t="n">
        <v>0.091</v>
      </c>
      <c r="L2010" t="n">
        <v>0.909</v>
      </c>
      <c r="M2010" t="n">
        <v>0</v>
      </c>
    </row>
    <row r="2011" spans="1:13">
      <c r="A2011" s="1">
        <f>HYPERLINK("http://www.twitter.com/NathanBLawrence/status/986447138845614081", "986447138845614081")</f>
        <v/>
      </c>
      <c r="B2011" s="2" t="n">
        <v>43208.14697916667</v>
      </c>
      <c r="C2011" t="n">
        <v>0</v>
      </c>
      <c r="D2011" t="n">
        <v>2</v>
      </c>
      <c r="E2011" t="s">
        <v>1987</v>
      </c>
      <c r="F2011" t="s"/>
      <c r="G2011" t="s"/>
      <c r="H2011" t="s"/>
      <c r="I2011" t="s"/>
      <c r="J2011" t="n">
        <v>0</v>
      </c>
      <c r="K2011" t="n">
        <v>0</v>
      </c>
      <c r="L2011" t="n">
        <v>1</v>
      </c>
      <c r="M2011" t="n">
        <v>0</v>
      </c>
    </row>
    <row r="2012" spans="1:13">
      <c r="A2012" s="1">
        <f>HYPERLINK("http://www.twitter.com/NathanBLawrence/status/986447122743558144", "986447122743558144")</f>
        <v/>
      </c>
      <c r="B2012" s="2" t="n">
        <v>43208.14694444444</v>
      </c>
      <c r="C2012" t="n">
        <v>0</v>
      </c>
      <c r="D2012" t="n">
        <v>2</v>
      </c>
      <c r="E2012" t="s">
        <v>1988</v>
      </c>
      <c r="F2012" t="s"/>
      <c r="G2012" t="s"/>
      <c r="H2012" t="s"/>
      <c r="I2012" t="s"/>
      <c r="J2012" t="n">
        <v>0</v>
      </c>
      <c r="K2012" t="n">
        <v>0</v>
      </c>
      <c r="L2012" t="n">
        <v>1</v>
      </c>
      <c r="M2012" t="n">
        <v>0</v>
      </c>
    </row>
    <row r="2013" spans="1:13">
      <c r="A2013" s="1">
        <f>HYPERLINK("http://www.twitter.com/NathanBLawrence/status/986447094922784769", "986447094922784769")</f>
        <v/>
      </c>
      <c r="B2013" s="2" t="n">
        <v>43208.14686342593</v>
      </c>
      <c r="C2013" t="n">
        <v>0</v>
      </c>
      <c r="D2013" t="n">
        <v>3</v>
      </c>
      <c r="E2013" t="s">
        <v>1989</v>
      </c>
      <c r="F2013" t="s"/>
      <c r="G2013" t="s"/>
      <c r="H2013" t="s"/>
      <c r="I2013" t="s"/>
      <c r="J2013" t="n">
        <v>0</v>
      </c>
      <c r="K2013" t="n">
        <v>0</v>
      </c>
      <c r="L2013" t="n">
        <v>1</v>
      </c>
      <c r="M2013" t="n">
        <v>0</v>
      </c>
    </row>
    <row r="2014" spans="1:13">
      <c r="A2014" s="1">
        <f>HYPERLINK("http://www.twitter.com/NathanBLawrence/status/986447070902005761", "986447070902005761")</f>
        <v/>
      </c>
      <c r="B2014" s="2" t="n">
        <v>43208.14679398148</v>
      </c>
      <c r="C2014" t="n">
        <v>0</v>
      </c>
      <c r="D2014" t="n">
        <v>3</v>
      </c>
      <c r="E2014" t="s">
        <v>1990</v>
      </c>
      <c r="F2014">
        <f>HYPERLINK("http://pbs.twimg.com/media/DbB3oV6W0AE8M2T.jpg", "http://pbs.twimg.com/media/DbB3oV6W0AE8M2T.jpg")</f>
        <v/>
      </c>
      <c r="G2014" t="s"/>
      <c r="H2014" t="s"/>
      <c r="I2014" t="s"/>
      <c r="J2014" t="n">
        <v>0</v>
      </c>
      <c r="K2014" t="n">
        <v>0</v>
      </c>
      <c r="L2014" t="n">
        <v>1</v>
      </c>
      <c r="M2014" t="n">
        <v>0</v>
      </c>
    </row>
    <row r="2015" spans="1:13">
      <c r="A2015" s="1">
        <f>HYPERLINK("http://www.twitter.com/NathanBLawrence/status/986447053130752006", "986447053130752006")</f>
        <v/>
      </c>
      <c r="B2015" s="2" t="n">
        <v>43208.14674768518</v>
      </c>
      <c r="C2015" t="n">
        <v>0</v>
      </c>
      <c r="D2015" t="n">
        <v>6</v>
      </c>
      <c r="E2015" t="s">
        <v>1991</v>
      </c>
      <c r="F2015" t="s"/>
      <c r="G2015" t="s"/>
      <c r="H2015" t="s"/>
      <c r="I2015" t="s"/>
      <c r="J2015" t="n">
        <v>0</v>
      </c>
      <c r="K2015" t="n">
        <v>0</v>
      </c>
      <c r="L2015" t="n">
        <v>1</v>
      </c>
      <c r="M2015" t="n">
        <v>0</v>
      </c>
    </row>
    <row r="2016" spans="1:13">
      <c r="A2016" s="1">
        <f>HYPERLINK("http://www.twitter.com/NathanBLawrence/status/986446975984861184", "986446975984861184")</f>
        <v/>
      </c>
      <c r="B2016" s="2" t="n">
        <v>43208.14653935185</v>
      </c>
      <c r="C2016" t="n">
        <v>0</v>
      </c>
      <c r="D2016" t="n">
        <v>2</v>
      </c>
      <c r="E2016" t="s">
        <v>1992</v>
      </c>
      <c r="F2016" t="s"/>
      <c r="G2016" t="s"/>
      <c r="H2016" t="s"/>
      <c r="I2016" t="s"/>
      <c r="J2016" t="n">
        <v>0.6588000000000001</v>
      </c>
      <c r="K2016" t="n">
        <v>0</v>
      </c>
      <c r="L2016" t="n">
        <v>0.715</v>
      </c>
      <c r="M2016" t="n">
        <v>0.285</v>
      </c>
    </row>
    <row r="2017" spans="1:13">
      <c r="A2017" s="1">
        <f>HYPERLINK("http://www.twitter.com/NathanBLawrence/status/986446965838934016", "986446965838934016")</f>
        <v/>
      </c>
      <c r="B2017" s="2" t="n">
        <v>43208.14650462963</v>
      </c>
      <c r="C2017" t="n">
        <v>0</v>
      </c>
      <c r="D2017" t="n">
        <v>4</v>
      </c>
      <c r="E2017" t="s">
        <v>1993</v>
      </c>
      <c r="F2017" t="s"/>
      <c r="G2017" t="s"/>
      <c r="H2017" t="s"/>
      <c r="I2017" t="s"/>
      <c r="J2017" t="n">
        <v>0</v>
      </c>
      <c r="K2017" t="n">
        <v>0</v>
      </c>
      <c r="L2017" t="n">
        <v>1</v>
      </c>
      <c r="M2017" t="n">
        <v>0</v>
      </c>
    </row>
    <row r="2018" spans="1:13">
      <c r="A2018" s="1">
        <f>HYPERLINK("http://www.twitter.com/NathanBLawrence/status/986446944611590144", "986446944611590144")</f>
        <v/>
      </c>
      <c r="B2018" s="2" t="n">
        <v>43208.14644675926</v>
      </c>
      <c r="C2018" t="n">
        <v>0</v>
      </c>
      <c r="D2018" t="n">
        <v>3</v>
      </c>
      <c r="E2018" t="s">
        <v>1994</v>
      </c>
      <c r="F2018" t="s"/>
      <c r="G2018" t="s"/>
      <c r="H2018" t="s"/>
      <c r="I2018" t="s"/>
      <c r="J2018" t="n">
        <v>0.1531</v>
      </c>
      <c r="K2018" t="n">
        <v>0.112</v>
      </c>
      <c r="L2018" t="n">
        <v>0.745</v>
      </c>
      <c r="M2018" t="n">
        <v>0.144</v>
      </c>
    </row>
    <row r="2019" spans="1:13">
      <c r="A2019" s="1">
        <f>HYPERLINK("http://www.twitter.com/NathanBLawrence/status/986446935035916288", "986446935035916288")</f>
        <v/>
      </c>
      <c r="B2019" s="2" t="n">
        <v>43208.14642361111</v>
      </c>
      <c r="C2019" t="n">
        <v>0</v>
      </c>
      <c r="D2019" t="n">
        <v>2</v>
      </c>
      <c r="E2019" t="s">
        <v>1995</v>
      </c>
      <c r="F2019" t="s"/>
      <c r="G2019" t="s"/>
      <c r="H2019" t="s"/>
      <c r="I2019" t="s"/>
      <c r="J2019" t="n">
        <v>-0.8316</v>
      </c>
      <c r="K2019" t="n">
        <v>0.423</v>
      </c>
      <c r="L2019" t="n">
        <v>0.577</v>
      </c>
      <c r="M2019" t="n">
        <v>0</v>
      </c>
    </row>
    <row r="2020" spans="1:13">
      <c r="A2020" s="1">
        <f>HYPERLINK("http://www.twitter.com/NathanBLawrence/status/986446903297609731", "986446903297609731")</f>
        <v/>
      </c>
      <c r="B2020" s="2" t="n">
        <v>43208.14633101852</v>
      </c>
      <c r="C2020" t="n">
        <v>0</v>
      </c>
      <c r="D2020" t="n">
        <v>3</v>
      </c>
      <c r="E2020" t="s">
        <v>1982</v>
      </c>
      <c r="F2020" t="s"/>
      <c r="G2020" t="s"/>
      <c r="H2020" t="s"/>
      <c r="I2020" t="s"/>
      <c r="J2020" t="n">
        <v>0</v>
      </c>
      <c r="K2020" t="n">
        <v>0</v>
      </c>
      <c r="L2020" t="n">
        <v>1</v>
      </c>
      <c r="M2020" t="n">
        <v>0</v>
      </c>
    </row>
    <row r="2021" spans="1:13">
      <c r="A2021" s="1">
        <f>HYPERLINK("http://www.twitter.com/NathanBLawrence/status/986446770233397248", "986446770233397248")</f>
        <v/>
      </c>
      <c r="B2021" s="2" t="n">
        <v>43208.14596064815</v>
      </c>
      <c r="C2021" t="n">
        <v>0</v>
      </c>
      <c r="D2021" t="n">
        <v>3</v>
      </c>
      <c r="E2021" t="s">
        <v>1996</v>
      </c>
      <c r="F2021">
        <f>HYPERLINK("http://pbs.twimg.com/media/DbB7BjxVQAEMBMa.jpg", "http://pbs.twimg.com/media/DbB7BjxVQAEMBMa.jpg")</f>
        <v/>
      </c>
      <c r="G2021" t="s"/>
      <c r="H2021" t="s"/>
      <c r="I2021" t="s"/>
      <c r="J2021" t="n">
        <v>-0.4588</v>
      </c>
      <c r="K2021" t="n">
        <v>0.295</v>
      </c>
      <c r="L2021" t="n">
        <v>0.591</v>
      </c>
      <c r="M2021" t="n">
        <v>0.114</v>
      </c>
    </row>
    <row r="2022" spans="1:13">
      <c r="A2022" s="1">
        <f>HYPERLINK("http://www.twitter.com/NathanBLawrence/status/986446747089231872", "986446747089231872")</f>
        <v/>
      </c>
      <c r="B2022" s="2" t="n">
        <v>43208.14590277777</v>
      </c>
      <c r="C2022" t="n">
        <v>0</v>
      </c>
      <c r="D2022" t="n">
        <v>4</v>
      </c>
      <c r="E2022" t="s">
        <v>1997</v>
      </c>
      <c r="F2022" t="s"/>
      <c r="G2022" t="s"/>
      <c r="H2022" t="s"/>
      <c r="I2022" t="s"/>
      <c r="J2022" t="n">
        <v>0</v>
      </c>
      <c r="K2022" t="n">
        <v>0</v>
      </c>
      <c r="L2022" t="n">
        <v>1</v>
      </c>
      <c r="M2022" t="n">
        <v>0</v>
      </c>
    </row>
    <row r="2023" spans="1:13">
      <c r="A2023" s="1">
        <f>HYPERLINK("http://www.twitter.com/NathanBLawrence/status/986446731373051904", "986446731373051904")</f>
        <v/>
      </c>
      <c r="B2023" s="2" t="n">
        <v>43208.14585648148</v>
      </c>
      <c r="C2023" t="n">
        <v>0</v>
      </c>
      <c r="D2023" t="n">
        <v>6</v>
      </c>
      <c r="E2023" t="s">
        <v>1998</v>
      </c>
      <c r="F2023" t="s"/>
      <c r="G2023" t="s"/>
      <c r="H2023" t="s"/>
      <c r="I2023" t="s"/>
      <c r="J2023" t="n">
        <v>-0.4939</v>
      </c>
      <c r="K2023" t="n">
        <v>0.233</v>
      </c>
      <c r="L2023" t="n">
        <v>0.667</v>
      </c>
      <c r="M2023" t="n">
        <v>0.1</v>
      </c>
    </row>
    <row r="2024" spans="1:13">
      <c r="A2024" s="1">
        <f>HYPERLINK("http://www.twitter.com/NathanBLawrence/status/986446690902298626", "986446690902298626")</f>
        <v/>
      </c>
      <c r="B2024" s="2" t="n">
        <v>43208.14575231481</v>
      </c>
      <c r="C2024" t="n">
        <v>0</v>
      </c>
      <c r="D2024" t="n">
        <v>2</v>
      </c>
      <c r="E2024" t="s">
        <v>1999</v>
      </c>
      <c r="F2024" t="s"/>
      <c r="G2024" t="s"/>
      <c r="H2024" t="s"/>
      <c r="I2024" t="s"/>
      <c r="J2024" t="n">
        <v>0</v>
      </c>
      <c r="K2024" t="n">
        <v>0</v>
      </c>
      <c r="L2024" t="n">
        <v>1</v>
      </c>
      <c r="M2024" t="n">
        <v>0</v>
      </c>
    </row>
    <row r="2025" spans="1:13">
      <c r="A2025" s="1">
        <f>HYPERLINK("http://www.twitter.com/NathanBLawrence/status/986445946820202496", "986445946820202496")</f>
        <v/>
      </c>
      <c r="B2025" s="2" t="n">
        <v>43208.14369212963</v>
      </c>
      <c r="C2025" t="n">
        <v>0</v>
      </c>
      <c r="D2025" t="n">
        <v>4</v>
      </c>
      <c r="E2025" t="s">
        <v>2000</v>
      </c>
      <c r="F2025" t="s"/>
      <c r="G2025" t="s"/>
      <c r="H2025" t="s"/>
      <c r="I2025" t="s"/>
      <c r="J2025" t="n">
        <v>0</v>
      </c>
      <c r="K2025" t="n">
        <v>0</v>
      </c>
      <c r="L2025" t="n">
        <v>1</v>
      </c>
      <c r="M2025" t="n">
        <v>0</v>
      </c>
    </row>
    <row r="2026" spans="1:13">
      <c r="A2026" s="1">
        <f>HYPERLINK("http://www.twitter.com/NathanBLawrence/status/986445933914312704", "986445933914312704")</f>
        <v/>
      </c>
      <c r="B2026" s="2" t="n">
        <v>43208.14365740741</v>
      </c>
      <c r="C2026" t="n">
        <v>0</v>
      </c>
      <c r="D2026" t="n">
        <v>2</v>
      </c>
      <c r="E2026" t="s">
        <v>1999</v>
      </c>
      <c r="F2026" t="s"/>
      <c r="G2026" t="s"/>
      <c r="H2026" t="s"/>
      <c r="I2026" t="s"/>
      <c r="J2026" t="n">
        <v>0</v>
      </c>
      <c r="K2026" t="n">
        <v>0</v>
      </c>
      <c r="L2026" t="n">
        <v>1</v>
      </c>
      <c r="M2026" t="n">
        <v>0</v>
      </c>
    </row>
    <row r="2027" spans="1:13">
      <c r="A2027" s="1">
        <f>HYPERLINK("http://www.twitter.com/NathanBLawrence/status/986445912439435265", "986445912439435265")</f>
        <v/>
      </c>
      <c r="B2027" s="2" t="n">
        <v>43208.14359953703</v>
      </c>
      <c r="C2027" t="n">
        <v>0</v>
      </c>
      <c r="D2027" t="n">
        <v>4</v>
      </c>
      <c r="E2027" t="s">
        <v>2001</v>
      </c>
      <c r="F2027">
        <f>HYPERLINK("http://pbs.twimg.com/media/DbB99kMW0AUga2j.jpg", "http://pbs.twimg.com/media/DbB99kMW0AUga2j.jpg")</f>
        <v/>
      </c>
      <c r="G2027" t="s"/>
      <c r="H2027" t="s"/>
      <c r="I2027" t="s"/>
      <c r="J2027" t="n">
        <v>0</v>
      </c>
      <c r="K2027" t="n">
        <v>0</v>
      </c>
      <c r="L2027" t="n">
        <v>1</v>
      </c>
      <c r="M2027" t="n">
        <v>0</v>
      </c>
    </row>
    <row r="2028" spans="1:13">
      <c r="A2028" s="1">
        <f>HYPERLINK("http://www.twitter.com/NathanBLawrence/status/986445887944773632", "986445887944773632")</f>
        <v/>
      </c>
      <c r="B2028" s="2" t="n">
        <v>43208.1435300926</v>
      </c>
      <c r="C2028" t="n">
        <v>0</v>
      </c>
      <c r="D2028" t="n">
        <v>2</v>
      </c>
      <c r="E2028" t="s">
        <v>2002</v>
      </c>
      <c r="F2028" t="s"/>
      <c r="G2028" t="s"/>
      <c r="H2028" t="s"/>
      <c r="I2028" t="s"/>
      <c r="J2028" t="n">
        <v>-0.1759</v>
      </c>
      <c r="K2028" t="n">
        <v>0.126</v>
      </c>
      <c r="L2028" t="n">
        <v>0.776</v>
      </c>
      <c r="M2028" t="n">
        <v>0.098</v>
      </c>
    </row>
    <row r="2029" spans="1:13">
      <c r="A2029" s="1">
        <f>HYPERLINK("http://www.twitter.com/NathanBLawrence/status/986445853551484928", "986445853551484928")</f>
        <v/>
      </c>
      <c r="B2029" s="2" t="n">
        <v>43208.1434375</v>
      </c>
      <c r="C2029" t="n">
        <v>0</v>
      </c>
      <c r="D2029" t="n">
        <v>3</v>
      </c>
      <c r="E2029" t="s">
        <v>2000</v>
      </c>
      <c r="F2029" t="s"/>
      <c r="G2029" t="s"/>
      <c r="H2029" t="s"/>
      <c r="I2029" t="s"/>
      <c r="J2029" t="n">
        <v>0</v>
      </c>
      <c r="K2029" t="n">
        <v>0</v>
      </c>
      <c r="L2029" t="n">
        <v>1</v>
      </c>
      <c r="M2029" t="n">
        <v>0</v>
      </c>
    </row>
    <row r="2030" spans="1:13">
      <c r="A2030" s="1">
        <f>HYPERLINK("http://www.twitter.com/NathanBLawrence/status/986445819334324230", "986445819334324230")</f>
        <v/>
      </c>
      <c r="B2030" s="2" t="n">
        <v>43208.14334490741</v>
      </c>
      <c r="C2030" t="n">
        <v>0</v>
      </c>
      <c r="D2030" t="n">
        <v>3</v>
      </c>
      <c r="E2030" t="s">
        <v>2003</v>
      </c>
      <c r="F2030" t="s"/>
      <c r="G2030" t="s"/>
      <c r="H2030" t="s"/>
      <c r="I2030" t="s"/>
      <c r="J2030" t="n">
        <v>-0.25</v>
      </c>
      <c r="K2030" t="n">
        <v>0.105</v>
      </c>
      <c r="L2030" t="n">
        <v>0.895</v>
      </c>
      <c r="M2030" t="n">
        <v>0</v>
      </c>
    </row>
    <row r="2031" spans="1:13">
      <c r="A2031" s="1">
        <f>HYPERLINK("http://www.twitter.com/NathanBLawrence/status/986445802087374849", "986445802087374849")</f>
        <v/>
      </c>
      <c r="B2031" s="2" t="n">
        <v>43208.14329861111</v>
      </c>
      <c r="C2031" t="n">
        <v>0</v>
      </c>
      <c r="D2031" t="n">
        <v>1</v>
      </c>
      <c r="E2031" t="s">
        <v>2004</v>
      </c>
      <c r="F2031" t="s"/>
      <c r="G2031" t="s"/>
      <c r="H2031" t="s"/>
      <c r="I2031" t="s"/>
      <c r="J2031" t="n">
        <v>0</v>
      </c>
      <c r="K2031" t="n">
        <v>0</v>
      </c>
      <c r="L2031" t="n">
        <v>1</v>
      </c>
      <c r="M2031" t="n">
        <v>0</v>
      </c>
    </row>
    <row r="2032" spans="1:13">
      <c r="A2032" s="1">
        <f>HYPERLINK("http://www.twitter.com/NathanBLawrence/status/986445787986087936", "986445787986087936")</f>
        <v/>
      </c>
      <c r="B2032" s="2" t="n">
        <v>43208.14325231482</v>
      </c>
      <c r="C2032" t="n">
        <v>0</v>
      </c>
      <c r="D2032" t="n">
        <v>3</v>
      </c>
      <c r="E2032" t="s">
        <v>2005</v>
      </c>
      <c r="F2032" t="s"/>
      <c r="G2032" t="s"/>
      <c r="H2032" t="s"/>
      <c r="I2032" t="s"/>
      <c r="J2032" t="n">
        <v>0</v>
      </c>
      <c r="K2032" t="n">
        <v>0</v>
      </c>
      <c r="L2032" t="n">
        <v>1</v>
      </c>
      <c r="M2032" t="n">
        <v>0</v>
      </c>
    </row>
    <row r="2033" spans="1:13">
      <c r="A2033" s="1">
        <f>HYPERLINK("http://www.twitter.com/NathanBLawrence/status/986445751382396928", "986445751382396928")</f>
        <v/>
      </c>
      <c r="B2033" s="2" t="n">
        <v>43208.14315972223</v>
      </c>
      <c r="C2033" t="n">
        <v>0</v>
      </c>
      <c r="D2033" t="n">
        <v>2</v>
      </c>
      <c r="E2033" t="s">
        <v>2006</v>
      </c>
      <c r="F2033" t="s"/>
      <c r="G2033" t="s"/>
      <c r="H2033" t="s"/>
      <c r="I2033" t="s"/>
      <c r="J2033" t="n">
        <v>0</v>
      </c>
      <c r="K2033" t="n">
        <v>0</v>
      </c>
      <c r="L2033" t="n">
        <v>1</v>
      </c>
      <c r="M2033" t="n">
        <v>0</v>
      </c>
    </row>
    <row r="2034" spans="1:13">
      <c r="A2034" s="1">
        <f>HYPERLINK("http://www.twitter.com/NathanBLawrence/status/986445409013952512", "986445409013952512")</f>
        <v/>
      </c>
      <c r="B2034" s="2" t="n">
        <v>43208.14221064815</v>
      </c>
      <c r="C2034" t="n">
        <v>0</v>
      </c>
      <c r="D2034" t="n">
        <v>4</v>
      </c>
      <c r="E2034" t="s">
        <v>2007</v>
      </c>
      <c r="F2034" t="s"/>
      <c r="G2034" t="s"/>
      <c r="H2034" t="s"/>
      <c r="I2034" t="s"/>
      <c r="J2034" t="n">
        <v>0.3612</v>
      </c>
      <c r="K2034" t="n">
        <v>0</v>
      </c>
      <c r="L2034" t="n">
        <v>0.878</v>
      </c>
      <c r="M2034" t="n">
        <v>0.122</v>
      </c>
    </row>
    <row r="2035" spans="1:13">
      <c r="A2035" s="1">
        <f>HYPERLINK("http://www.twitter.com/NathanBLawrence/status/986445394719756288", "986445394719756288")</f>
        <v/>
      </c>
      <c r="B2035" s="2" t="n">
        <v>43208.14217592592</v>
      </c>
      <c r="C2035" t="n">
        <v>0</v>
      </c>
      <c r="D2035" t="n">
        <v>1</v>
      </c>
      <c r="E2035" t="s">
        <v>2008</v>
      </c>
      <c r="F2035" t="s"/>
      <c r="G2035" t="s"/>
      <c r="H2035" t="s"/>
      <c r="I2035" t="s"/>
      <c r="J2035" t="n">
        <v>-0.4357</v>
      </c>
      <c r="K2035" t="n">
        <v>0.152</v>
      </c>
      <c r="L2035" t="n">
        <v>0.848</v>
      </c>
      <c r="M2035" t="n">
        <v>0</v>
      </c>
    </row>
    <row r="2036" spans="1:13">
      <c r="A2036" s="1">
        <f>HYPERLINK("http://www.twitter.com/NathanBLawrence/status/986445144567230465", "986445144567230465")</f>
        <v/>
      </c>
      <c r="B2036" s="2" t="n">
        <v>43208.14148148148</v>
      </c>
      <c r="C2036" t="n">
        <v>0</v>
      </c>
      <c r="D2036" t="n">
        <v>0</v>
      </c>
      <c r="E2036" t="s">
        <v>2009</v>
      </c>
      <c r="F2036" t="s"/>
      <c r="G2036" t="s"/>
      <c r="H2036" t="s"/>
      <c r="I2036" t="s"/>
      <c r="J2036" t="n">
        <v>0.6369</v>
      </c>
      <c r="K2036" t="n">
        <v>0</v>
      </c>
      <c r="L2036" t="n">
        <v>0.802</v>
      </c>
      <c r="M2036" t="n">
        <v>0.198</v>
      </c>
    </row>
    <row r="2037" spans="1:13">
      <c r="A2037" s="1">
        <f>HYPERLINK("http://www.twitter.com/NathanBLawrence/status/986445106629750785", "986445106629750785")</f>
        <v/>
      </c>
      <c r="B2037" s="2" t="n">
        <v>43208.14137731482</v>
      </c>
      <c r="C2037" t="n">
        <v>0</v>
      </c>
      <c r="D2037" t="n">
        <v>18</v>
      </c>
      <c r="E2037" t="s">
        <v>2010</v>
      </c>
      <c r="F2037" t="s"/>
      <c r="G2037" t="s"/>
      <c r="H2037" t="s"/>
      <c r="I2037" t="s"/>
      <c r="J2037" t="n">
        <v>0</v>
      </c>
      <c r="K2037" t="n">
        <v>0</v>
      </c>
      <c r="L2037" t="n">
        <v>1</v>
      </c>
      <c r="M2037" t="n">
        <v>0</v>
      </c>
    </row>
    <row r="2038" spans="1:13">
      <c r="A2038" s="1">
        <f>HYPERLINK("http://www.twitter.com/NathanBLawrence/status/986445033950806016", "986445033950806016")</f>
        <v/>
      </c>
      <c r="B2038" s="2" t="n">
        <v>43208.14118055555</v>
      </c>
      <c r="C2038" t="n">
        <v>0</v>
      </c>
      <c r="D2038" t="n">
        <v>12</v>
      </c>
      <c r="E2038" t="s">
        <v>2011</v>
      </c>
      <c r="F2038" t="s"/>
      <c r="G2038" t="s"/>
      <c r="H2038" t="s"/>
      <c r="I2038" t="s"/>
      <c r="J2038" t="n">
        <v>-0.34</v>
      </c>
      <c r="K2038" t="n">
        <v>0.103</v>
      </c>
      <c r="L2038" t="n">
        <v>0.897</v>
      </c>
      <c r="M2038" t="n">
        <v>0</v>
      </c>
    </row>
    <row r="2039" spans="1:13">
      <c r="A2039" s="1">
        <f>HYPERLINK("http://www.twitter.com/NathanBLawrence/status/986445007094771713", "986445007094771713")</f>
        <v/>
      </c>
      <c r="B2039" s="2" t="n">
        <v>43208.14109953704</v>
      </c>
      <c r="C2039" t="n">
        <v>0</v>
      </c>
      <c r="D2039" t="n">
        <v>9</v>
      </c>
      <c r="E2039" t="s">
        <v>2012</v>
      </c>
      <c r="F2039" t="s"/>
      <c r="G2039" t="s"/>
      <c r="H2039" t="s"/>
      <c r="I2039" t="s"/>
      <c r="J2039" t="n">
        <v>0.7438</v>
      </c>
      <c r="K2039" t="n">
        <v>0</v>
      </c>
      <c r="L2039" t="n">
        <v>0.732</v>
      </c>
      <c r="M2039" t="n">
        <v>0.268</v>
      </c>
    </row>
    <row r="2040" spans="1:13">
      <c r="A2040" s="1">
        <f>HYPERLINK("http://www.twitter.com/NathanBLawrence/status/986444997879877637", "986444997879877637")</f>
        <v/>
      </c>
      <c r="B2040" s="2" t="n">
        <v>43208.14107638889</v>
      </c>
      <c r="C2040" t="n">
        <v>0</v>
      </c>
      <c r="D2040" t="n">
        <v>6</v>
      </c>
      <c r="E2040" t="s">
        <v>1949</v>
      </c>
      <c r="F2040" t="s"/>
      <c r="G2040" t="s"/>
      <c r="H2040" t="s"/>
      <c r="I2040" t="s"/>
      <c r="J2040" t="n">
        <v>0</v>
      </c>
      <c r="K2040" t="n">
        <v>0</v>
      </c>
      <c r="L2040" t="n">
        <v>1</v>
      </c>
      <c r="M2040" t="n">
        <v>0</v>
      </c>
    </row>
    <row r="2041" spans="1:13">
      <c r="A2041" s="1">
        <f>HYPERLINK("http://www.twitter.com/NathanBLawrence/status/986444979416522752", "986444979416522752")</f>
        <v/>
      </c>
      <c r="B2041" s="2" t="n">
        <v>43208.14103009259</v>
      </c>
      <c r="C2041" t="n">
        <v>0</v>
      </c>
      <c r="D2041" t="n">
        <v>9</v>
      </c>
      <c r="E2041" t="s">
        <v>1953</v>
      </c>
      <c r="F2041" t="s"/>
      <c r="G2041" t="s"/>
      <c r="H2041" t="s"/>
      <c r="I2041" t="s"/>
      <c r="J2041" t="n">
        <v>0</v>
      </c>
      <c r="K2041" t="n">
        <v>0</v>
      </c>
      <c r="L2041" t="n">
        <v>1</v>
      </c>
      <c r="M2041" t="n">
        <v>0</v>
      </c>
    </row>
    <row r="2042" spans="1:13">
      <c r="A2042" s="1">
        <f>HYPERLINK("http://www.twitter.com/NathanBLawrence/status/986444924391391232", "986444924391391232")</f>
        <v/>
      </c>
      <c r="B2042" s="2" t="n">
        <v>43208.14086805555</v>
      </c>
      <c r="C2042" t="n">
        <v>0</v>
      </c>
      <c r="D2042" t="n">
        <v>4</v>
      </c>
      <c r="E2042" t="s">
        <v>2013</v>
      </c>
      <c r="F2042">
        <f>HYPERLINK("http://pbs.twimg.com/media/DbB1_vOU0AAFaLp.jpg", "http://pbs.twimg.com/media/DbB1_vOU0AAFaLp.jpg")</f>
        <v/>
      </c>
      <c r="G2042" t="s"/>
      <c r="H2042" t="s"/>
      <c r="I2042" t="s"/>
      <c r="J2042" t="n">
        <v>0.7761</v>
      </c>
      <c r="K2042" t="n">
        <v>0</v>
      </c>
      <c r="L2042" t="n">
        <v>0.596</v>
      </c>
      <c r="M2042" t="n">
        <v>0.404</v>
      </c>
    </row>
    <row r="2043" spans="1:13">
      <c r="A2043" s="1">
        <f>HYPERLINK("http://www.twitter.com/NathanBLawrence/status/986444873921331200", "986444873921331200")</f>
        <v/>
      </c>
      <c r="B2043" s="2" t="n">
        <v>43208.14072916667</v>
      </c>
      <c r="C2043" t="n">
        <v>0</v>
      </c>
      <c r="D2043" t="n">
        <v>8</v>
      </c>
      <c r="E2043" t="s">
        <v>2014</v>
      </c>
      <c r="F2043" t="s"/>
      <c r="G2043" t="s"/>
      <c r="H2043" t="s"/>
      <c r="I2043" t="s"/>
      <c r="J2043" t="n">
        <v>-0.4086</v>
      </c>
      <c r="K2043" t="n">
        <v>0.141</v>
      </c>
      <c r="L2043" t="n">
        <v>0.789</v>
      </c>
      <c r="M2043" t="n">
        <v>0.06900000000000001</v>
      </c>
    </row>
    <row r="2044" spans="1:13">
      <c r="A2044" s="1">
        <f>HYPERLINK("http://www.twitter.com/NathanBLawrence/status/986444680543031298", "986444680543031298")</f>
        <v/>
      </c>
      <c r="B2044" s="2" t="n">
        <v>43208.14019675926</v>
      </c>
      <c r="C2044" t="n">
        <v>0</v>
      </c>
      <c r="D2044" t="n">
        <v>9</v>
      </c>
      <c r="E2044" t="s">
        <v>2015</v>
      </c>
      <c r="F2044" t="s"/>
      <c r="G2044" t="s"/>
      <c r="H2044" t="s"/>
      <c r="I2044" t="s"/>
      <c r="J2044" t="n">
        <v>0.3818</v>
      </c>
      <c r="K2044" t="n">
        <v>0</v>
      </c>
      <c r="L2044" t="n">
        <v>0.89</v>
      </c>
      <c r="M2044" t="n">
        <v>0.11</v>
      </c>
    </row>
    <row r="2045" spans="1:13">
      <c r="A2045" s="1">
        <f>HYPERLINK("http://www.twitter.com/NathanBLawrence/status/986444583017111552", "986444583017111552")</f>
        <v/>
      </c>
      <c r="B2045" s="2" t="n">
        <v>43208.13993055555</v>
      </c>
      <c r="C2045" t="n">
        <v>0</v>
      </c>
      <c r="D2045" t="n">
        <v>15</v>
      </c>
      <c r="E2045" t="s">
        <v>2016</v>
      </c>
      <c r="F2045" t="s"/>
      <c r="G2045" t="s"/>
      <c r="H2045" t="s"/>
      <c r="I2045" t="s"/>
      <c r="J2045" t="n">
        <v>0.507</v>
      </c>
      <c r="K2045" t="n">
        <v>0.115</v>
      </c>
      <c r="L2045" t="n">
        <v>0.698</v>
      </c>
      <c r="M2045" t="n">
        <v>0.187</v>
      </c>
    </row>
    <row r="2046" spans="1:13">
      <c r="A2046" s="1">
        <f>HYPERLINK("http://www.twitter.com/NathanBLawrence/status/986444531246739456", "986444531246739456")</f>
        <v/>
      </c>
      <c r="B2046" s="2" t="n">
        <v>43208.13979166667</v>
      </c>
      <c r="C2046" t="n">
        <v>0</v>
      </c>
      <c r="D2046" t="n">
        <v>22</v>
      </c>
      <c r="E2046" t="s">
        <v>1975</v>
      </c>
      <c r="F2046" t="s"/>
      <c r="G2046" t="s"/>
      <c r="H2046" t="s"/>
      <c r="I2046" t="s"/>
      <c r="J2046" t="n">
        <v>0.6037</v>
      </c>
      <c r="K2046" t="n">
        <v>0</v>
      </c>
      <c r="L2046" t="n">
        <v>0.859</v>
      </c>
      <c r="M2046" t="n">
        <v>0.141</v>
      </c>
    </row>
    <row r="2047" spans="1:13">
      <c r="A2047" s="1">
        <f>HYPERLINK("http://www.twitter.com/NathanBLawrence/status/986444517896278016", "986444517896278016")</f>
        <v/>
      </c>
      <c r="B2047" s="2" t="n">
        <v>43208.13974537037</v>
      </c>
      <c r="C2047" t="n">
        <v>0</v>
      </c>
      <c r="D2047" t="n">
        <v>10</v>
      </c>
      <c r="E2047" t="s">
        <v>2017</v>
      </c>
      <c r="F2047" t="s"/>
      <c r="G2047" t="s"/>
      <c r="H2047" t="s"/>
      <c r="I2047" t="s"/>
      <c r="J2047" t="n">
        <v>0.1477</v>
      </c>
      <c r="K2047" t="n">
        <v>0</v>
      </c>
      <c r="L2047" t="n">
        <v>0.899</v>
      </c>
      <c r="M2047" t="n">
        <v>0.101</v>
      </c>
    </row>
    <row r="2048" spans="1:13">
      <c r="A2048" s="1">
        <f>HYPERLINK("http://www.twitter.com/NathanBLawrence/status/986444474615287809", "986444474615287809")</f>
        <v/>
      </c>
      <c r="B2048" s="2" t="n">
        <v>43208.13962962963</v>
      </c>
      <c r="C2048" t="n">
        <v>0</v>
      </c>
      <c r="D2048" t="n">
        <v>14</v>
      </c>
      <c r="E2048" t="s">
        <v>2018</v>
      </c>
      <c r="F2048" t="s"/>
      <c r="G2048" t="s"/>
      <c r="H2048" t="s"/>
      <c r="I2048" t="s"/>
      <c r="J2048" t="n">
        <v>-0.4939</v>
      </c>
      <c r="K2048" t="n">
        <v>0.132</v>
      </c>
      <c r="L2048" t="n">
        <v>0.868</v>
      </c>
      <c r="M2048" t="n">
        <v>0</v>
      </c>
    </row>
    <row r="2049" spans="1:13">
      <c r="A2049" s="1">
        <f>HYPERLINK("http://www.twitter.com/NathanBLawrence/status/986444336551297024", "986444336551297024")</f>
        <v/>
      </c>
      <c r="B2049" s="2" t="n">
        <v>43208.13924768518</v>
      </c>
      <c r="C2049" t="n">
        <v>0</v>
      </c>
      <c r="D2049" t="n">
        <v>11</v>
      </c>
      <c r="E2049" t="s">
        <v>2019</v>
      </c>
      <c r="F2049" t="s"/>
      <c r="G2049" t="s"/>
      <c r="H2049" t="s"/>
      <c r="I2049" t="s"/>
      <c r="J2049" t="n">
        <v>-0.4696</v>
      </c>
      <c r="K2049" t="n">
        <v>0.127</v>
      </c>
      <c r="L2049" t="n">
        <v>0.873</v>
      </c>
      <c r="M2049" t="n">
        <v>0</v>
      </c>
    </row>
    <row r="2050" spans="1:13">
      <c r="A2050" s="1">
        <f>HYPERLINK("http://www.twitter.com/NathanBLawrence/status/986444319610589184", "986444319610589184")</f>
        <v/>
      </c>
      <c r="B2050" s="2" t="n">
        <v>43208.13920138889</v>
      </c>
      <c r="C2050" t="n">
        <v>0</v>
      </c>
      <c r="D2050" t="n">
        <v>17</v>
      </c>
      <c r="E2050" t="s">
        <v>2020</v>
      </c>
      <c r="F2050">
        <f>HYPERLINK("http://pbs.twimg.com/media/DbAbQXpVQAA9epm.jpg", "http://pbs.twimg.com/media/DbAbQXpVQAA9epm.jpg")</f>
        <v/>
      </c>
      <c r="G2050" t="s"/>
      <c r="H2050" t="s"/>
      <c r="I2050" t="s"/>
      <c r="J2050" t="n">
        <v>0</v>
      </c>
      <c r="K2050" t="n">
        <v>0</v>
      </c>
      <c r="L2050" t="n">
        <v>1</v>
      </c>
      <c r="M2050" t="n">
        <v>0</v>
      </c>
    </row>
    <row r="2051" spans="1:13">
      <c r="A2051" s="1">
        <f>HYPERLINK("http://www.twitter.com/NathanBLawrence/status/986444288937660417", "986444288937660417")</f>
        <v/>
      </c>
      <c r="B2051" s="2" t="n">
        <v>43208.13912037037</v>
      </c>
      <c r="C2051" t="n">
        <v>0</v>
      </c>
      <c r="D2051" t="n">
        <v>9</v>
      </c>
      <c r="E2051" t="s">
        <v>2021</v>
      </c>
      <c r="F2051" t="s"/>
      <c r="G2051" t="s"/>
      <c r="H2051" t="s"/>
      <c r="I2051" t="s"/>
      <c r="J2051" t="n">
        <v>0.1695</v>
      </c>
      <c r="K2051" t="n">
        <v>0</v>
      </c>
      <c r="L2051" t="n">
        <v>0.926</v>
      </c>
      <c r="M2051" t="n">
        <v>0.074</v>
      </c>
    </row>
    <row r="2052" spans="1:13">
      <c r="A2052" s="1">
        <f>HYPERLINK("http://www.twitter.com/NathanBLawrence/status/986444252900134912", "986444252900134912")</f>
        <v/>
      </c>
      <c r="B2052" s="2" t="n">
        <v>43208.13901620371</v>
      </c>
      <c r="C2052" t="n">
        <v>0</v>
      </c>
      <c r="D2052" t="n">
        <v>12</v>
      </c>
      <c r="E2052" t="s">
        <v>2022</v>
      </c>
      <c r="F2052">
        <f>HYPERLINK("http://pbs.twimg.com/media/DbBvN32WkAAKjOJ.jpg", "http://pbs.twimg.com/media/DbBvN32WkAAKjOJ.jpg")</f>
        <v/>
      </c>
      <c r="G2052" t="s"/>
      <c r="H2052" t="s"/>
      <c r="I2052" t="s"/>
      <c r="J2052" t="n">
        <v>-0.1027</v>
      </c>
      <c r="K2052" t="n">
        <v>0.139</v>
      </c>
      <c r="L2052" t="n">
        <v>0.743</v>
      </c>
      <c r="M2052" t="n">
        <v>0.119</v>
      </c>
    </row>
    <row r="2053" spans="1:13">
      <c r="A2053" s="1">
        <f>HYPERLINK("http://www.twitter.com/NathanBLawrence/status/986444225247088640", "986444225247088640")</f>
        <v/>
      </c>
      <c r="B2053" s="2" t="n">
        <v>43208.13894675926</v>
      </c>
      <c r="C2053" t="n">
        <v>0</v>
      </c>
      <c r="D2053" t="n">
        <v>17</v>
      </c>
      <c r="E2053" t="s">
        <v>2023</v>
      </c>
      <c r="F2053">
        <f>HYPERLINK("http://pbs.twimg.com/media/DbAWBSHWsAA6OEZ.jpg", "http://pbs.twimg.com/media/DbAWBSHWsAA6OEZ.jpg")</f>
        <v/>
      </c>
      <c r="G2053" t="s"/>
      <c r="H2053" t="s"/>
      <c r="I2053" t="s"/>
      <c r="J2053" t="n">
        <v>0</v>
      </c>
      <c r="K2053" t="n">
        <v>0</v>
      </c>
      <c r="L2053" t="n">
        <v>1</v>
      </c>
      <c r="M2053" t="n">
        <v>0</v>
      </c>
    </row>
    <row r="2054" spans="1:13">
      <c r="A2054" s="1">
        <f>HYPERLINK("http://www.twitter.com/NathanBLawrence/status/986442764664655873", "986442764664655873")</f>
        <v/>
      </c>
      <c r="B2054" s="2" t="n">
        <v>43208.13490740741</v>
      </c>
      <c r="C2054" t="n">
        <v>0</v>
      </c>
      <c r="D2054" t="n">
        <v>0</v>
      </c>
      <c r="E2054" t="s">
        <v>2024</v>
      </c>
      <c r="F2054" t="s"/>
      <c r="G2054" t="s"/>
      <c r="H2054" t="s"/>
      <c r="I2054" t="s"/>
      <c r="J2054" t="n">
        <v>0.3612</v>
      </c>
      <c r="K2054" t="n">
        <v>0</v>
      </c>
      <c r="L2054" t="n">
        <v>0.923</v>
      </c>
      <c r="M2054" t="n">
        <v>0.077</v>
      </c>
    </row>
    <row r="2055" spans="1:13">
      <c r="A2055" s="1">
        <f>HYPERLINK("http://www.twitter.com/NathanBLawrence/status/986355192672260096", "986355192672260096")</f>
        <v/>
      </c>
      <c r="B2055" s="2" t="n">
        <v>43207.89326388889</v>
      </c>
      <c r="C2055" t="n">
        <v>0</v>
      </c>
      <c r="D2055" t="n">
        <v>1331</v>
      </c>
      <c r="E2055" t="s">
        <v>2025</v>
      </c>
      <c r="F2055">
        <f>HYPERLINK("http://pbs.twimg.com/media/Da_rrU-WkAAxZwA.jpg", "http://pbs.twimg.com/media/Da_rrU-WkAAxZwA.jpg")</f>
        <v/>
      </c>
      <c r="G2055" t="s"/>
      <c r="H2055" t="s"/>
      <c r="I2055" t="s"/>
      <c r="J2055" t="n">
        <v>-0.6124000000000001</v>
      </c>
      <c r="K2055" t="n">
        <v>0.235</v>
      </c>
      <c r="L2055" t="n">
        <v>0.765</v>
      </c>
      <c r="M2055" t="n">
        <v>0</v>
      </c>
    </row>
    <row r="2056" spans="1:13">
      <c r="A2056" s="1">
        <f>HYPERLINK("http://www.twitter.com/NathanBLawrence/status/986355140880994305", "986355140880994305")</f>
        <v/>
      </c>
      <c r="B2056" s="2" t="n">
        <v>43207.89311342593</v>
      </c>
      <c r="C2056" t="n">
        <v>0</v>
      </c>
      <c r="D2056" t="n">
        <v>548</v>
      </c>
      <c r="E2056" t="s">
        <v>2026</v>
      </c>
      <c r="F2056" t="s"/>
      <c r="G2056" t="s"/>
      <c r="H2056" t="s"/>
      <c r="I2056" t="s"/>
      <c r="J2056" t="n">
        <v>-0.3182</v>
      </c>
      <c r="K2056" t="n">
        <v>0.289</v>
      </c>
      <c r="L2056" t="n">
        <v>0.498</v>
      </c>
      <c r="M2056" t="n">
        <v>0.213</v>
      </c>
    </row>
    <row r="2057" spans="1:13">
      <c r="A2057" s="1">
        <f>HYPERLINK("http://www.twitter.com/NathanBLawrence/status/986355107041366017", "986355107041366017")</f>
        <v/>
      </c>
      <c r="B2057" s="2" t="n">
        <v>43207.89302083333</v>
      </c>
      <c r="C2057" t="n">
        <v>0</v>
      </c>
      <c r="D2057" t="n">
        <v>4369</v>
      </c>
      <c r="E2057" t="s">
        <v>2027</v>
      </c>
      <c r="F2057" t="s"/>
      <c r="G2057" t="s"/>
      <c r="H2057" t="s"/>
      <c r="I2057" t="s"/>
      <c r="J2057" t="n">
        <v>0</v>
      </c>
      <c r="K2057" t="n">
        <v>0</v>
      </c>
      <c r="L2057" t="n">
        <v>1</v>
      </c>
      <c r="M2057" t="n">
        <v>0</v>
      </c>
    </row>
    <row r="2058" spans="1:13">
      <c r="A2058" s="1">
        <f>HYPERLINK("http://www.twitter.com/NathanBLawrence/status/986355078792712194", "986355078792712194")</f>
        <v/>
      </c>
      <c r="B2058" s="2" t="n">
        <v>43207.89295138889</v>
      </c>
      <c r="C2058" t="n">
        <v>0</v>
      </c>
      <c r="D2058" t="n">
        <v>4</v>
      </c>
      <c r="E2058" t="s">
        <v>2028</v>
      </c>
      <c r="F2058" t="s"/>
      <c r="G2058" t="s"/>
      <c r="H2058" t="s"/>
      <c r="I2058" t="s"/>
      <c r="J2058" t="n">
        <v>0</v>
      </c>
      <c r="K2058" t="n">
        <v>0</v>
      </c>
      <c r="L2058" t="n">
        <v>1</v>
      </c>
      <c r="M2058" t="n">
        <v>0</v>
      </c>
    </row>
    <row r="2059" spans="1:13">
      <c r="A2059" s="1">
        <f>HYPERLINK("http://www.twitter.com/NathanBLawrence/status/986355065077235714", "986355065077235714")</f>
        <v/>
      </c>
      <c r="B2059" s="2" t="n">
        <v>43207.89290509259</v>
      </c>
      <c r="C2059" t="n">
        <v>0</v>
      </c>
      <c r="D2059" t="n">
        <v>2380</v>
      </c>
      <c r="E2059" t="s">
        <v>2029</v>
      </c>
      <c r="F2059" t="s"/>
      <c r="G2059" t="s"/>
      <c r="H2059" t="s"/>
      <c r="I2059" t="s"/>
      <c r="J2059" t="n">
        <v>0</v>
      </c>
      <c r="K2059" t="n">
        <v>0</v>
      </c>
      <c r="L2059" t="n">
        <v>1</v>
      </c>
      <c r="M2059" t="n">
        <v>0</v>
      </c>
    </row>
    <row r="2060" spans="1:13">
      <c r="A2060" s="1">
        <f>HYPERLINK("http://www.twitter.com/NathanBLawrence/status/986355050187575298", "986355050187575298")</f>
        <v/>
      </c>
      <c r="B2060" s="2" t="n">
        <v>43207.89287037037</v>
      </c>
      <c r="C2060" t="n">
        <v>0</v>
      </c>
      <c r="D2060" t="n">
        <v>3308</v>
      </c>
      <c r="E2060" t="s">
        <v>2030</v>
      </c>
      <c r="F2060" t="s"/>
      <c r="G2060" t="s"/>
      <c r="H2060" t="s"/>
      <c r="I2060" t="s"/>
      <c r="J2060" t="n">
        <v>-0.7003</v>
      </c>
      <c r="K2060" t="n">
        <v>0.195</v>
      </c>
      <c r="L2060" t="n">
        <v>0.805</v>
      </c>
      <c r="M2060" t="n">
        <v>0</v>
      </c>
    </row>
    <row r="2061" spans="1:13">
      <c r="A2061" s="1">
        <f>HYPERLINK("http://www.twitter.com/NathanBLawrence/status/986354929538301952", "986354929538301952")</f>
        <v/>
      </c>
      <c r="B2061" s="2" t="n">
        <v>43207.89253472222</v>
      </c>
      <c r="C2061" t="n">
        <v>0</v>
      </c>
      <c r="D2061" t="n">
        <v>11</v>
      </c>
      <c r="E2061" t="s">
        <v>1351</v>
      </c>
      <c r="F2061">
        <f>HYPERLINK("http://pbs.twimg.com/media/DbA8EUHX0AYtv-T.jpg", "http://pbs.twimg.com/media/DbA8EUHX0AYtv-T.jpg")</f>
        <v/>
      </c>
      <c r="G2061" t="s"/>
      <c r="H2061" t="s"/>
      <c r="I2061" t="s"/>
      <c r="J2061" t="n">
        <v>0.8201000000000001</v>
      </c>
      <c r="K2061" t="n">
        <v>0</v>
      </c>
      <c r="L2061" t="n">
        <v>0.643</v>
      </c>
      <c r="M2061" t="n">
        <v>0.357</v>
      </c>
    </row>
    <row r="2062" spans="1:13">
      <c r="A2062" s="1">
        <f>HYPERLINK("http://www.twitter.com/NathanBLawrence/status/986309218004357121", "986309218004357121")</f>
        <v/>
      </c>
      <c r="B2062" s="2" t="n">
        <v>43207.76638888889</v>
      </c>
      <c r="C2062" t="n">
        <v>0</v>
      </c>
      <c r="D2062" t="n">
        <v>13</v>
      </c>
      <c r="E2062" t="s">
        <v>2031</v>
      </c>
      <c r="F2062">
        <f>HYPERLINK("http://pbs.twimg.com/media/DbARwtlW4AAMmsg.jpg", "http://pbs.twimg.com/media/DbARwtlW4AAMmsg.jpg")</f>
        <v/>
      </c>
      <c r="G2062" t="s"/>
      <c r="H2062" t="s"/>
      <c r="I2062" t="s"/>
      <c r="J2062" t="n">
        <v>0</v>
      </c>
      <c r="K2062" t="n">
        <v>0</v>
      </c>
      <c r="L2062" t="n">
        <v>1</v>
      </c>
      <c r="M2062" t="n">
        <v>0</v>
      </c>
    </row>
    <row r="2063" spans="1:13">
      <c r="A2063" s="1">
        <f>HYPERLINK("http://www.twitter.com/NathanBLawrence/status/986309136530006016", "986309136530006016")</f>
        <v/>
      </c>
      <c r="B2063" s="2" t="n">
        <v>43207.76616898148</v>
      </c>
      <c r="C2063" t="n">
        <v>0</v>
      </c>
      <c r="D2063" t="n">
        <v>13</v>
      </c>
      <c r="E2063" t="s">
        <v>2032</v>
      </c>
      <c r="F2063">
        <f>HYPERLINK("http://pbs.twimg.com/media/DbAPOqUV4AA8Ln5.jpg", "http://pbs.twimg.com/media/DbAPOqUV4AA8Ln5.jpg")</f>
        <v/>
      </c>
      <c r="G2063" t="s"/>
      <c r="H2063" t="s"/>
      <c r="I2063" t="s"/>
      <c r="J2063" t="n">
        <v>0.7281</v>
      </c>
      <c r="K2063" t="n">
        <v>0</v>
      </c>
      <c r="L2063" t="n">
        <v>0.757</v>
      </c>
      <c r="M2063" t="n">
        <v>0.243</v>
      </c>
    </row>
    <row r="2064" spans="1:13">
      <c r="A2064" s="1">
        <f>HYPERLINK("http://www.twitter.com/NathanBLawrence/status/986299549714132992", "986299549714132992")</f>
        <v/>
      </c>
      <c r="B2064" s="2" t="n">
        <v>43207.73971064815</v>
      </c>
      <c r="C2064" t="n">
        <v>0</v>
      </c>
      <c r="D2064" t="n">
        <v>1</v>
      </c>
      <c r="E2064" t="s">
        <v>2033</v>
      </c>
      <c r="F2064" t="s"/>
      <c r="G2064" t="s"/>
      <c r="H2064" t="s"/>
      <c r="I2064" t="s"/>
      <c r="J2064" t="n">
        <v>-0.0258</v>
      </c>
      <c r="K2064" t="n">
        <v>0.114</v>
      </c>
      <c r="L2064" t="n">
        <v>0.775</v>
      </c>
      <c r="M2064" t="n">
        <v>0.111</v>
      </c>
    </row>
    <row r="2065" spans="1:13">
      <c r="A2065" s="1">
        <f>HYPERLINK("http://www.twitter.com/NathanBLawrence/status/986299096653811723", "986299096653811723")</f>
        <v/>
      </c>
      <c r="B2065" s="2" t="n">
        <v>43207.73846064815</v>
      </c>
      <c r="C2065" t="n">
        <v>3</v>
      </c>
      <c r="D2065" t="n">
        <v>1</v>
      </c>
      <c r="E2065" t="s">
        <v>2034</v>
      </c>
      <c r="F2065" t="s"/>
      <c r="G2065" t="s"/>
      <c r="H2065" t="s"/>
      <c r="I2065" t="s"/>
      <c r="J2065" t="n">
        <v>-0.3818</v>
      </c>
      <c r="K2065" t="n">
        <v>0.145</v>
      </c>
      <c r="L2065" t="n">
        <v>0.777</v>
      </c>
      <c r="M2065" t="n">
        <v>0.078</v>
      </c>
    </row>
    <row r="2066" spans="1:13">
      <c r="A2066" s="1">
        <f>HYPERLINK("http://www.twitter.com/NathanBLawrence/status/986298605240815617", "986298605240815617")</f>
        <v/>
      </c>
      <c r="B2066" s="2" t="n">
        <v>43207.73710648148</v>
      </c>
      <c r="C2066" t="n">
        <v>0</v>
      </c>
      <c r="D2066" t="n">
        <v>3</v>
      </c>
      <c r="E2066" t="s">
        <v>2035</v>
      </c>
      <c r="F2066" t="s"/>
      <c r="G2066" t="s"/>
      <c r="H2066" t="s"/>
      <c r="I2066" t="s"/>
      <c r="J2066" t="n">
        <v>-0.5266999999999999</v>
      </c>
      <c r="K2066" t="n">
        <v>0.173</v>
      </c>
      <c r="L2066" t="n">
        <v>0.827</v>
      </c>
      <c r="M2066" t="n">
        <v>0</v>
      </c>
    </row>
    <row r="2067" spans="1:13">
      <c r="A2067" s="1">
        <f>HYPERLINK("http://www.twitter.com/NathanBLawrence/status/986298579110322176", "986298579110322176")</f>
        <v/>
      </c>
      <c r="B2067" s="2" t="n">
        <v>43207.73703703703</v>
      </c>
      <c r="C2067" t="n">
        <v>0</v>
      </c>
      <c r="D2067" t="n">
        <v>4</v>
      </c>
      <c r="E2067" t="s">
        <v>2036</v>
      </c>
      <c r="F2067" t="s"/>
      <c r="G2067" t="s"/>
      <c r="H2067" t="s"/>
      <c r="I2067" t="s"/>
      <c r="J2067" t="n">
        <v>0</v>
      </c>
      <c r="K2067" t="n">
        <v>0</v>
      </c>
      <c r="L2067" t="n">
        <v>1</v>
      </c>
      <c r="M2067" t="n">
        <v>0</v>
      </c>
    </row>
    <row r="2068" spans="1:13">
      <c r="A2068" s="1">
        <f>HYPERLINK("http://www.twitter.com/NathanBLawrence/status/986298429214199809", "986298429214199809")</f>
        <v/>
      </c>
      <c r="B2068" s="2" t="n">
        <v>43207.73662037037</v>
      </c>
      <c r="C2068" t="n">
        <v>0</v>
      </c>
      <c r="D2068" t="n">
        <v>4</v>
      </c>
      <c r="E2068" t="s">
        <v>2037</v>
      </c>
      <c r="F2068" t="s"/>
      <c r="G2068" t="s"/>
      <c r="H2068" t="s"/>
      <c r="I2068" t="s"/>
      <c r="J2068" t="n">
        <v>-0.0258</v>
      </c>
      <c r="K2068" t="n">
        <v>0.114</v>
      </c>
      <c r="L2068" t="n">
        <v>0.776</v>
      </c>
      <c r="M2068" t="n">
        <v>0.11</v>
      </c>
    </row>
    <row r="2069" spans="1:13">
      <c r="A2069" s="1">
        <f>HYPERLINK("http://www.twitter.com/NathanBLawrence/status/986298400789450752", "986298400789450752")</f>
        <v/>
      </c>
      <c r="B2069" s="2" t="n">
        <v>43207.73653935185</v>
      </c>
      <c r="C2069" t="n">
        <v>0</v>
      </c>
      <c r="D2069" t="n">
        <v>10</v>
      </c>
      <c r="E2069" t="s">
        <v>2038</v>
      </c>
      <c r="F2069" t="s"/>
      <c r="G2069" t="s"/>
      <c r="H2069" t="s"/>
      <c r="I2069" t="s"/>
      <c r="J2069" t="n">
        <v>0</v>
      </c>
      <c r="K2069" t="n">
        <v>0</v>
      </c>
      <c r="L2069" t="n">
        <v>1</v>
      </c>
      <c r="M2069" t="n">
        <v>0</v>
      </c>
    </row>
    <row r="2070" spans="1:13">
      <c r="A2070" s="1">
        <f>HYPERLINK("http://www.twitter.com/NathanBLawrence/status/986298375896256513", "986298375896256513")</f>
        <v/>
      </c>
      <c r="B2070" s="2" t="n">
        <v>43207.73648148148</v>
      </c>
      <c r="C2070" t="n">
        <v>0</v>
      </c>
      <c r="D2070" t="n">
        <v>13</v>
      </c>
      <c r="E2070" t="s">
        <v>2039</v>
      </c>
      <c r="F2070" t="s"/>
      <c r="G2070" t="s"/>
      <c r="H2070" t="s"/>
      <c r="I2070" t="s"/>
      <c r="J2070" t="n">
        <v>-0.6808</v>
      </c>
      <c r="K2070" t="n">
        <v>0.213</v>
      </c>
      <c r="L2070" t="n">
        <v>0.787</v>
      </c>
      <c r="M2070" t="n">
        <v>0</v>
      </c>
    </row>
    <row r="2071" spans="1:13">
      <c r="A2071" s="1">
        <f>HYPERLINK("http://www.twitter.com/NathanBLawrence/status/986298363204259840", "986298363204259840")</f>
        <v/>
      </c>
      <c r="B2071" s="2" t="n">
        <v>43207.73643518519</v>
      </c>
      <c r="C2071" t="n">
        <v>0</v>
      </c>
      <c r="D2071" t="n">
        <v>9</v>
      </c>
      <c r="E2071" t="s">
        <v>2040</v>
      </c>
      <c r="F2071" t="s"/>
      <c r="G2071" t="s"/>
      <c r="H2071" t="s"/>
      <c r="I2071" t="s"/>
      <c r="J2071" t="n">
        <v>0.5984</v>
      </c>
      <c r="K2071" t="n">
        <v>0</v>
      </c>
      <c r="L2071" t="n">
        <v>0.777</v>
      </c>
      <c r="M2071" t="n">
        <v>0.223</v>
      </c>
    </row>
    <row r="2072" spans="1:13">
      <c r="A2072" s="1">
        <f>HYPERLINK("http://www.twitter.com/NathanBLawrence/status/986298343096713217", "986298343096713217")</f>
        <v/>
      </c>
      <c r="B2072" s="2" t="n">
        <v>43207.73638888889</v>
      </c>
      <c r="C2072" t="n">
        <v>0</v>
      </c>
      <c r="D2072" t="n">
        <v>4</v>
      </c>
      <c r="E2072" t="s">
        <v>2041</v>
      </c>
      <c r="F2072" t="s"/>
      <c r="G2072" t="s"/>
      <c r="H2072" t="s"/>
      <c r="I2072" t="s"/>
      <c r="J2072" t="n">
        <v>0</v>
      </c>
      <c r="K2072" t="n">
        <v>0</v>
      </c>
      <c r="L2072" t="n">
        <v>1</v>
      </c>
      <c r="M2072" t="n">
        <v>0</v>
      </c>
    </row>
    <row r="2073" spans="1:13">
      <c r="A2073" s="1">
        <f>HYPERLINK("http://www.twitter.com/NathanBLawrence/status/986298297856995328", "986298297856995328")</f>
        <v/>
      </c>
      <c r="B2073" s="2" t="n">
        <v>43207.73626157407</v>
      </c>
      <c r="C2073" t="n">
        <v>0</v>
      </c>
      <c r="D2073" t="n">
        <v>6</v>
      </c>
      <c r="E2073" t="s">
        <v>2042</v>
      </c>
      <c r="F2073" t="s"/>
      <c r="G2073" t="s"/>
      <c r="H2073" t="s"/>
      <c r="I2073" t="s"/>
      <c r="J2073" t="n">
        <v>0.3612</v>
      </c>
      <c r="K2073" t="n">
        <v>0</v>
      </c>
      <c r="L2073" t="n">
        <v>0.894</v>
      </c>
      <c r="M2073" t="n">
        <v>0.106</v>
      </c>
    </row>
    <row r="2074" spans="1:13">
      <c r="A2074" s="1">
        <f>HYPERLINK("http://www.twitter.com/NathanBLawrence/status/986298248288751616", "986298248288751616")</f>
        <v/>
      </c>
      <c r="B2074" s="2" t="n">
        <v>43207.73612268519</v>
      </c>
      <c r="C2074" t="n">
        <v>0</v>
      </c>
      <c r="D2074" t="n">
        <v>11</v>
      </c>
      <c r="E2074" t="s">
        <v>2043</v>
      </c>
      <c r="F2074" t="s"/>
      <c r="G2074" t="s"/>
      <c r="H2074" t="s"/>
      <c r="I2074" t="s"/>
      <c r="J2074" t="n">
        <v>-0.296</v>
      </c>
      <c r="K2074" t="n">
        <v>0.095</v>
      </c>
      <c r="L2074" t="n">
        <v>0.905</v>
      </c>
      <c r="M2074" t="n">
        <v>0</v>
      </c>
    </row>
    <row r="2075" spans="1:13">
      <c r="A2075" s="1">
        <f>HYPERLINK("http://www.twitter.com/NathanBLawrence/status/986298230546878466", "986298230546878466")</f>
        <v/>
      </c>
      <c r="B2075" s="2" t="n">
        <v>43207.73607638889</v>
      </c>
      <c r="C2075" t="n">
        <v>0</v>
      </c>
      <c r="D2075" t="n">
        <v>4</v>
      </c>
      <c r="E2075" t="s">
        <v>2044</v>
      </c>
      <c r="F2075" t="s"/>
      <c r="G2075" t="s"/>
      <c r="H2075" t="s"/>
      <c r="I2075" t="s"/>
      <c r="J2075" t="n">
        <v>0</v>
      </c>
      <c r="K2075" t="n">
        <v>0</v>
      </c>
      <c r="L2075" t="n">
        <v>1</v>
      </c>
      <c r="M2075" t="n">
        <v>0</v>
      </c>
    </row>
    <row r="2076" spans="1:13">
      <c r="A2076" s="1">
        <f>HYPERLINK("http://www.twitter.com/NathanBLawrence/status/986298206156935168", "986298206156935168")</f>
        <v/>
      </c>
      <c r="B2076" s="2" t="n">
        <v>43207.73600694445</v>
      </c>
      <c r="C2076" t="n">
        <v>0</v>
      </c>
      <c r="D2076" t="n">
        <v>6</v>
      </c>
      <c r="E2076" t="s">
        <v>2045</v>
      </c>
      <c r="F2076">
        <f>HYPERLINK("http://pbs.twimg.com/media/DbADYhVV4AA-xm7.jpg", "http://pbs.twimg.com/media/DbADYhVV4AA-xm7.jpg")</f>
        <v/>
      </c>
      <c r="G2076" t="s"/>
      <c r="H2076" t="s"/>
      <c r="I2076" t="s"/>
      <c r="J2076" t="n">
        <v>0.4404</v>
      </c>
      <c r="K2076" t="n">
        <v>0</v>
      </c>
      <c r="L2076" t="n">
        <v>0.873</v>
      </c>
      <c r="M2076" t="n">
        <v>0.127</v>
      </c>
    </row>
    <row r="2077" spans="1:13">
      <c r="A2077" s="1">
        <f>HYPERLINK("http://www.twitter.com/NathanBLawrence/status/986298183465791491", "986298183465791491")</f>
        <v/>
      </c>
      <c r="B2077" s="2" t="n">
        <v>43207.73594907407</v>
      </c>
      <c r="C2077" t="n">
        <v>0</v>
      </c>
      <c r="D2077" t="n">
        <v>11</v>
      </c>
      <c r="E2077" t="s">
        <v>2046</v>
      </c>
      <c r="F2077" t="s"/>
      <c r="G2077" t="s"/>
      <c r="H2077" t="s"/>
      <c r="I2077" t="s"/>
      <c r="J2077" t="n">
        <v>-0.5719</v>
      </c>
      <c r="K2077" t="n">
        <v>0.171</v>
      </c>
      <c r="L2077" t="n">
        <v>0.719</v>
      </c>
      <c r="M2077" t="n">
        <v>0.11</v>
      </c>
    </row>
    <row r="2078" spans="1:13">
      <c r="A2078" s="1">
        <f>HYPERLINK("http://www.twitter.com/NathanBLawrence/status/986298166365577216", "986298166365577216")</f>
        <v/>
      </c>
      <c r="B2078" s="2" t="n">
        <v>43207.73590277778</v>
      </c>
      <c r="C2078" t="n">
        <v>0</v>
      </c>
      <c r="D2078" t="n">
        <v>8</v>
      </c>
      <c r="E2078" t="s">
        <v>2047</v>
      </c>
      <c r="F2078" t="s"/>
      <c r="G2078" t="s"/>
      <c r="H2078" t="s"/>
      <c r="I2078" t="s"/>
      <c r="J2078" t="n">
        <v>0.4404</v>
      </c>
      <c r="K2078" t="n">
        <v>0</v>
      </c>
      <c r="L2078" t="n">
        <v>0.879</v>
      </c>
      <c r="M2078" t="n">
        <v>0.121</v>
      </c>
    </row>
    <row r="2079" spans="1:13">
      <c r="A2079" s="1">
        <f>HYPERLINK("http://www.twitter.com/NathanBLawrence/status/986298100603080704", "986298100603080704")</f>
        <v/>
      </c>
      <c r="B2079" s="2" t="n">
        <v>43207.73571759259</v>
      </c>
      <c r="C2079" t="n">
        <v>0</v>
      </c>
      <c r="D2079" t="n">
        <v>2</v>
      </c>
      <c r="E2079" t="s">
        <v>2048</v>
      </c>
      <c r="F2079" t="s"/>
      <c r="G2079" t="s"/>
      <c r="H2079" t="s"/>
      <c r="I2079" t="s"/>
      <c r="J2079" t="n">
        <v>0.5574</v>
      </c>
      <c r="K2079" t="n">
        <v>0.099</v>
      </c>
      <c r="L2079" t="n">
        <v>0.638</v>
      </c>
      <c r="M2079" t="n">
        <v>0.262</v>
      </c>
    </row>
    <row r="2080" spans="1:13">
      <c r="A2080" s="1">
        <f>HYPERLINK("http://www.twitter.com/NathanBLawrence/status/986298035197095938", "986298035197095938")</f>
        <v/>
      </c>
      <c r="B2080" s="2" t="n">
        <v>43207.73553240741</v>
      </c>
      <c r="C2080" t="n">
        <v>0</v>
      </c>
      <c r="D2080" t="n">
        <v>7</v>
      </c>
      <c r="E2080" t="s">
        <v>2049</v>
      </c>
      <c r="F2080" t="s"/>
      <c r="G2080" t="s"/>
      <c r="H2080" t="s"/>
      <c r="I2080" t="s"/>
      <c r="J2080" t="n">
        <v>0.4404</v>
      </c>
      <c r="K2080" t="n">
        <v>0</v>
      </c>
      <c r="L2080" t="n">
        <v>0.847</v>
      </c>
      <c r="M2080" t="n">
        <v>0.153</v>
      </c>
    </row>
    <row r="2081" spans="1:13">
      <c r="A2081" s="1">
        <f>HYPERLINK("http://www.twitter.com/NathanBLawrence/status/986297969598259204", "986297969598259204")</f>
        <v/>
      </c>
      <c r="B2081" s="2" t="n">
        <v>43207.73535879629</v>
      </c>
      <c r="C2081" t="n">
        <v>0</v>
      </c>
      <c r="D2081" t="n">
        <v>2</v>
      </c>
      <c r="E2081" t="s">
        <v>2050</v>
      </c>
      <c r="F2081" t="s"/>
      <c r="G2081" t="s"/>
      <c r="H2081" t="s"/>
      <c r="I2081" t="s"/>
      <c r="J2081" t="n">
        <v>-0.2484</v>
      </c>
      <c r="K2081" t="n">
        <v>0.137</v>
      </c>
      <c r="L2081" t="n">
        <v>0.761</v>
      </c>
      <c r="M2081" t="n">
        <v>0.101</v>
      </c>
    </row>
    <row r="2082" spans="1:13">
      <c r="A2082" s="1">
        <f>HYPERLINK("http://www.twitter.com/NathanBLawrence/status/986297919119781888", "986297919119781888")</f>
        <v/>
      </c>
      <c r="B2082" s="2" t="n">
        <v>43207.73521990741</v>
      </c>
      <c r="C2082" t="n">
        <v>0</v>
      </c>
      <c r="D2082" t="n">
        <v>6</v>
      </c>
      <c r="E2082" t="s">
        <v>2051</v>
      </c>
      <c r="F2082" t="s"/>
      <c r="G2082" t="s"/>
      <c r="H2082" t="s"/>
      <c r="I2082" t="s"/>
      <c r="J2082" t="n">
        <v>0</v>
      </c>
      <c r="K2082" t="n">
        <v>0</v>
      </c>
      <c r="L2082" t="n">
        <v>1</v>
      </c>
      <c r="M2082" t="n">
        <v>0</v>
      </c>
    </row>
    <row r="2083" spans="1:13">
      <c r="A2083" s="1">
        <f>HYPERLINK("http://www.twitter.com/NathanBLawrence/status/986297846411427841", "986297846411427841")</f>
        <v/>
      </c>
      <c r="B2083" s="2" t="n">
        <v>43207.73501157408</v>
      </c>
      <c r="C2083" t="n">
        <v>0</v>
      </c>
      <c r="D2083" t="n">
        <v>7</v>
      </c>
      <c r="E2083" t="s">
        <v>2052</v>
      </c>
      <c r="F2083" t="s"/>
      <c r="G2083" t="s"/>
      <c r="H2083" t="s"/>
      <c r="I2083" t="s"/>
      <c r="J2083" t="n">
        <v>0</v>
      </c>
      <c r="K2083" t="n">
        <v>0</v>
      </c>
      <c r="L2083" t="n">
        <v>1</v>
      </c>
      <c r="M2083" t="n">
        <v>0</v>
      </c>
    </row>
    <row r="2084" spans="1:13">
      <c r="A2084" s="1">
        <f>HYPERLINK("http://www.twitter.com/NathanBLawrence/status/986297740643758081", "986297740643758081")</f>
        <v/>
      </c>
      <c r="B2084" s="2" t="n">
        <v>43207.73472222222</v>
      </c>
      <c r="C2084" t="n">
        <v>0</v>
      </c>
      <c r="D2084" t="n">
        <v>15</v>
      </c>
      <c r="E2084" t="s">
        <v>2053</v>
      </c>
      <c r="F2084" t="s"/>
      <c r="G2084" t="s"/>
      <c r="H2084" t="s"/>
      <c r="I2084" t="s"/>
      <c r="J2084" t="n">
        <v>0</v>
      </c>
      <c r="K2084" t="n">
        <v>0</v>
      </c>
      <c r="L2084" t="n">
        <v>1</v>
      </c>
      <c r="M2084" t="n">
        <v>0</v>
      </c>
    </row>
    <row r="2085" spans="1:13">
      <c r="A2085" s="1">
        <f>HYPERLINK("http://www.twitter.com/NathanBLawrence/status/986297698469994498", "986297698469994498")</f>
        <v/>
      </c>
      <c r="B2085" s="2" t="n">
        <v>43207.73460648148</v>
      </c>
      <c r="C2085" t="n">
        <v>0</v>
      </c>
      <c r="D2085" t="n">
        <v>10</v>
      </c>
      <c r="E2085" t="s">
        <v>2054</v>
      </c>
      <c r="F2085" t="s"/>
      <c r="G2085" t="s"/>
      <c r="H2085" t="s"/>
      <c r="I2085" t="s"/>
      <c r="J2085" t="n">
        <v>0</v>
      </c>
      <c r="K2085" t="n">
        <v>0</v>
      </c>
      <c r="L2085" t="n">
        <v>1</v>
      </c>
      <c r="M2085" t="n">
        <v>0</v>
      </c>
    </row>
    <row r="2086" spans="1:13">
      <c r="A2086" s="1">
        <f>HYPERLINK("http://www.twitter.com/NathanBLawrence/status/986297671437750273", "986297671437750273")</f>
        <v/>
      </c>
      <c r="B2086" s="2" t="n">
        <v>43207.73453703704</v>
      </c>
      <c r="C2086" t="n">
        <v>0</v>
      </c>
      <c r="D2086" t="n">
        <v>23</v>
      </c>
      <c r="E2086" t="s">
        <v>2055</v>
      </c>
      <c r="F2086" t="s"/>
      <c r="G2086" t="s"/>
      <c r="H2086" t="s"/>
      <c r="I2086" t="s"/>
      <c r="J2086" t="n">
        <v>0.4404</v>
      </c>
      <c r="K2086" t="n">
        <v>0</v>
      </c>
      <c r="L2086" t="n">
        <v>0.868</v>
      </c>
      <c r="M2086" t="n">
        <v>0.132</v>
      </c>
    </row>
    <row r="2087" spans="1:13">
      <c r="A2087" s="1">
        <f>HYPERLINK("http://www.twitter.com/NathanBLawrence/status/986288202733510657", "986288202733510657")</f>
        <v/>
      </c>
      <c r="B2087" s="2" t="n">
        <v>43207.70840277777</v>
      </c>
      <c r="C2087" t="n">
        <v>0</v>
      </c>
      <c r="D2087" t="n">
        <v>6</v>
      </c>
      <c r="E2087" t="s">
        <v>2056</v>
      </c>
      <c r="F2087" t="s"/>
      <c r="G2087" t="s"/>
      <c r="H2087" t="s"/>
      <c r="I2087" t="s"/>
      <c r="J2087" t="n">
        <v>-0.4767</v>
      </c>
      <c r="K2087" t="n">
        <v>0.129</v>
      </c>
      <c r="L2087" t="n">
        <v>0.871</v>
      </c>
      <c r="M2087" t="n">
        <v>0</v>
      </c>
    </row>
    <row r="2088" spans="1:13">
      <c r="A2088" s="1">
        <f>HYPERLINK("http://www.twitter.com/NathanBLawrence/status/986287856111976449", "986287856111976449")</f>
        <v/>
      </c>
      <c r="B2088" s="2" t="n">
        <v>43207.70744212963</v>
      </c>
      <c r="C2088" t="n">
        <v>0</v>
      </c>
      <c r="D2088" t="n">
        <v>9</v>
      </c>
      <c r="E2088" t="s">
        <v>2057</v>
      </c>
      <c r="F2088" t="s"/>
      <c r="G2088" t="s"/>
      <c r="H2088" t="s"/>
      <c r="I2088" t="s"/>
      <c r="J2088" t="n">
        <v>-0.5007</v>
      </c>
      <c r="K2088" t="n">
        <v>0.219</v>
      </c>
      <c r="L2088" t="n">
        <v>0.678</v>
      </c>
      <c r="M2088" t="n">
        <v>0.103</v>
      </c>
    </row>
    <row r="2089" spans="1:13">
      <c r="A2089" s="1">
        <f>HYPERLINK("http://www.twitter.com/NathanBLawrence/status/986098146471305216", "986098146471305216")</f>
        <v/>
      </c>
      <c r="B2089" s="2" t="n">
        <v>43207.18394675926</v>
      </c>
      <c r="C2089" t="n">
        <v>0</v>
      </c>
      <c r="D2089" t="n">
        <v>1656</v>
      </c>
      <c r="E2089" t="s">
        <v>2058</v>
      </c>
      <c r="F2089" t="s"/>
      <c r="G2089" t="s"/>
      <c r="H2089" t="s"/>
      <c r="I2089" t="s"/>
      <c r="J2089" t="n">
        <v>-0.6486</v>
      </c>
      <c r="K2089" t="n">
        <v>0.249</v>
      </c>
      <c r="L2089" t="n">
        <v>0.751</v>
      </c>
      <c r="M2089" t="n">
        <v>0</v>
      </c>
    </row>
    <row r="2090" spans="1:13">
      <c r="A2090" s="1">
        <f>HYPERLINK("http://www.twitter.com/NathanBLawrence/status/986098034894393344", "986098034894393344")</f>
        <v/>
      </c>
      <c r="B2090" s="2" t="n">
        <v>43207.18363425926</v>
      </c>
      <c r="C2090" t="n">
        <v>0</v>
      </c>
      <c r="D2090" t="n">
        <v>4</v>
      </c>
      <c r="E2090" t="s">
        <v>2059</v>
      </c>
      <c r="F2090" t="s"/>
      <c r="G2090" t="s"/>
      <c r="H2090" t="s"/>
      <c r="I2090" t="s"/>
      <c r="J2090" t="n">
        <v>-0.5266999999999999</v>
      </c>
      <c r="K2090" t="n">
        <v>0.206</v>
      </c>
      <c r="L2090" t="n">
        <v>0.794</v>
      </c>
      <c r="M2090" t="n">
        <v>0</v>
      </c>
    </row>
    <row r="2091" spans="1:13">
      <c r="A2091" s="1">
        <f>HYPERLINK("http://www.twitter.com/NathanBLawrence/status/986096922997022722", "986096922997022722")</f>
        <v/>
      </c>
      <c r="B2091" s="2" t="n">
        <v>43207.18056712963</v>
      </c>
      <c r="C2091" t="n">
        <v>0</v>
      </c>
      <c r="D2091" t="n">
        <v>3</v>
      </c>
      <c r="E2091" t="s">
        <v>2060</v>
      </c>
      <c r="F2091">
        <f>HYPERLINK("http://pbs.twimg.com/media/Da8-1A_WAAEUSlC.jpg", "http://pbs.twimg.com/media/Da8-1A_WAAEUSlC.jpg")</f>
        <v/>
      </c>
      <c r="G2091" t="s"/>
      <c r="H2091" t="s"/>
      <c r="I2091" t="s"/>
      <c r="J2091" t="n">
        <v>0.3818</v>
      </c>
      <c r="K2091" t="n">
        <v>0</v>
      </c>
      <c r="L2091" t="n">
        <v>0.89</v>
      </c>
      <c r="M2091" t="n">
        <v>0.11</v>
      </c>
    </row>
    <row r="2092" spans="1:13">
      <c r="A2092" s="1">
        <f>HYPERLINK("http://www.twitter.com/NathanBLawrence/status/986096896728068096", "986096896728068096")</f>
        <v/>
      </c>
      <c r="B2092" s="2" t="n">
        <v>43207.18049768519</v>
      </c>
      <c r="C2092" t="n">
        <v>0</v>
      </c>
      <c r="D2092" t="n">
        <v>5</v>
      </c>
      <c r="E2092" t="s">
        <v>2061</v>
      </c>
      <c r="F2092">
        <f>HYPERLINK("http://pbs.twimg.com/media/Da9FxVEXcAAbo8c.jpg", "http://pbs.twimg.com/media/Da9FxVEXcAAbo8c.jpg")</f>
        <v/>
      </c>
      <c r="G2092">
        <f>HYPERLINK("http://pbs.twimg.com/media/Da9FxVGWkAEVwjh.jpg", "http://pbs.twimg.com/media/Da9FxVGWkAEVwjh.jpg")</f>
        <v/>
      </c>
      <c r="H2092" t="s"/>
      <c r="I2092" t="s"/>
      <c r="J2092" t="n">
        <v>0</v>
      </c>
      <c r="K2092" t="n">
        <v>0</v>
      </c>
      <c r="L2092" t="n">
        <v>1</v>
      </c>
      <c r="M2092" t="n">
        <v>0</v>
      </c>
    </row>
    <row r="2093" spans="1:13">
      <c r="A2093" s="1">
        <f>HYPERLINK("http://www.twitter.com/NathanBLawrence/status/986096776749953024", "986096776749953024")</f>
        <v/>
      </c>
      <c r="B2093" s="2" t="n">
        <v>43207.18017361111</v>
      </c>
      <c r="C2093" t="n">
        <v>0</v>
      </c>
      <c r="D2093" t="n">
        <v>12</v>
      </c>
      <c r="E2093" t="s">
        <v>2062</v>
      </c>
      <c r="F2093" t="s"/>
      <c r="G2093" t="s"/>
      <c r="H2093" t="s"/>
      <c r="I2093" t="s"/>
      <c r="J2093" t="n">
        <v>-0.3089</v>
      </c>
      <c r="K2093" t="n">
        <v>0.097</v>
      </c>
      <c r="L2093" t="n">
        <v>0.903</v>
      </c>
      <c r="M2093" t="n">
        <v>0</v>
      </c>
    </row>
    <row r="2094" spans="1:13">
      <c r="A2094" s="1">
        <f>HYPERLINK("http://www.twitter.com/NathanBLawrence/status/986096538584862720", "986096538584862720")</f>
        <v/>
      </c>
      <c r="B2094" s="2" t="n">
        <v>43207.17951388889</v>
      </c>
      <c r="C2094" t="n">
        <v>0</v>
      </c>
      <c r="D2094" t="n">
        <v>9</v>
      </c>
      <c r="E2094" t="s">
        <v>2063</v>
      </c>
      <c r="F2094">
        <f>HYPERLINK("http://pbs.twimg.com/media/Da8DYiWVwAEXLK3.jpg", "http://pbs.twimg.com/media/Da8DYiWVwAEXLK3.jpg")</f>
        <v/>
      </c>
      <c r="G2094" t="s"/>
      <c r="H2094" t="s"/>
      <c r="I2094" t="s"/>
      <c r="J2094" t="n">
        <v>0</v>
      </c>
      <c r="K2094" t="n">
        <v>0</v>
      </c>
      <c r="L2094" t="n">
        <v>1</v>
      </c>
      <c r="M2094" t="n">
        <v>0</v>
      </c>
    </row>
    <row r="2095" spans="1:13">
      <c r="A2095" s="1">
        <f>HYPERLINK("http://www.twitter.com/NathanBLawrence/status/986095896155783168", "986095896155783168")</f>
        <v/>
      </c>
      <c r="B2095" s="2" t="n">
        <v>43207.17774305555</v>
      </c>
      <c r="C2095" t="n">
        <v>0</v>
      </c>
      <c r="D2095" t="n">
        <v>18</v>
      </c>
      <c r="E2095" t="s">
        <v>2064</v>
      </c>
      <c r="F2095" t="s"/>
      <c r="G2095" t="s"/>
      <c r="H2095" t="s"/>
      <c r="I2095" t="s"/>
      <c r="J2095" t="n">
        <v>-0.743</v>
      </c>
      <c r="K2095" t="n">
        <v>0.249</v>
      </c>
      <c r="L2095" t="n">
        <v>0.751</v>
      </c>
      <c r="M2095" t="n">
        <v>0</v>
      </c>
    </row>
    <row r="2096" spans="1:13">
      <c r="A2096" s="1">
        <f>HYPERLINK("http://www.twitter.com/NathanBLawrence/status/986079289375412225", "986079289375412225")</f>
        <v/>
      </c>
      <c r="B2096" s="2" t="n">
        <v>43207.13190972222</v>
      </c>
      <c r="C2096" t="n">
        <v>0</v>
      </c>
      <c r="D2096" t="n">
        <v>20</v>
      </c>
      <c r="E2096" t="s">
        <v>2065</v>
      </c>
      <c r="F2096">
        <f>HYPERLINK("http://pbs.twimg.com/media/Da9ACY3W4AAluiq.jpg", "http://pbs.twimg.com/media/Da9ACY3W4AAluiq.jpg")</f>
        <v/>
      </c>
      <c r="G2096" t="s"/>
      <c r="H2096" t="s"/>
      <c r="I2096" t="s"/>
      <c r="J2096" t="n">
        <v>0</v>
      </c>
      <c r="K2096" t="n">
        <v>0</v>
      </c>
      <c r="L2096" t="n">
        <v>1</v>
      </c>
      <c r="M2096" t="n">
        <v>0</v>
      </c>
    </row>
    <row r="2097" spans="1:13">
      <c r="A2097" s="1">
        <f>HYPERLINK("http://www.twitter.com/NathanBLawrence/status/986079251563798528", "986079251563798528")</f>
        <v/>
      </c>
      <c r="B2097" s="2" t="n">
        <v>43207.13180555555</v>
      </c>
      <c r="C2097" t="n">
        <v>0</v>
      </c>
      <c r="D2097" t="n">
        <v>11</v>
      </c>
      <c r="E2097" t="s">
        <v>2066</v>
      </c>
      <c r="F2097">
        <f>HYPERLINK("http://pbs.twimg.com/media/Da8-1A_WAAEUSlC.jpg", "http://pbs.twimg.com/media/Da8-1A_WAAEUSlC.jpg")</f>
        <v/>
      </c>
      <c r="G2097" t="s"/>
      <c r="H2097" t="s"/>
      <c r="I2097" t="s"/>
      <c r="J2097" t="n">
        <v>0.3818</v>
      </c>
      <c r="K2097" t="n">
        <v>0</v>
      </c>
      <c r="L2097" t="n">
        <v>0.89</v>
      </c>
      <c r="M2097" t="n">
        <v>0.11</v>
      </c>
    </row>
    <row r="2098" spans="1:13">
      <c r="A2098" s="1">
        <f>HYPERLINK("http://www.twitter.com/NathanBLawrence/status/986079234933313536", "986079234933313536")</f>
        <v/>
      </c>
      <c r="B2098" s="2" t="n">
        <v>43207.13175925926</v>
      </c>
      <c r="C2098" t="n">
        <v>0</v>
      </c>
      <c r="D2098" t="n">
        <v>11</v>
      </c>
      <c r="E2098" t="s">
        <v>1943</v>
      </c>
      <c r="F2098">
        <f>HYPERLINK("http://pbs.twimg.com/media/Da8-KzFWAAAE_M4.jpg", "http://pbs.twimg.com/media/Da8-KzFWAAAE_M4.jpg")</f>
        <v/>
      </c>
      <c r="G2098" t="s"/>
      <c r="H2098" t="s"/>
      <c r="I2098" t="s"/>
      <c r="J2098" t="n">
        <v>-0.7717000000000001</v>
      </c>
      <c r="K2098" t="n">
        <v>0.332</v>
      </c>
      <c r="L2098" t="n">
        <v>0.504</v>
      </c>
      <c r="M2098" t="n">
        <v>0.163</v>
      </c>
    </row>
    <row r="2099" spans="1:13">
      <c r="A2099" s="1">
        <f>HYPERLINK("http://www.twitter.com/NathanBLawrence/status/986059425566937088", "986059425566937088")</f>
        <v/>
      </c>
      <c r="B2099" s="2" t="n">
        <v>43207.07709490741</v>
      </c>
      <c r="C2099" t="n">
        <v>0</v>
      </c>
      <c r="D2099" t="n">
        <v>10</v>
      </c>
      <c r="E2099" t="s">
        <v>2067</v>
      </c>
      <c r="F2099">
        <f>HYPERLINK("http://pbs.twimg.com/media/Da8vE3gV4AI9I-E.jpg", "http://pbs.twimg.com/media/Da8vE3gV4AI9I-E.jpg")</f>
        <v/>
      </c>
      <c r="G2099" t="s"/>
      <c r="H2099" t="s"/>
      <c r="I2099" t="s"/>
      <c r="J2099" t="n">
        <v>-0.4767</v>
      </c>
      <c r="K2099" t="n">
        <v>0.129</v>
      </c>
      <c r="L2099" t="n">
        <v>0.871</v>
      </c>
      <c r="M2099" t="n">
        <v>0</v>
      </c>
    </row>
    <row r="2100" spans="1:13">
      <c r="A2100" s="1">
        <f>HYPERLINK("http://www.twitter.com/NathanBLawrence/status/986055817827930116", "986055817827930116")</f>
        <v/>
      </c>
      <c r="B2100" s="2" t="n">
        <v>43207.0671412037</v>
      </c>
      <c r="C2100" t="n">
        <v>0</v>
      </c>
      <c r="D2100" t="n">
        <v>3</v>
      </c>
      <c r="E2100" t="s">
        <v>2068</v>
      </c>
      <c r="F2100" t="s"/>
      <c r="G2100" t="s"/>
      <c r="H2100" t="s"/>
      <c r="I2100" t="s"/>
      <c r="J2100" t="n">
        <v>-0.296</v>
      </c>
      <c r="K2100" t="n">
        <v>0.099</v>
      </c>
      <c r="L2100" t="n">
        <v>0.901</v>
      </c>
      <c r="M2100" t="n">
        <v>0</v>
      </c>
    </row>
    <row r="2101" spans="1:13">
      <c r="A2101" s="1">
        <f>HYPERLINK("http://www.twitter.com/NathanBLawrence/status/986050495675600897", "986050495675600897")</f>
        <v/>
      </c>
      <c r="B2101" s="2" t="n">
        <v>43207.05245370371</v>
      </c>
      <c r="C2101" t="n">
        <v>0</v>
      </c>
      <c r="D2101" t="n">
        <v>3</v>
      </c>
      <c r="E2101" t="s">
        <v>2069</v>
      </c>
      <c r="F2101" t="s"/>
      <c r="G2101" t="s"/>
      <c r="H2101" t="s"/>
      <c r="I2101" t="s"/>
      <c r="J2101" t="n">
        <v>-0.409</v>
      </c>
      <c r="K2101" t="n">
        <v>0.281</v>
      </c>
      <c r="L2101" t="n">
        <v>0.512</v>
      </c>
      <c r="M2101" t="n">
        <v>0.207</v>
      </c>
    </row>
    <row r="2102" spans="1:13">
      <c r="A2102" s="1">
        <f>HYPERLINK("http://www.twitter.com/NathanBLawrence/status/986028118954708992", "986028118954708992")</f>
        <v/>
      </c>
      <c r="B2102" s="2" t="n">
        <v>43206.99070601852</v>
      </c>
      <c r="C2102" t="n">
        <v>0</v>
      </c>
      <c r="D2102" t="n">
        <v>0</v>
      </c>
      <c r="E2102" t="s">
        <v>2070</v>
      </c>
      <c r="F2102" t="s"/>
      <c r="G2102" t="s"/>
      <c r="H2102" t="s"/>
      <c r="I2102" t="s"/>
      <c r="J2102" t="n">
        <v>0</v>
      </c>
      <c r="K2102" t="n">
        <v>0</v>
      </c>
      <c r="L2102" t="n">
        <v>1</v>
      </c>
      <c r="M2102" t="n">
        <v>0</v>
      </c>
    </row>
    <row r="2103" spans="1:13">
      <c r="A2103" s="1">
        <f>HYPERLINK("http://www.twitter.com/NathanBLawrence/status/986028039552360450", "986028039552360450")</f>
        <v/>
      </c>
      <c r="B2103" s="2" t="n">
        <v>43206.99048611111</v>
      </c>
      <c r="C2103" t="n">
        <v>0</v>
      </c>
      <c r="D2103" t="n">
        <v>5</v>
      </c>
      <c r="E2103" t="s">
        <v>2071</v>
      </c>
      <c r="F2103" t="s"/>
      <c r="G2103" t="s"/>
      <c r="H2103" t="s"/>
      <c r="I2103" t="s"/>
      <c r="J2103" t="n">
        <v>-0.1027</v>
      </c>
      <c r="K2103" t="n">
        <v>0.065</v>
      </c>
      <c r="L2103" t="n">
        <v>0.9350000000000001</v>
      </c>
      <c r="M2103" t="n">
        <v>0</v>
      </c>
    </row>
    <row r="2104" spans="1:13">
      <c r="A2104" s="1">
        <f>HYPERLINK("http://www.twitter.com/NathanBLawrence/status/986027885948522496", "986027885948522496")</f>
        <v/>
      </c>
      <c r="B2104" s="2" t="n">
        <v>43206.99006944444</v>
      </c>
      <c r="C2104" t="n">
        <v>0</v>
      </c>
      <c r="D2104" t="n">
        <v>12</v>
      </c>
      <c r="E2104" t="s">
        <v>2072</v>
      </c>
      <c r="F2104">
        <f>HYPERLINK("http://pbs.twimg.com/media/Da8ROFCU0AA5HAM.jpg", "http://pbs.twimg.com/media/Da8ROFCU0AA5HAM.jpg")</f>
        <v/>
      </c>
      <c r="G2104" t="s"/>
      <c r="H2104" t="s"/>
      <c r="I2104" t="s"/>
      <c r="J2104" t="n">
        <v>0</v>
      </c>
      <c r="K2104" t="n">
        <v>0</v>
      </c>
      <c r="L2104" t="n">
        <v>1</v>
      </c>
      <c r="M2104" t="n">
        <v>0</v>
      </c>
    </row>
    <row r="2105" spans="1:13">
      <c r="A2105" s="1">
        <f>HYPERLINK("http://www.twitter.com/NathanBLawrence/status/985965424356548610", "985965424356548610")</f>
        <v/>
      </c>
      <c r="B2105" s="2" t="n">
        <v>43206.81770833334</v>
      </c>
      <c r="C2105" t="n">
        <v>0</v>
      </c>
      <c r="D2105" t="n">
        <v>1</v>
      </c>
      <c r="E2105" t="s">
        <v>2073</v>
      </c>
      <c r="F2105" t="s"/>
      <c r="G2105" t="s"/>
      <c r="H2105" t="s"/>
      <c r="I2105" t="s"/>
      <c r="J2105" t="n">
        <v>0.4782</v>
      </c>
      <c r="K2105" t="n">
        <v>0</v>
      </c>
      <c r="L2105" t="n">
        <v>0.885</v>
      </c>
      <c r="M2105" t="n">
        <v>0.115</v>
      </c>
    </row>
    <row r="2106" spans="1:13">
      <c r="A2106" s="1">
        <f>HYPERLINK("http://www.twitter.com/NathanBLawrence/status/985965398343454726", "985965398343454726")</f>
        <v/>
      </c>
      <c r="B2106" s="2" t="n">
        <v>43206.81762731481</v>
      </c>
      <c r="C2106" t="n">
        <v>0</v>
      </c>
      <c r="D2106" t="n">
        <v>3</v>
      </c>
      <c r="E2106" t="s">
        <v>2074</v>
      </c>
      <c r="F2106" t="s"/>
      <c r="G2106" t="s"/>
      <c r="H2106" t="s"/>
      <c r="I2106" t="s"/>
      <c r="J2106" t="n">
        <v>-0.8764999999999999</v>
      </c>
      <c r="K2106" t="n">
        <v>0.295</v>
      </c>
      <c r="L2106" t="n">
        <v>0.705</v>
      </c>
      <c r="M2106" t="n">
        <v>0</v>
      </c>
    </row>
    <row r="2107" spans="1:13">
      <c r="A2107" s="1">
        <f>HYPERLINK("http://www.twitter.com/NathanBLawrence/status/985965381385969664", "985965381385969664")</f>
        <v/>
      </c>
      <c r="B2107" s="2" t="n">
        <v>43206.81758101852</v>
      </c>
      <c r="C2107" t="n">
        <v>0</v>
      </c>
      <c r="D2107" t="n">
        <v>0</v>
      </c>
      <c r="E2107" t="s">
        <v>2075</v>
      </c>
      <c r="F2107" t="s"/>
      <c r="G2107" t="s"/>
      <c r="H2107" t="s"/>
      <c r="I2107" t="s"/>
      <c r="J2107" t="n">
        <v>0.1027</v>
      </c>
      <c r="K2107" t="n">
        <v>0</v>
      </c>
      <c r="L2107" t="n">
        <v>0.781</v>
      </c>
      <c r="M2107" t="n">
        <v>0.219</v>
      </c>
    </row>
    <row r="2108" spans="1:13">
      <c r="A2108" s="1">
        <f>HYPERLINK("http://www.twitter.com/NathanBLawrence/status/985965237873664006", "985965237873664006")</f>
        <v/>
      </c>
      <c r="B2108" s="2" t="n">
        <v>43206.8171875</v>
      </c>
      <c r="C2108" t="n">
        <v>0</v>
      </c>
      <c r="D2108" t="n">
        <v>5</v>
      </c>
      <c r="E2108" t="s">
        <v>2076</v>
      </c>
      <c r="F2108" t="s"/>
      <c r="G2108" t="s"/>
      <c r="H2108" t="s"/>
      <c r="I2108" t="s"/>
      <c r="J2108" t="n">
        <v>0.5598</v>
      </c>
      <c r="K2108" t="n">
        <v>0</v>
      </c>
      <c r="L2108" t="n">
        <v>0.734</v>
      </c>
      <c r="M2108" t="n">
        <v>0.266</v>
      </c>
    </row>
    <row r="2109" spans="1:13">
      <c r="A2109" s="1">
        <f>HYPERLINK("http://www.twitter.com/NathanBLawrence/status/985965212087013376", "985965212087013376")</f>
        <v/>
      </c>
      <c r="B2109" s="2" t="n">
        <v>43206.81711805556</v>
      </c>
      <c r="C2109" t="n">
        <v>0</v>
      </c>
      <c r="D2109" t="n">
        <v>5</v>
      </c>
      <c r="E2109" t="s">
        <v>2077</v>
      </c>
      <c r="F2109" t="s"/>
      <c r="G2109" t="s"/>
      <c r="H2109" t="s"/>
      <c r="I2109" t="s"/>
      <c r="J2109" t="n">
        <v>0</v>
      </c>
      <c r="K2109" t="n">
        <v>0</v>
      </c>
      <c r="L2109" t="n">
        <v>1</v>
      </c>
      <c r="M2109" t="n">
        <v>0</v>
      </c>
    </row>
    <row r="2110" spans="1:13">
      <c r="A2110" s="1">
        <f>HYPERLINK("http://www.twitter.com/NathanBLawrence/status/985965198501703680", "985965198501703680")</f>
        <v/>
      </c>
      <c r="B2110" s="2" t="n">
        <v>43206.81708333334</v>
      </c>
      <c r="C2110" t="n">
        <v>0</v>
      </c>
      <c r="D2110" t="n">
        <v>12</v>
      </c>
      <c r="E2110" t="s">
        <v>2078</v>
      </c>
      <c r="F2110" t="s"/>
      <c r="G2110" t="s"/>
      <c r="H2110" t="s"/>
      <c r="I2110" t="s"/>
      <c r="J2110" t="n">
        <v>0</v>
      </c>
      <c r="K2110" t="n">
        <v>0</v>
      </c>
      <c r="L2110" t="n">
        <v>1</v>
      </c>
      <c r="M2110" t="n">
        <v>0</v>
      </c>
    </row>
    <row r="2111" spans="1:13">
      <c r="A2111" s="1">
        <f>HYPERLINK("http://www.twitter.com/NathanBLawrence/status/985965145213014022", "985965145213014022")</f>
        <v/>
      </c>
      <c r="B2111" s="2" t="n">
        <v>43206.81693287037</v>
      </c>
      <c r="C2111" t="n">
        <v>0</v>
      </c>
      <c r="D2111" t="n">
        <v>4</v>
      </c>
      <c r="E2111" t="s">
        <v>2079</v>
      </c>
      <c r="F2111" t="s"/>
      <c r="G2111" t="s"/>
      <c r="H2111" t="s"/>
      <c r="I2111" t="s"/>
      <c r="J2111" t="n">
        <v>0</v>
      </c>
      <c r="K2111" t="n">
        <v>0</v>
      </c>
      <c r="L2111" t="n">
        <v>1</v>
      </c>
      <c r="M2111" t="n">
        <v>0</v>
      </c>
    </row>
    <row r="2112" spans="1:13">
      <c r="A2112" s="1">
        <f>HYPERLINK("http://www.twitter.com/NathanBLawrence/status/985965111755137024", "985965111755137024")</f>
        <v/>
      </c>
      <c r="B2112" s="2" t="n">
        <v>43206.81684027778</v>
      </c>
      <c r="C2112" t="n">
        <v>0</v>
      </c>
      <c r="D2112" t="n">
        <v>2</v>
      </c>
      <c r="E2112" t="s">
        <v>2080</v>
      </c>
      <c r="F2112" t="s"/>
      <c r="G2112" t="s"/>
      <c r="H2112" t="s"/>
      <c r="I2112" t="s"/>
      <c r="J2112" t="n">
        <v>0.5994</v>
      </c>
      <c r="K2112" t="n">
        <v>0</v>
      </c>
      <c r="L2112" t="n">
        <v>0.719</v>
      </c>
      <c r="M2112" t="n">
        <v>0.281</v>
      </c>
    </row>
    <row r="2113" spans="1:13">
      <c r="A2113" s="1">
        <f>HYPERLINK("http://www.twitter.com/NathanBLawrence/status/985965082352979969", "985965082352979969")</f>
        <v/>
      </c>
      <c r="B2113" s="2" t="n">
        <v>43206.81675925926</v>
      </c>
      <c r="C2113" t="n">
        <v>0</v>
      </c>
      <c r="D2113" t="n">
        <v>47</v>
      </c>
      <c r="E2113" t="s">
        <v>2081</v>
      </c>
      <c r="F2113" t="s"/>
      <c r="G2113" t="s"/>
      <c r="H2113" t="s"/>
      <c r="I2113" t="s"/>
      <c r="J2113" t="n">
        <v>-0.5859</v>
      </c>
      <c r="K2113" t="n">
        <v>0.252</v>
      </c>
      <c r="L2113" t="n">
        <v>0.65</v>
      </c>
      <c r="M2113" t="n">
        <v>0.098</v>
      </c>
    </row>
    <row r="2114" spans="1:13">
      <c r="A2114" s="1">
        <f>HYPERLINK("http://www.twitter.com/NathanBLawrence/status/985965049616437251", "985965049616437251")</f>
        <v/>
      </c>
      <c r="B2114" s="2" t="n">
        <v>43206.81666666667</v>
      </c>
      <c r="C2114" t="n">
        <v>0</v>
      </c>
      <c r="D2114" t="n">
        <v>5</v>
      </c>
      <c r="E2114" t="s">
        <v>2082</v>
      </c>
      <c r="F2114" t="s"/>
      <c r="G2114" t="s"/>
      <c r="H2114" t="s"/>
      <c r="I2114" t="s"/>
      <c r="J2114" t="n">
        <v>0</v>
      </c>
      <c r="K2114" t="n">
        <v>0</v>
      </c>
      <c r="L2114" t="n">
        <v>1</v>
      </c>
      <c r="M2114" t="n">
        <v>0</v>
      </c>
    </row>
    <row r="2115" spans="1:13">
      <c r="A2115" s="1">
        <f>HYPERLINK("http://www.twitter.com/NathanBLawrence/status/985965023032995840", "985965023032995840")</f>
        <v/>
      </c>
      <c r="B2115" s="2" t="n">
        <v>43206.81659722222</v>
      </c>
      <c r="C2115" t="n">
        <v>0</v>
      </c>
      <c r="D2115" t="n">
        <v>11</v>
      </c>
      <c r="E2115" t="s">
        <v>2083</v>
      </c>
      <c r="F2115">
        <f>HYPERLINK("http://pbs.twimg.com/media/Da6uk1yXkAAJmxg.jpg", "http://pbs.twimg.com/media/Da6uk1yXkAAJmxg.jpg")</f>
        <v/>
      </c>
      <c r="G2115" t="s"/>
      <c r="H2115" t="s"/>
      <c r="I2115" t="s"/>
      <c r="J2115" t="n">
        <v>0</v>
      </c>
      <c r="K2115" t="n">
        <v>0</v>
      </c>
      <c r="L2115" t="n">
        <v>1</v>
      </c>
      <c r="M2115" t="n">
        <v>0</v>
      </c>
    </row>
    <row r="2116" spans="1:13">
      <c r="A2116" s="1">
        <f>HYPERLINK("http://www.twitter.com/NathanBLawrence/status/985964997531656193", "985964997531656193")</f>
        <v/>
      </c>
      <c r="B2116" s="2" t="n">
        <v>43206.81652777778</v>
      </c>
      <c r="C2116" t="n">
        <v>0</v>
      </c>
      <c r="D2116" t="n">
        <v>15</v>
      </c>
      <c r="E2116" t="s">
        <v>2084</v>
      </c>
      <c r="F2116" t="s"/>
      <c r="G2116" t="s"/>
      <c r="H2116" t="s"/>
      <c r="I2116" t="s"/>
      <c r="J2116" t="n">
        <v>-0.0423</v>
      </c>
      <c r="K2116" t="n">
        <v>0.095</v>
      </c>
      <c r="L2116" t="n">
        <v>0.8179999999999999</v>
      </c>
      <c r="M2116" t="n">
        <v>0.08799999999999999</v>
      </c>
    </row>
    <row r="2117" spans="1:13">
      <c r="A2117" s="1">
        <f>HYPERLINK("http://www.twitter.com/NathanBLawrence/status/985964970901954561", "985964970901954561")</f>
        <v/>
      </c>
      <c r="B2117" s="2" t="n">
        <v>43206.81645833333</v>
      </c>
      <c r="C2117" t="n">
        <v>0</v>
      </c>
      <c r="D2117" t="n">
        <v>13</v>
      </c>
      <c r="E2117" t="s">
        <v>2085</v>
      </c>
      <c r="F2117" t="s"/>
      <c r="G2117" t="s"/>
      <c r="H2117" t="s"/>
      <c r="I2117" t="s"/>
      <c r="J2117" t="n">
        <v>0</v>
      </c>
      <c r="K2117" t="n">
        <v>0</v>
      </c>
      <c r="L2117" t="n">
        <v>1</v>
      </c>
      <c r="M2117" t="n">
        <v>0</v>
      </c>
    </row>
    <row r="2118" spans="1:13">
      <c r="A2118" s="1">
        <f>HYPERLINK("http://www.twitter.com/NathanBLawrence/status/985964927876726784", "985964927876726784")</f>
        <v/>
      </c>
      <c r="B2118" s="2" t="n">
        <v>43206.81633101852</v>
      </c>
      <c r="C2118" t="n">
        <v>0</v>
      </c>
      <c r="D2118" t="n">
        <v>9</v>
      </c>
      <c r="E2118" t="s">
        <v>2086</v>
      </c>
      <c r="F2118" t="s"/>
      <c r="G2118" t="s"/>
      <c r="H2118" t="s"/>
      <c r="I2118" t="s"/>
      <c r="J2118" t="n">
        <v>-0.5266999999999999</v>
      </c>
      <c r="K2118" t="n">
        <v>0.253</v>
      </c>
      <c r="L2118" t="n">
        <v>0.747</v>
      </c>
      <c r="M2118" t="n">
        <v>0</v>
      </c>
    </row>
    <row r="2119" spans="1:13">
      <c r="A2119" s="1">
        <f>HYPERLINK("http://www.twitter.com/NathanBLawrence/status/985964871685738497", "985964871685738497")</f>
        <v/>
      </c>
      <c r="B2119" s="2" t="n">
        <v>43206.81618055556</v>
      </c>
      <c r="C2119" t="n">
        <v>0</v>
      </c>
      <c r="D2119" t="n">
        <v>5</v>
      </c>
      <c r="E2119" t="s">
        <v>2087</v>
      </c>
      <c r="F2119">
        <f>HYPERLINK("http://pbs.twimg.com/media/Da61l0MV4AEFnc9.jpg", "http://pbs.twimg.com/media/Da61l0MV4AEFnc9.jpg")</f>
        <v/>
      </c>
      <c r="G2119" t="s"/>
      <c r="H2119" t="s"/>
      <c r="I2119" t="s"/>
      <c r="J2119" t="n">
        <v>0</v>
      </c>
      <c r="K2119" t="n">
        <v>0</v>
      </c>
      <c r="L2119" t="n">
        <v>1</v>
      </c>
      <c r="M2119" t="n">
        <v>0</v>
      </c>
    </row>
    <row r="2120" spans="1:13">
      <c r="A2120" s="1">
        <f>HYPERLINK("http://www.twitter.com/NathanBLawrence/status/985964795877904387", "985964795877904387")</f>
        <v/>
      </c>
      <c r="B2120" s="2" t="n">
        <v>43206.81597222222</v>
      </c>
      <c r="C2120" t="n">
        <v>0</v>
      </c>
      <c r="D2120" t="n">
        <v>5</v>
      </c>
      <c r="E2120" t="s">
        <v>2088</v>
      </c>
      <c r="F2120" t="s"/>
      <c r="G2120" t="s"/>
      <c r="H2120" t="s"/>
      <c r="I2120" t="s"/>
      <c r="J2120" t="n">
        <v>0</v>
      </c>
      <c r="K2120" t="n">
        <v>0.165</v>
      </c>
      <c r="L2120" t="n">
        <v>0.704</v>
      </c>
      <c r="M2120" t="n">
        <v>0.13</v>
      </c>
    </row>
    <row r="2121" spans="1:13">
      <c r="A2121" s="1">
        <f>HYPERLINK("http://www.twitter.com/NathanBLawrence/status/985964768497422336", "985964768497422336")</f>
        <v/>
      </c>
      <c r="B2121" s="2" t="n">
        <v>43206.8158912037</v>
      </c>
      <c r="C2121" t="n">
        <v>0</v>
      </c>
      <c r="D2121" t="n">
        <v>1</v>
      </c>
      <c r="E2121" t="s">
        <v>2089</v>
      </c>
      <c r="F2121" t="s"/>
      <c r="G2121" t="s"/>
      <c r="H2121" t="s"/>
      <c r="I2121" t="s"/>
      <c r="J2121" t="n">
        <v>0</v>
      </c>
      <c r="K2121" t="n">
        <v>0</v>
      </c>
      <c r="L2121" t="n">
        <v>1</v>
      </c>
      <c r="M2121" t="n">
        <v>0</v>
      </c>
    </row>
    <row r="2122" spans="1:13">
      <c r="A2122" s="1">
        <f>HYPERLINK("http://www.twitter.com/NathanBLawrence/status/985964750575161349", "985964750575161349")</f>
        <v/>
      </c>
      <c r="B2122" s="2" t="n">
        <v>43206.81584490741</v>
      </c>
      <c r="C2122" t="n">
        <v>0</v>
      </c>
      <c r="D2122" t="n">
        <v>6</v>
      </c>
      <c r="E2122" t="s">
        <v>2090</v>
      </c>
      <c r="F2122">
        <f>HYPERLINK("http://pbs.twimg.com/media/Da67DJnWAAA6ny8.jpg", "http://pbs.twimg.com/media/Da67DJnWAAA6ny8.jpg")</f>
        <v/>
      </c>
      <c r="G2122" t="s"/>
      <c r="H2122" t="s"/>
      <c r="I2122" t="s"/>
      <c r="J2122" t="n">
        <v>0</v>
      </c>
      <c r="K2122" t="n">
        <v>0</v>
      </c>
      <c r="L2122" t="n">
        <v>1</v>
      </c>
      <c r="M2122" t="n">
        <v>0</v>
      </c>
    </row>
    <row r="2123" spans="1:13">
      <c r="A2123" s="1">
        <f>HYPERLINK("http://www.twitter.com/NathanBLawrence/status/985964691867492352", "985964691867492352")</f>
        <v/>
      </c>
      <c r="B2123" s="2" t="n">
        <v>43206.81568287037</v>
      </c>
      <c r="C2123" t="n">
        <v>0</v>
      </c>
      <c r="D2123" t="n">
        <v>9</v>
      </c>
      <c r="E2123" t="s">
        <v>2091</v>
      </c>
      <c r="F2123" t="s"/>
      <c r="G2123" t="s"/>
      <c r="H2123" t="s"/>
      <c r="I2123" t="s"/>
      <c r="J2123" t="n">
        <v>-0.3384</v>
      </c>
      <c r="K2123" t="n">
        <v>0.094</v>
      </c>
      <c r="L2123" t="n">
        <v>0.906</v>
      </c>
      <c r="M2123" t="n">
        <v>0</v>
      </c>
    </row>
    <row r="2124" spans="1:13">
      <c r="A2124" s="1">
        <f>HYPERLINK("http://www.twitter.com/NathanBLawrence/status/985964623127080960", "985964623127080960")</f>
        <v/>
      </c>
      <c r="B2124" s="2" t="n">
        <v>43206.81549768519</v>
      </c>
      <c r="C2124" t="n">
        <v>0</v>
      </c>
      <c r="D2124" t="n">
        <v>3</v>
      </c>
      <c r="E2124" t="s">
        <v>2092</v>
      </c>
      <c r="F2124" t="s"/>
      <c r="G2124" t="s"/>
      <c r="H2124" t="s"/>
      <c r="I2124" t="s"/>
      <c r="J2124" t="n">
        <v>-0.4404</v>
      </c>
      <c r="K2124" t="n">
        <v>0.175</v>
      </c>
      <c r="L2124" t="n">
        <v>0.744</v>
      </c>
      <c r="M2124" t="n">
        <v>0.081</v>
      </c>
    </row>
    <row r="2125" spans="1:13">
      <c r="A2125" s="1">
        <f>HYPERLINK("http://www.twitter.com/NathanBLawrence/status/985964602264637447", "985964602264637447")</f>
        <v/>
      </c>
      <c r="B2125" s="2" t="n">
        <v>43206.81543981482</v>
      </c>
      <c r="C2125" t="n">
        <v>0</v>
      </c>
      <c r="D2125" t="n">
        <v>8</v>
      </c>
      <c r="E2125" t="s">
        <v>2093</v>
      </c>
      <c r="F2125" t="s"/>
      <c r="G2125" t="s"/>
      <c r="H2125" t="s"/>
      <c r="I2125" t="s"/>
      <c r="J2125" t="n">
        <v>0.1027</v>
      </c>
      <c r="K2125" t="n">
        <v>0.123</v>
      </c>
      <c r="L2125" t="n">
        <v>0.735</v>
      </c>
      <c r="M2125" t="n">
        <v>0.142</v>
      </c>
    </row>
    <row r="2126" spans="1:13">
      <c r="A2126" s="1">
        <f>HYPERLINK("http://www.twitter.com/NathanBLawrence/status/985964573806166017", "985964573806166017")</f>
        <v/>
      </c>
      <c r="B2126" s="2" t="n">
        <v>43206.8153587963</v>
      </c>
      <c r="C2126" t="n">
        <v>0</v>
      </c>
      <c r="D2126" t="n">
        <v>2</v>
      </c>
      <c r="E2126" t="s">
        <v>2094</v>
      </c>
      <c r="F2126" t="s"/>
      <c r="G2126" t="s"/>
      <c r="H2126" t="s"/>
      <c r="I2126" t="s"/>
      <c r="J2126" t="n">
        <v>-0.4753</v>
      </c>
      <c r="K2126" t="n">
        <v>0.14</v>
      </c>
      <c r="L2126" t="n">
        <v>0.86</v>
      </c>
      <c r="M2126" t="n">
        <v>0</v>
      </c>
    </row>
    <row r="2127" spans="1:13">
      <c r="A2127" s="1">
        <f>HYPERLINK("http://www.twitter.com/NathanBLawrence/status/985964512523292673", "985964512523292673")</f>
        <v/>
      </c>
      <c r="B2127" s="2" t="n">
        <v>43206.81518518519</v>
      </c>
      <c r="C2127" t="n">
        <v>0</v>
      </c>
      <c r="D2127" t="n">
        <v>7</v>
      </c>
      <c r="E2127" t="s">
        <v>2095</v>
      </c>
      <c r="F2127" t="s"/>
      <c r="G2127" t="s"/>
      <c r="H2127" t="s"/>
      <c r="I2127" t="s"/>
      <c r="J2127" t="n">
        <v>0</v>
      </c>
      <c r="K2127" t="n">
        <v>0</v>
      </c>
      <c r="L2127" t="n">
        <v>1</v>
      </c>
      <c r="M2127" t="n">
        <v>0</v>
      </c>
    </row>
    <row r="2128" spans="1:13">
      <c r="A2128" s="1">
        <f>HYPERLINK("http://www.twitter.com/NathanBLawrence/status/985964420361793537", "985964420361793537")</f>
        <v/>
      </c>
      <c r="B2128" s="2" t="n">
        <v>43206.81493055556</v>
      </c>
      <c r="C2128" t="n">
        <v>0</v>
      </c>
      <c r="D2128" t="n">
        <v>3</v>
      </c>
      <c r="E2128" t="s">
        <v>2096</v>
      </c>
      <c r="F2128" t="s"/>
      <c r="G2128" t="s"/>
      <c r="H2128" t="s"/>
      <c r="I2128" t="s"/>
      <c r="J2128" t="n">
        <v>0</v>
      </c>
      <c r="K2128" t="n">
        <v>0</v>
      </c>
      <c r="L2128" t="n">
        <v>1</v>
      </c>
      <c r="M2128" t="n">
        <v>0</v>
      </c>
    </row>
    <row r="2129" spans="1:13">
      <c r="A2129" s="1">
        <f>HYPERLINK("http://www.twitter.com/NathanBLawrence/status/985964399209975810", "985964399209975810")</f>
        <v/>
      </c>
      <c r="B2129" s="2" t="n">
        <v>43206.81487268519</v>
      </c>
      <c r="C2129" t="n">
        <v>0</v>
      </c>
      <c r="D2129" t="n">
        <v>0</v>
      </c>
      <c r="E2129" t="s">
        <v>2097</v>
      </c>
      <c r="F2129" t="s"/>
      <c r="G2129" t="s"/>
      <c r="H2129" t="s"/>
      <c r="I2129" t="s"/>
      <c r="J2129" t="n">
        <v>0.4215</v>
      </c>
      <c r="K2129" t="n">
        <v>0</v>
      </c>
      <c r="L2129" t="n">
        <v>0.823</v>
      </c>
      <c r="M2129" t="n">
        <v>0.177</v>
      </c>
    </row>
    <row r="2130" spans="1:13">
      <c r="A2130" s="1">
        <f>HYPERLINK("http://www.twitter.com/NathanBLawrence/status/985964038009053185", "985964038009053185")</f>
        <v/>
      </c>
      <c r="B2130" s="2" t="n">
        <v>43206.81387731482</v>
      </c>
      <c r="C2130" t="n">
        <v>0</v>
      </c>
      <c r="D2130" t="n">
        <v>4</v>
      </c>
      <c r="E2130" t="s">
        <v>2098</v>
      </c>
      <c r="F2130" t="s"/>
      <c r="G2130" t="s"/>
      <c r="H2130" t="s"/>
      <c r="I2130" t="s"/>
      <c r="J2130" t="n">
        <v>-0.4215</v>
      </c>
      <c r="K2130" t="n">
        <v>0.113</v>
      </c>
      <c r="L2130" t="n">
        <v>0.887</v>
      </c>
      <c r="M2130" t="n">
        <v>0</v>
      </c>
    </row>
    <row r="2131" spans="1:13">
      <c r="A2131" s="1">
        <f>HYPERLINK("http://www.twitter.com/NathanBLawrence/status/985963969268641792", "985963969268641792")</f>
        <v/>
      </c>
      <c r="B2131" s="2" t="n">
        <v>43206.81369212963</v>
      </c>
      <c r="C2131" t="n">
        <v>0</v>
      </c>
      <c r="D2131" t="n">
        <v>2</v>
      </c>
      <c r="E2131" t="s">
        <v>2099</v>
      </c>
      <c r="F2131" t="s"/>
      <c r="G2131" t="s"/>
      <c r="H2131" t="s"/>
      <c r="I2131" t="s"/>
      <c r="J2131" t="n">
        <v>0</v>
      </c>
      <c r="K2131" t="n">
        <v>0</v>
      </c>
      <c r="L2131" t="n">
        <v>1</v>
      </c>
      <c r="M2131" t="n">
        <v>0</v>
      </c>
    </row>
    <row r="2132" spans="1:13">
      <c r="A2132" s="1">
        <f>HYPERLINK("http://www.twitter.com/NathanBLawrence/status/985963938906025984", "985963938906025984")</f>
        <v/>
      </c>
      <c r="B2132" s="2" t="n">
        <v>43206.81361111111</v>
      </c>
      <c r="C2132" t="n">
        <v>0</v>
      </c>
      <c r="D2132" t="n">
        <v>3</v>
      </c>
      <c r="E2132" t="s">
        <v>2100</v>
      </c>
      <c r="F2132" t="s"/>
      <c r="G2132" t="s"/>
      <c r="H2132" t="s"/>
      <c r="I2132" t="s"/>
      <c r="J2132" t="n">
        <v>0.4404</v>
      </c>
      <c r="K2132" t="n">
        <v>0</v>
      </c>
      <c r="L2132" t="n">
        <v>0.756</v>
      </c>
      <c r="M2132" t="n">
        <v>0.244</v>
      </c>
    </row>
    <row r="2133" spans="1:13">
      <c r="A2133" s="1">
        <f>HYPERLINK("http://www.twitter.com/NathanBLawrence/status/985963801630642176", "985963801630642176")</f>
        <v/>
      </c>
      <c r="B2133" s="2" t="n">
        <v>43206.81322916667</v>
      </c>
      <c r="C2133" t="n">
        <v>0</v>
      </c>
      <c r="D2133" t="n">
        <v>3</v>
      </c>
      <c r="E2133" t="s">
        <v>2101</v>
      </c>
      <c r="F2133" t="s"/>
      <c r="G2133" t="s"/>
      <c r="H2133" t="s"/>
      <c r="I2133" t="s"/>
      <c r="J2133" t="n">
        <v>0</v>
      </c>
      <c r="K2133" t="n">
        <v>0</v>
      </c>
      <c r="L2133" t="n">
        <v>1</v>
      </c>
      <c r="M2133" t="n">
        <v>0</v>
      </c>
    </row>
    <row r="2134" spans="1:13">
      <c r="A2134" s="1">
        <f>HYPERLINK("http://www.twitter.com/NathanBLawrence/status/985941843442618374", "985941843442618374")</f>
        <v/>
      </c>
      <c r="B2134" s="2" t="n">
        <v>43206.75263888889</v>
      </c>
      <c r="C2134" t="n">
        <v>0</v>
      </c>
      <c r="D2134" t="n">
        <v>7</v>
      </c>
      <c r="E2134" t="s">
        <v>2102</v>
      </c>
      <c r="F2134">
        <f>HYPERLINK("http://pbs.twimg.com/media/Da7DuY9WkAAWVeh.jpg", "http://pbs.twimg.com/media/Da7DuY9WkAAWVeh.jpg")</f>
        <v/>
      </c>
      <c r="G2134" t="s"/>
      <c r="H2134" t="s"/>
      <c r="I2134" t="s"/>
      <c r="J2134" t="n">
        <v>-0.3612</v>
      </c>
      <c r="K2134" t="n">
        <v>0.152</v>
      </c>
      <c r="L2134" t="n">
        <v>0.848</v>
      </c>
      <c r="M2134" t="n">
        <v>0</v>
      </c>
    </row>
    <row r="2135" spans="1:13">
      <c r="A2135" s="1">
        <f>HYPERLINK("http://www.twitter.com/NathanBLawrence/status/985941706595078144", "985941706595078144")</f>
        <v/>
      </c>
      <c r="B2135" s="2" t="n">
        <v>43206.75225694444</v>
      </c>
      <c r="C2135" t="n">
        <v>0</v>
      </c>
      <c r="D2135" t="n">
        <v>5</v>
      </c>
      <c r="E2135" t="s">
        <v>2103</v>
      </c>
      <c r="F2135" t="s"/>
      <c r="G2135" t="s"/>
      <c r="H2135" t="s"/>
      <c r="I2135" t="s"/>
      <c r="J2135" t="n">
        <v>0.3182</v>
      </c>
      <c r="K2135" t="n">
        <v>0</v>
      </c>
      <c r="L2135" t="n">
        <v>0.909</v>
      </c>
      <c r="M2135" t="n">
        <v>0.091</v>
      </c>
    </row>
    <row r="2136" spans="1:13">
      <c r="A2136" s="1">
        <f>HYPERLINK("http://www.twitter.com/NathanBLawrence/status/985903040829050881", "985903040829050881")</f>
        <v/>
      </c>
      <c r="B2136" s="2" t="n">
        <v>43206.64555555556</v>
      </c>
      <c r="C2136" t="n">
        <v>0</v>
      </c>
      <c r="D2136" t="n">
        <v>6</v>
      </c>
      <c r="E2136" t="s">
        <v>2104</v>
      </c>
      <c r="F2136" t="s"/>
      <c r="G2136" t="s"/>
      <c r="H2136" t="s"/>
      <c r="I2136" t="s"/>
      <c r="J2136" t="n">
        <v>0</v>
      </c>
      <c r="K2136" t="n">
        <v>0</v>
      </c>
      <c r="L2136" t="n">
        <v>1</v>
      </c>
      <c r="M2136" t="n">
        <v>0</v>
      </c>
    </row>
    <row r="2137" spans="1:13">
      <c r="A2137" s="1">
        <f>HYPERLINK("http://www.twitter.com/NathanBLawrence/status/985903007618490368", "985903007618490368")</f>
        <v/>
      </c>
      <c r="B2137" s="2" t="n">
        <v>43206.64546296297</v>
      </c>
      <c r="C2137" t="n">
        <v>0</v>
      </c>
      <c r="D2137" t="n">
        <v>0</v>
      </c>
      <c r="E2137" t="s">
        <v>2105</v>
      </c>
      <c r="F2137" t="s"/>
      <c r="G2137" t="s"/>
      <c r="H2137" t="s"/>
      <c r="I2137" t="s"/>
      <c r="J2137" t="n">
        <v>0.4926</v>
      </c>
      <c r="K2137" t="n">
        <v>0</v>
      </c>
      <c r="L2137" t="n">
        <v>0.653</v>
      </c>
      <c r="M2137" t="n">
        <v>0.347</v>
      </c>
    </row>
    <row r="2138" spans="1:13">
      <c r="A2138" s="1">
        <f>HYPERLINK("http://www.twitter.com/NathanBLawrence/status/985901432053358592", "985901432053358592")</f>
        <v/>
      </c>
      <c r="B2138" s="2" t="n">
        <v>43206.64112268519</v>
      </c>
      <c r="C2138" t="n">
        <v>0</v>
      </c>
      <c r="D2138" t="n">
        <v>5</v>
      </c>
      <c r="E2138" t="s">
        <v>2106</v>
      </c>
      <c r="F2138">
        <f>HYPERLINK("http://pbs.twimg.com/media/Da6EeUSX4AAmkQO.jpg", "http://pbs.twimg.com/media/Da6EeUSX4AAmkQO.jpg")</f>
        <v/>
      </c>
      <c r="G2138" t="s"/>
      <c r="H2138" t="s"/>
      <c r="I2138" t="s"/>
      <c r="J2138" t="n">
        <v>0</v>
      </c>
      <c r="K2138" t="n">
        <v>0</v>
      </c>
      <c r="L2138" t="n">
        <v>1</v>
      </c>
      <c r="M2138" t="n">
        <v>0</v>
      </c>
    </row>
    <row r="2139" spans="1:13">
      <c r="A2139" s="1">
        <f>HYPERLINK("http://www.twitter.com/NathanBLawrence/status/985901369713479681", "985901369713479681")</f>
        <v/>
      </c>
      <c r="B2139" s="2" t="n">
        <v>43206.64094907408</v>
      </c>
      <c r="C2139" t="n">
        <v>0</v>
      </c>
      <c r="D2139" t="n">
        <v>6</v>
      </c>
      <c r="E2139" t="s">
        <v>2107</v>
      </c>
      <c r="F2139" t="s"/>
      <c r="G2139" t="s"/>
      <c r="H2139" t="s"/>
      <c r="I2139" t="s"/>
      <c r="J2139" t="n">
        <v>0.4019</v>
      </c>
      <c r="K2139" t="n">
        <v>0.115</v>
      </c>
      <c r="L2139" t="n">
        <v>0.669</v>
      </c>
      <c r="M2139" t="n">
        <v>0.216</v>
      </c>
    </row>
    <row r="2140" spans="1:13">
      <c r="A2140" s="1">
        <f>HYPERLINK("http://www.twitter.com/NathanBLawrence/status/985901335353745411", "985901335353745411")</f>
        <v/>
      </c>
      <c r="B2140" s="2" t="n">
        <v>43206.64085648148</v>
      </c>
      <c r="C2140" t="n">
        <v>0</v>
      </c>
      <c r="D2140" t="n">
        <v>3</v>
      </c>
      <c r="E2140" t="s">
        <v>2108</v>
      </c>
      <c r="F2140">
        <f>HYPERLINK("http://pbs.twimg.com/media/Da6WAZhVMAIeiU2.jpg", "http://pbs.twimg.com/media/Da6WAZhVMAIeiU2.jpg")</f>
        <v/>
      </c>
      <c r="G2140" t="s"/>
      <c r="H2140" t="s"/>
      <c r="I2140" t="s"/>
      <c r="J2140" t="n">
        <v>0</v>
      </c>
      <c r="K2140" t="n">
        <v>0</v>
      </c>
      <c r="L2140" t="n">
        <v>1</v>
      </c>
      <c r="M2140" t="n">
        <v>0</v>
      </c>
    </row>
    <row r="2141" spans="1:13">
      <c r="A2141" s="1">
        <f>HYPERLINK("http://www.twitter.com/NathanBLawrence/status/985901324763041793", "985901324763041793")</f>
        <v/>
      </c>
      <c r="B2141" s="2" t="n">
        <v>43206.64082175926</v>
      </c>
      <c r="C2141" t="n">
        <v>0</v>
      </c>
      <c r="D2141" t="n">
        <v>7</v>
      </c>
      <c r="E2141" t="s">
        <v>2109</v>
      </c>
      <c r="F2141" t="s"/>
      <c r="G2141" t="s"/>
      <c r="H2141" t="s"/>
      <c r="I2141" t="s"/>
      <c r="J2141" t="n">
        <v>0</v>
      </c>
      <c r="K2141" t="n">
        <v>0</v>
      </c>
      <c r="L2141" t="n">
        <v>1</v>
      </c>
      <c r="M2141" t="n">
        <v>0</v>
      </c>
    </row>
    <row r="2142" spans="1:13">
      <c r="A2142" s="1">
        <f>HYPERLINK("http://www.twitter.com/NathanBLawrence/status/985901300238909440", "985901300238909440")</f>
        <v/>
      </c>
      <c r="B2142" s="2" t="n">
        <v>43206.64075231482</v>
      </c>
      <c r="C2142" t="n">
        <v>0</v>
      </c>
      <c r="D2142" t="n">
        <v>5</v>
      </c>
      <c r="E2142" t="s">
        <v>2110</v>
      </c>
      <c r="F2142" t="s"/>
      <c r="G2142" t="s"/>
      <c r="H2142" t="s"/>
      <c r="I2142" t="s"/>
      <c r="J2142" t="n">
        <v>0.4574</v>
      </c>
      <c r="K2142" t="n">
        <v>0</v>
      </c>
      <c r="L2142" t="n">
        <v>0.701</v>
      </c>
      <c r="M2142" t="n">
        <v>0.299</v>
      </c>
    </row>
    <row r="2143" spans="1:13">
      <c r="A2143" s="1">
        <f>HYPERLINK("http://www.twitter.com/NathanBLawrence/status/985901265606643712", "985901265606643712")</f>
        <v/>
      </c>
      <c r="B2143" s="2" t="n">
        <v>43206.64065972222</v>
      </c>
      <c r="C2143" t="n">
        <v>0</v>
      </c>
      <c r="D2143" t="n">
        <v>12</v>
      </c>
      <c r="E2143" t="s">
        <v>2111</v>
      </c>
      <c r="F2143" t="s"/>
      <c r="G2143" t="s"/>
      <c r="H2143" t="s"/>
      <c r="I2143" t="s"/>
      <c r="J2143" t="n">
        <v>0.128</v>
      </c>
      <c r="K2143" t="n">
        <v>0.179</v>
      </c>
      <c r="L2143" t="n">
        <v>0.661</v>
      </c>
      <c r="M2143" t="n">
        <v>0.16</v>
      </c>
    </row>
    <row r="2144" spans="1:13">
      <c r="A2144" s="1">
        <f>HYPERLINK("http://www.twitter.com/NathanBLawrence/status/985901244807073792", "985901244807073792")</f>
        <v/>
      </c>
      <c r="B2144" s="2" t="n">
        <v>43206.64060185185</v>
      </c>
      <c r="C2144" t="n">
        <v>0</v>
      </c>
      <c r="D2144" t="n">
        <v>5</v>
      </c>
      <c r="E2144" t="s">
        <v>2112</v>
      </c>
      <c r="F2144" t="s"/>
      <c r="G2144" t="s"/>
      <c r="H2144" t="s"/>
      <c r="I2144" t="s"/>
      <c r="J2144" t="n">
        <v>0.6486</v>
      </c>
      <c r="K2144" t="n">
        <v>0.162</v>
      </c>
      <c r="L2144" t="n">
        <v>0.54</v>
      </c>
      <c r="M2144" t="n">
        <v>0.298</v>
      </c>
    </row>
    <row r="2145" spans="1:13">
      <c r="A2145" s="1">
        <f>HYPERLINK("http://www.twitter.com/NathanBLawrence/status/985901224242401281", "985901224242401281")</f>
        <v/>
      </c>
      <c r="B2145" s="2" t="n">
        <v>43206.64054398148</v>
      </c>
      <c r="C2145" t="n">
        <v>0</v>
      </c>
      <c r="D2145" t="n">
        <v>40</v>
      </c>
      <c r="E2145" t="s">
        <v>2113</v>
      </c>
      <c r="F2145">
        <f>HYPERLINK("http://pbs.twimg.com/media/Da6etYZXUAIlvCD.jpg", "http://pbs.twimg.com/media/Da6etYZXUAIlvCD.jpg")</f>
        <v/>
      </c>
      <c r="G2145" t="s"/>
      <c r="H2145" t="s"/>
      <c r="I2145" t="s"/>
      <c r="J2145" t="n">
        <v>0</v>
      </c>
      <c r="K2145" t="n">
        <v>0</v>
      </c>
      <c r="L2145" t="n">
        <v>1</v>
      </c>
      <c r="M2145" t="n">
        <v>0</v>
      </c>
    </row>
    <row r="2146" spans="1:13">
      <c r="A2146" s="1">
        <f>HYPERLINK("http://www.twitter.com/NathanBLawrence/status/985868520306167808", "985868520306167808")</f>
        <v/>
      </c>
      <c r="B2146" s="2" t="n">
        <v>43206.55030092593</v>
      </c>
      <c r="C2146" t="n">
        <v>0</v>
      </c>
      <c r="D2146" t="n">
        <v>6</v>
      </c>
      <c r="E2146" t="s">
        <v>2114</v>
      </c>
      <c r="F2146" t="s"/>
      <c r="G2146" t="s"/>
      <c r="H2146" t="s"/>
      <c r="I2146" t="s"/>
      <c r="J2146" t="n">
        <v>-0.0258</v>
      </c>
      <c r="K2146" t="n">
        <v>0.107</v>
      </c>
      <c r="L2146" t="n">
        <v>0.791</v>
      </c>
      <c r="M2146" t="n">
        <v>0.102</v>
      </c>
    </row>
    <row r="2147" spans="1:13">
      <c r="A2147" s="1">
        <f>HYPERLINK("http://www.twitter.com/NathanBLawrence/status/985868495136153601", "985868495136153601")</f>
        <v/>
      </c>
      <c r="B2147" s="2" t="n">
        <v>43206.55023148148</v>
      </c>
      <c r="C2147" t="n">
        <v>0</v>
      </c>
      <c r="D2147" t="n">
        <v>9</v>
      </c>
      <c r="E2147" t="s">
        <v>2115</v>
      </c>
      <c r="F2147" t="s"/>
      <c r="G2147" t="s"/>
      <c r="H2147" t="s"/>
      <c r="I2147" t="s"/>
      <c r="J2147" t="n">
        <v>0.4019</v>
      </c>
      <c r="K2147" t="n">
        <v>0</v>
      </c>
      <c r="L2147" t="n">
        <v>0.876</v>
      </c>
      <c r="M2147" t="n">
        <v>0.124</v>
      </c>
    </row>
    <row r="2148" spans="1:13">
      <c r="A2148" s="1">
        <f>HYPERLINK("http://www.twitter.com/NathanBLawrence/status/985864673814810625", "985864673814810625")</f>
        <v/>
      </c>
      <c r="B2148" s="2" t="n">
        <v>43206.5396875</v>
      </c>
      <c r="C2148" t="n">
        <v>0</v>
      </c>
      <c r="D2148" t="n">
        <v>6</v>
      </c>
      <c r="E2148" t="s">
        <v>2116</v>
      </c>
      <c r="F2148" t="s"/>
      <c r="G2148" t="s"/>
      <c r="H2148" t="s"/>
      <c r="I2148" t="s"/>
      <c r="J2148" t="n">
        <v>0</v>
      </c>
      <c r="K2148" t="n">
        <v>0</v>
      </c>
      <c r="L2148" t="n">
        <v>1</v>
      </c>
      <c r="M2148" t="n">
        <v>0</v>
      </c>
    </row>
    <row r="2149" spans="1:13">
      <c r="A2149" s="1">
        <f>HYPERLINK("http://www.twitter.com/NathanBLawrence/status/985864657452830721", "985864657452830721")</f>
        <v/>
      </c>
      <c r="B2149" s="2" t="n">
        <v>43206.5396412037</v>
      </c>
      <c r="C2149" t="n">
        <v>0</v>
      </c>
      <c r="D2149" t="n">
        <v>8</v>
      </c>
      <c r="E2149" t="s">
        <v>2117</v>
      </c>
      <c r="F2149" t="s"/>
      <c r="G2149" t="s"/>
      <c r="H2149" t="s"/>
      <c r="I2149" t="s"/>
      <c r="J2149" t="n">
        <v>0.3869</v>
      </c>
      <c r="K2149" t="n">
        <v>0.073</v>
      </c>
      <c r="L2149" t="n">
        <v>0.779</v>
      </c>
      <c r="M2149" t="n">
        <v>0.148</v>
      </c>
    </row>
    <row r="2150" spans="1:13">
      <c r="A2150" s="1">
        <f>HYPERLINK("http://www.twitter.com/NathanBLawrence/status/985864462786875392", "985864462786875392")</f>
        <v/>
      </c>
      <c r="B2150" s="2" t="n">
        <v>43206.5391087963</v>
      </c>
      <c r="C2150" t="n">
        <v>0</v>
      </c>
      <c r="D2150" t="n">
        <v>18</v>
      </c>
      <c r="E2150" t="s">
        <v>2118</v>
      </c>
      <c r="F2150" t="s"/>
      <c r="G2150" t="s"/>
      <c r="H2150" t="s"/>
      <c r="I2150" t="s"/>
      <c r="J2150" t="n">
        <v>-0.6486</v>
      </c>
      <c r="K2150" t="n">
        <v>0.238</v>
      </c>
      <c r="L2150" t="n">
        <v>0.762</v>
      </c>
      <c r="M2150" t="n">
        <v>0</v>
      </c>
    </row>
    <row r="2151" spans="1:13">
      <c r="A2151" s="1">
        <f>HYPERLINK("http://www.twitter.com/NathanBLawrence/status/985864436824059905", "985864436824059905")</f>
        <v/>
      </c>
      <c r="B2151" s="2" t="n">
        <v>43206.53902777778</v>
      </c>
      <c r="C2151" t="n">
        <v>0</v>
      </c>
      <c r="D2151" t="n">
        <v>8</v>
      </c>
      <c r="E2151" t="s">
        <v>2119</v>
      </c>
      <c r="F2151" t="s"/>
      <c r="G2151" t="s"/>
      <c r="H2151" t="s"/>
      <c r="I2151" t="s"/>
      <c r="J2151" t="n">
        <v>0.4019</v>
      </c>
      <c r="K2151" t="n">
        <v>0</v>
      </c>
      <c r="L2151" t="n">
        <v>0.87</v>
      </c>
      <c r="M2151" t="n">
        <v>0.13</v>
      </c>
    </row>
    <row r="2152" spans="1:13">
      <c r="A2152" s="1">
        <f>HYPERLINK("http://www.twitter.com/NathanBLawrence/status/985864417203113986", "985864417203113986")</f>
        <v/>
      </c>
      <c r="B2152" s="2" t="n">
        <v>43206.53898148148</v>
      </c>
      <c r="C2152" t="n">
        <v>0</v>
      </c>
      <c r="D2152" t="n">
        <v>17</v>
      </c>
      <c r="E2152" t="s">
        <v>2120</v>
      </c>
      <c r="F2152" t="s"/>
      <c r="G2152" t="s"/>
      <c r="H2152" t="s"/>
      <c r="I2152" t="s"/>
      <c r="J2152" t="n">
        <v>-0.4404</v>
      </c>
      <c r="K2152" t="n">
        <v>0.153</v>
      </c>
      <c r="L2152" t="n">
        <v>0.847</v>
      </c>
      <c r="M2152" t="n">
        <v>0</v>
      </c>
    </row>
    <row r="2153" spans="1:13">
      <c r="A2153" s="1">
        <f>HYPERLINK("http://www.twitter.com/NathanBLawrence/status/985864332834729985", "985864332834729985")</f>
        <v/>
      </c>
      <c r="B2153" s="2" t="n">
        <v>43206.53875</v>
      </c>
      <c r="C2153" t="n">
        <v>0</v>
      </c>
      <c r="D2153" t="n">
        <v>17</v>
      </c>
      <c r="E2153" t="s">
        <v>2121</v>
      </c>
      <c r="F2153" t="s"/>
      <c r="G2153" t="s"/>
      <c r="H2153" t="s"/>
      <c r="I2153" t="s"/>
      <c r="J2153" t="n">
        <v>-0.4404</v>
      </c>
      <c r="K2153" t="n">
        <v>0.146</v>
      </c>
      <c r="L2153" t="n">
        <v>0.854</v>
      </c>
      <c r="M2153" t="n">
        <v>0</v>
      </c>
    </row>
    <row r="2154" spans="1:13">
      <c r="A2154" s="1">
        <f>HYPERLINK("http://www.twitter.com/NathanBLawrence/status/985864197631283200", "985864197631283200")</f>
        <v/>
      </c>
      <c r="B2154" s="2" t="n">
        <v>43206.53836805555</v>
      </c>
      <c r="C2154" t="n">
        <v>1</v>
      </c>
      <c r="D2154" t="n">
        <v>0</v>
      </c>
      <c r="E2154" t="s">
        <v>2122</v>
      </c>
      <c r="F2154" t="s"/>
      <c r="G2154" t="s"/>
      <c r="H2154" t="s"/>
      <c r="I2154" t="s"/>
      <c r="J2154" t="n">
        <v>0</v>
      </c>
      <c r="K2154" t="n">
        <v>0</v>
      </c>
      <c r="L2154" t="n">
        <v>1</v>
      </c>
      <c r="M2154" t="n">
        <v>0</v>
      </c>
    </row>
    <row r="2155" spans="1:13">
      <c r="A2155" s="1">
        <f>HYPERLINK("http://www.twitter.com/NathanBLawrence/status/985864109991383040", "985864109991383040")</f>
        <v/>
      </c>
      <c r="B2155" s="2" t="n">
        <v>43206.538125</v>
      </c>
      <c r="C2155" t="n">
        <v>0</v>
      </c>
      <c r="D2155" t="n">
        <v>58</v>
      </c>
      <c r="E2155" t="s">
        <v>2123</v>
      </c>
      <c r="F2155" t="s"/>
      <c r="G2155" t="s"/>
      <c r="H2155" t="s"/>
      <c r="I2155" t="s"/>
      <c r="J2155" t="n">
        <v>-0.6486</v>
      </c>
      <c r="K2155" t="n">
        <v>0.238</v>
      </c>
      <c r="L2155" t="n">
        <v>0.762</v>
      </c>
      <c r="M2155" t="n">
        <v>0</v>
      </c>
    </row>
    <row r="2156" spans="1:13">
      <c r="A2156" s="1">
        <f>HYPERLINK("http://www.twitter.com/NathanBLawrence/status/985864024947556352", "985864024947556352")</f>
        <v/>
      </c>
      <c r="B2156" s="2" t="n">
        <v>43206.53789351852</v>
      </c>
      <c r="C2156" t="n">
        <v>0</v>
      </c>
      <c r="D2156" t="n">
        <v>8</v>
      </c>
      <c r="E2156" t="s">
        <v>2124</v>
      </c>
      <c r="F2156" t="s"/>
      <c r="G2156" t="s"/>
      <c r="H2156" t="s"/>
      <c r="I2156" t="s"/>
      <c r="J2156" t="n">
        <v>0</v>
      </c>
      <c r="K2156" t="n">
        <v>0</v>
      </c>
      <c r="L2156" t="n">
        <v>1</v>
      </c>
      <c r="M2156" t="n">
        <v>0</v>
      </c>
    </row>
    <row r="2157" spans="1:13">
      <c r="A2157" s="1">
        <f>HYPERLINK("http://www.twitter.com/NathanBLawrence/status/985863982983639040", "985863982983639040")</f>
        <v/>
      </c>
      <c r="B2157" s="2" t="n">
        <v>43206.53777777778</v>
      </c>
      <c r="C2157" t="n">
        <v>0</v>
      </c>
      <c r="D2157" t="n">
        <v>9</v>
      </c>
      <c r="E2157" t="s">
        <v>2125</v>
      </c>
      <c r="F2157">
        <f>HYPERLINK("http://pbs.twimg.com/media/Da51qPPXcAEsKGY.jpg", "http://pbs.twimg.com/media/Da51qPPXcAEsKGY.jpg")</f>
        <v/>
      </c>
      <c r="G2157" t="s"/>
      <c r="H2157" t="s"/>
      <c r="I2157" t="s"/>
      <c r="J2157" t="n">
        <v>-0.2406</v>
      </c>
      <c r="K2157" t="n">
        <v>0.109</v>
      </c>
      <c r="L2157" t="n">
        <v>0.891</v>
      </c>
      <c r="M2157" t="n">
        <v>0</v>
      </c>
    </row>
    <row r="2158" spans="1:13">
      <c r="A2158" s="1">
        <f>HYPERLINK("http://www.twitter.com/NathanBLawrence/status/985844350755143681", "985844350755143681")</f>
        <v/>
      </c>
      <c r="B2158" s="2" t="n">
        <v>43206.48359953704</v>
      </c>
      <c r="C2158" t="n">
        <v>0</v>
      </c>
      <c r="D2158" t="n">
        <v>3</v>
      </c>
      <c r="E2158" t="s">
        <v>2126</v>
      </c>
      <c r="F2158">
        <f>HYPERLINK("http://pbs.twimg.com/media/Da5sCsGUQAA3U_t.jpg", "http://pbs.twimg.com/media/Da5sCsGUQAA3U_t.jpg")</f>
        <v/>
      </c>
      <c r="G2158" t="s"/>
      <c r="H2158" t="s"/>
      <c r="I2158" t="s"/>
      <c r="J2158" t="n">
        <v>0</v>
      </c>
      <c r="K2158" t="n">
        <v>0</v>
      </c>
      <c r="L2158" t="n">
        <v>1</v>
      </c>
      <c r="M2158" t="n">
        <v>0</v>
      </c>
    </row>
    <row r="2159" spans="1:13">
      <c r="A2159" s="1">
        <f>HYPERLINK("http://www.twitter.com/NathanBLawrence/status/985843745177382912", "985843745177382912")</f>
        <v/>
      </c>
      <c r="B2159" s="2" t="n">
        <v>43206.48193287037</v>
      </c>
      <c r="C2159" t="n">
        <v>0</v>
      </c>
      <c r="D2159" t="n">
        <v>3</v>
      </c>
      <c r="E2159" t="s">
        <v>2127</v>
      </c>
      <c r="F2159" t="s"/>
      <c r="G2159" t="s"/>
      <c r="H2159" t="s"/>
      <c r="I2159" t="s"/>
      <c r="J2159" t="n">
        <v>0.6879999999999999</v>
      </c>
      <c r="K2159" t="n">
        <v>0.133</v>
      </c>
      <c r="L2159" t="n">
        <v>0.583</v>
      </c>
      <c r="M2159" t="n">
        <v>0.284</v>
      </c>
    </row>
    <row r="2160" spans="1:13">
      <c r="A2160" s="1">
        <f>HYPERLINK("http://www.twitter.com/NathanBLawrence/status/985843707416121344", "985843707416121344")</f>
        <v/>
      </c>
      <c r="B2160" s="2" t="n">
        <v>43206.48182870371</v>
      </c>
      <c r="C2160" t="n">
        <v>0</v>
      </c>
      <c r="D2160" t="n">
        <v>9</v>
      </c>
      <c r="E2160" t="s">
        <v>2128</v>
      </c>
      <c r="F2160" t="s"/>
      <c r="G2160" t="s"/>
      <c r="H2160" t="s"/>
      <c r="I2160" t="s"/>
      <c r="J2160" t="n">
        <v>0</v>
      </c>
      <c r="K2160" t="n">
        <v>0</v>
      </c>
      <c r="L2160" t="n">
        <v>1</v>
      </c>
      <c r="M2160" t="n">
        <v>0</v>
      </c>
    </row>
    <row r="2161" spans="1:13">
      <c r="A2161" s="1">
        <f>HYPERLINK("http://www.twitter.com/NathanBLawrence/status/985843687195402241", "985843687195402241")</f>
        <v/>
      </c>
      <c r="B2161" s="2" t="n">
        <v>43206.48177083334</v>
      </c>
      <c r="C2161" t="n">
        <v>0</v>
      </c>
      <c r="D2161" t="n">
        <v>4</v>
      </c>
      <c r="E2161" t="s">
        <v>2129</v>
      </c>
      <c r="F2161" t="s"/>
      <c r="G2161" t="s"/>
      <c r="H2161" t="s"/>
      <c r="I2161" t="s"/>
      <c r="J2161" t="n">
        <v>0</v>
      </c>
      <c r="K2161" t="n">
        <v>0</v>
      </c>
      <c r="L2161" t="n">
        <v>1</v>
      </c>
      <c r="M2161" t="n">
        <v>0</v>
      </c>
    </row>
    <row r="2162" spans="1:13">
      <c r="A2162" s="1">
        <f>HYPERLINK("http://www.twitter.com/NathanBLawrence/status/985843648561639425", "985843648561639425")</f>
        <v/>
      </c>
      <c r="B2162" s="2" t="n">
        <v>43206.48166666667</v>
      </c>
      <c r="C2162" t="n">
        <v>0</v>
      </c>
      <c r="D2162" t="n">
        <v>0</v>
      </c>
      <c r="E2162" t="s">
        <v>2130</v>
      </c>
      <c r="F2162" t="s"/>
      <c r="G2162" t="s"/>
      <c r="H2162" t="s"/>
      <c r="I2162" t="s"/>
      <c r="J2162" t="n">
        <v>0</v>
      </c>
      <c r="K2162" t="n">
        <v>0</v>
      </c>
      <c r="L2162" t="n">
        <v>1</v>
      </c>
      <c r="M2162" t="n">
        <v>0</v>
      </c>
    </row>
    <row r="2163" spans="1:13">
      <c r="A2163" s="1">
        <f>HYPERLINK("http://www.twitter.com/NathanBLawrence/status/985842816977956864", "985842816977956864")</f>
        <v/>
      </c>
      <c r="B2163" s="2" t="n">
        <v>43206.479375</v>
      </c>
      <c r="C2163" t="n">
        <v>0</v>
      </c>
      <c r="D2163" t="n">
        <v>0</v>
      </c>
      <c r="E2163" t="s">
        <v>2131</v>
      </c>
      <c r="F2163" t="s"/>
      <c r="G2163" t="s"/>
      <c r="H2163" t="s"/>
      <c r="I2163" t="s"/>
      <c r="J2163" t="n">
        <v>0</v>
      </c>
      <c r="K2163" t="n">
        <v>0</v>
      </c>
      <c r="L2163" t="n">
        <v>1</v>
      </c>
      <c r="M2163" t="n">
        <v>0</v>
      </c>
    </row>
    <row r="2164" spans="1:13">
      <c r="A2164" s="1">
        <f>HYPERLINK("http://www.twitter.com/NathanBLawrence/status/985842725688836096", "985842725688836096")</f>
        <v/>
      </c>
      <c r="B2164" s="2" t="n">
        <v>43206.47912037037</v>
      </c>
      <c r="C2164" t="n">
        <v>0</v>
      </c>
      <c r="D2164" t="n">
        <v>3</v>
      </c>
      <c r="E2164" t="s">
        <v>2132</v>
      </c>
      <c r="F2164">
        <f>HYPERLINK("http://pbs.twimg.com/media/Da5qjL3UQAAPkwl.jpg", "http://pbs.twimg.com/media/Da5qjL3UQAAPkwl.jpg")</f>
        <v/>
      </c>
      <c r="G2164" t="s"/>
      <c r="H2164" t="s"/>
      <c r="I2164" t="s"/>
      <c r="J2164" t="n">
        <v>-0.4389</v>
      </c>
      <c r="K2164" t="n">
        <v>0.162</v>
      </c>
      <c r="L2164" t="n">
        <v>0.838</v>
      </c>
      <c r="M2164" t="n">
        <v>0</v>
      </c>
    </row>
    <row r="2165" spans="1:13">
      <c r="A2165" s="1">
        <f>HYPERLINK("http://www.twitter.com/NathanBLawrence/status/985840905981775872", "985840905981775872")</f>
        <v/>
      </c>
      <c r="B2165" s="2" t="n">
        <v>43206.47409722222</v>
      </c>
      <c r="C2165" t="n">
        <v>0</v>
      </c>
      <c r="D2165" t="n">
        <v>7</v>
      </c>
      <c r="E2165" t="s">
        <v>2133</v>
      </c>
      <c r="F2165">
        <f>HYPERLINK("http://pbs.twimg.com/media/Da1b2JCVAAEoWNM.jpg", "http://pbs.twimg.com/media/Da1b2JCVAAEoWNM.jpg")</f>
        <v/>
      </c>
      <c r="G2165" t="s"/>
      <c r="H2165" t="s"/>
      <c r="I2165" t="s"/>
      <c r="J2165" t="n">
        <v>0</v>
      </c>
      <c r="K2165" t="n">
        <v>0</v>
      </c>
      <c r="L2165" t="n">
        <v>1</v>
      </c>
      <c r="M2165" t="n">
        <v>0</v>
      </c>
    </row>
    <row r="2166" spans="1:13">
      <c r="A2166" s="1">
        <f>HYPERLINK("http://www.twitter.com/NathanBLawrence/status/985840865221464064", "985840865221464064")</f>
        <v/>
      </c>
      <c r="B2166" s="2" t="n">
        <v>43206.47398148148</v>
      </c>
      <c r="C2166" t="n">
        <v>0</v>
      </c>
      <c r="D2166" t="n">
        <v>1805</v>
      </c>
      <c r="E2166" t="s">
        <v>2134</v>
      </c>
      <c r="F2166">
        <f>HYPERLINK("https://video.twimg.com/ext_tw_video/985747515470467073/pu/vid/240x180/P2Z-6j1f8OMIdN7G.mp4?tag=2", "https://video.twimg.com/ext_tw_video/985747515470467073/pu/vid/240x180/P2Z-6j1f8OMIdN7G.mp4?tag=2")</f>
        <v/>
      </c>
      <c r="G2166" t="s"/>
      <c r="H2166" t="s"/>
      <c r="I2166" t="s"/>
      <c r="J2166" t="n">
        <v>0</v>
      </c>
      <c r="K2166" t="n">
        <v>0</v>
      </c>
      <c r="L2166" t="n">
        <v>1</v>
      </c>
      <c r="M2166" t="n">
        <v>0</v>
      </c>
    </row>
    <row r="2167" spans="1:13">
      <c r="A2167" s="1">
        <f>HYPERLINK("http://www.twitter.com/NathanBLawrence/status/985840841532018688", "985840841532018688")</f>
        <v/>
      </c>
      <c r="B2167" s="2" t="n">
        <v>43206.47392361111</v>
      </c>
      <c r="C2167" t="n">
        <v>0</v>
      </c>
      <c r="D2167" t="n">
        <v>7019</v>
      </c>
      <c r="E2167" t="s">
        <v>2135</v>
      </c>
      <c r="F2167" t="s"/>
      <c r="G2167" t="s"/>
      <c r="H2167" t="s"/>
      <c r="I2167" t="s"/>
      <c r="J2167" t="n">
        <v>0</v>
      </c>
      <c r="K2167" t="n">
        <v>0</v>
      </c>
      <c r="L2167" t="n">
        <v>1</v>
      </c>
      <c r="M2167" t="n">
        <v>0</v>
      </c>
    </row>
    <row r="2168" spans="1:13">
      <c r="A2168" s="1">
        <f>HYPERLINK("http://www.twitter.com/NathanBLawrence/status/985840820073967616", "985840820073967616")</f>
        <v/>
      </c>
      <c r="B2168" s="2" t="n">
        <v>43206.47386574074</v>
      </c>
      <c r="C2168" t="n">
        <v>0</v>
      </c>
      <c r="D2168" t="n">
        <v>99</v>
      </c>
      <c r="E2168" t="s">
        <v>2136</v>
      </c>
      <c r="F2168" t="s"/>
      <c r="G2168" t="s"/>
      <c r="H2168" t="s"/>
      <c r="I2168" t="s"/>
      <c r="J2168" t="n">
        <v>-0.5622</v>
      </c>
      <c r="K2168" t="n">
        <v>0.168</v>
      </c>
      <c r="L2168" t="n">
        <v>0.832</v>
      </c>
      <c r="M2168" t="n">
        <v>0</v>
      </c>
    </row>
    <row r="2169" spans="1:13">
      <c r="A2169" s="1">
        <f>HYPERLINK("http://www.twitter.com/NathanBLawrence/status/985840804458647552", "985840804458647552")</f>
        <v/>
      </c>
      <c r="B2169" s="2" t="n">
        <v>43206.47381944444</v>
      </c>
      <c r="C2169" t="n">
        <v>0</v>
      </c>
      <c r="D2169" t="n">
        <v>2449</v>
      </c>
      <c r="E2169" t="s">
        <v>2137</v>
      </c>
      <c r="F2169" t="s"/>
      <c r="G2169" t="s"/>
      <c r="H2169" t="s"/>
      <c r="I2169" t="s"/>
      <c r="J2169" t="n">
        <v>-0.7806999999999999</v>
      </c>
      <c r="K2169" t="n">
        <v>0.315</v>
      </c>
      <c r="L2169" t="n">
        <v>0.578</v>
      </c>
      <c r="M2169" t="n">
        <v>0.107</v>
      </c>
    </row>
    <row r="2170" spans="1:13">
      <c r="A2170" s="1">
        <f>HYPERLINK("http://www.twitter.com/NathanBLawrence/status/985840358436286464", "985840358436286464")</f>
        <v/>
      </c>
      <c r="B2170" s="2" t="n">
        <v>43206.4725925926</v>
      </c>
      <c r="C2170" t="n">
        <v>0</v>
      </c>
      <c r="D2170" t="n">
        <v>14</v>
      </c>
      <c r="E2170" t="s">
        <v>2138</v>
      </c>
      <c r="F2170" t="s"/>
      <c r="G2170" t="s"/>
      <c r="H2170" t="s"/>
      <c r="I2170" t="s"/>
      <c r="J2170" t="n">
        <v>0</v>
      </c>
      <c r="K2170" t="n">
        <v>0</v>
      </c>
      <c r="L2170" t="n">
        <v>1</v>
      </c>
      <c r="M2170" t="n">
        <v>0</v>
      </c>
    </row>
    <row r="2171" spans="1:13">
      <c r="A2171" s="1">
        <f>HYPERLINK("http://www.twitter.com/NathanBLawrence/status/985840312303177733", "985840312303177733")</f>
        <v/>
      </c>
      <c r="B2171" s="2" t="n">
        <v>43206.47246527778</v>
      </c>
      <c r="C2171" t="n">
        <v>0</v>
      </c>
      <c r="D2171" t="n">
        <v>199</v>
      </c>
      <c r="E2171" t="s">
        <v>2139</v>
      </c>
      <c r="F2171">
        <f>HYPERLINK("http://pbs.twimg.com/media/Da3B-6FUMAAXf27.jpg", "http://pbs.twimg.com/media/Da3B-6FUMAAXf27.jpg")</f>
        <v/>
      </c>
      <c r="G2171" t="s"/>
      <c r="H2171" t="s"/>
      <c r="I2171" t="s"/>
      <c r="J2171" t="n">
        <v>-0.3818</v>
      </c>
      <c r="K2171" t="n">
        <v>0.208</v>
      </c>
      <c r="L2171" t="n">
        <v>0.694</v>
      </c>
      <c r="M2171" t="n">
        <v>0.097</v>
      </c>
    </row>
    <row r="2172" spans="1:13">
      <c r="A2172" s="1">
        <f>HYPERLINK("http://www.twitter.com/NathanBLawrence/status/985840111244988417", "985840111244988417")</f>
        <v/>
      </c>
      <c r="B2172" s="2" t="n">
        <v>43206.47190972222</v>
      </c>
      <c r="C2172" t="n">
        <v>0</v>
      </c>
      <c r="D2172" t="n">
        <v>21860</v>
      </c>
      <c r="E2172" t="s">
        <v>1250</v>
      </c>
      <c r="F2172">
        <f>HYPERLINK("https://video.twimg.com/ext_tw_video/827635152675233794/pu/vid/720x720/zmU6ypGSEGcVpykC.mp4", "https://video.twimg.com/ext_tw_video/827635152675233794/pu/vid/720x720/zmU6ypGSEGcVpykC.mp4")</f>
        <v/>
      </c>
      <c r="G2172" t="s"/>
      <c r="H2172" t="s"/>
      <c r="I2172" t="s"/>
      <c r="J2172" t="n">
        <v>-0.5719</v>
      </c>
      <c r="K2172" t="n">
        <v>0.179</v>
      </c>
      <c r="L2172" t="n">
        <v>0.821</v>
      </c>
      <c r="M2172" t="n">
        <v>0</v>
      </c>
    </row>
    <row r="2173" spans="1:13">
      <c r="A2173" s="1">
        <f>HYPERLINK("http://www.twitter.com/NathanBLawrence/status/985838896599662592", "985838896599662592")</f>
        <v/>
      </c>
      <c r="B2173" s="2" t="n">
        <v>43206.46855324074</v>
      </c>
      <c r="C2173" t="n">
        <v>0</v>
      </c>
      <c r="D2173" t="n">
        <v>12</v>
      </c>
      <c r="E2173" t="s">
        <v>2140</v>
      </c>
      <c r="F2173">
        <f>HYPERLINK("http://pbs.twimg.com/media/Da5hiugWkAAEOzn.jpg", "http://pbs.twimg.com/media/Da5hiugWkAAEOzn.jpg")</f>
        <v/>
      </c>
      <c r="G2173" t="s"/>
      <c r="H2173" t="s"/>
      <c r="I2173" t="s"/>
      <c r="J2173" t="n">
        <v>0.4374</v>
      </c>
      <c r="K2173" t="n">
        <v>0</v>
      </c>
      <c r="L2173" t="n">
        <v>0.868</v>
      </c>
      <c r="M2173" t="n">
        <v>0.132</v>
      </c>
    </row>
    <row r="2174" spans="1:13">
      <c r="A2174" s="1">
        <f>HYPERLINK("http://www.twitter.com/NathanBLawrence/status/985838883144437761", "985838883144437761")</f>
        <v/>
      </c>
      <c r="B2174" s="2" t="n">
        <v>43206.46851851852</v>
      </c>
      <c r="C2174" t="n">
        <v>0</v>
      </c>
      <c r="D2174" t="n">
        <v>6</v>
      </c>
      <c r="E2174" t="s">
        <v>2141</v>
      </c>
      <c r="F2174" t="s"/>
      <c r="G2174" t="s"/>
      <c r="H2174" t="s"/>
      <c r="I2174" t="s"/>
      <c r="J2174" t="n">
        <v>0.5707</v>
      </c>
      <c r="K2174" t="n">
        <v>0</v>
      </c>
      <c r="L2174" t="n">
        <v>0.822</v>
      </c>
      <c r="M2174" t="n">
        <v>0.178</v>
      </c>
    </row>
    <row r="2175" spans="1:13">
      <c r="A2175" s="1">
        <f>HYPERLINK("http://www.twitter.com/NathanBLawrence/status/985838869907148802", "985838869907148802")</f>
        <v/>
      </c>
      <c r="B2175" s="2" t="n">
        <v>43206.4684837963</v>
      </c>
      <c r="C2175" t="n">
        <v>0</v>
      </c>
      <c r="D2175" t="n">
        <v>8</v>
      </c>
      <c r="E2175" t="s">
        <v>2142</v>
      </c>
      <c r="F2175" t="s"/>
      <c r="G2175" t="s"/>
      <c r="H2175" t="s"/>
      <c r="I2175" t="s"/>
      <c r="J2175" t="n">
        <v>0</v>
      </c>
      <c r="K2175" t="n">
        <v>0</v>
      </c>
      <c r="L2175" t="n">
        <v>1</v>
      </c>
      <c r="M2175" t="n">
        <v>0</v>
      </c>
    </row>
    <row r="2176" spans="1:13">
      <c r="A2176" s="1">
        <f>HYPERLINK("http://www.twitter.com/NathanBLawrence/status/985838828261867520", "985838828261867520")</f>
        <v/>
      </c>
      <c r="B2176" s="2" t="n">
        <v>43206.46836805555</v>
      </c>
      <c r="C2176" t="n">
        <v>0</v>
      </c>
      <c r="D2176" t="n">
        <v>496</v>
      </c>
      <c r="E2176" t="s">
        <v>2143</v>
      </c>
      <c r="F2176" t="s"/>
      <c r="G2176" t="s"/>
      <c r="H2176" t="s"/>
      <c r="I2176" t="s"/>
      <c r="J2176" t="n">
        <v>0.7096</v>
      </c>
      <c r="K2176" t="n">
        <v>0</v>
      </c>
      <c r="L2176" t="n">
        <v>0.772</v>
      </c>
      <c r="M2176" t="n">
        <v>0.228</v>
      </c>
    </row>
    <row r="2177" spans="1:13">
      <c r="A2177" s="1">
        <f>HYPERLINK("http://www.twitter.com/NathanBLawrence/status/985812242166935552", "985812242166935552")</f>
        <v/>
      </c>
      <c r="B2177" s="2" t="n">
        <v>43206.395</v>
      </c>
      <c r="C2177" t="n">
        <v>0</v>
      </c>
      <c r="D2177" t="n">
        <v>8</v>
      </c>
      <c r="E2177" t="s">
        <v>2144</v>
      </c>
      <c r="F2177" t="s"/>
      <c r="G2177" t="s"/>
      <c r="H2177" t="s"/>
      <c r="I2177" t="s"/>
      <c r="J2177" t="n">
        <v>0.4404</v>
      </c>
      <c r="K2177" t="n">
        <v>0</v>
      </c>
      <c r="L2177" t="n">
        <v>0.775</v>
      </c>
      <c r="M2177" t="n">
        <v>0.225</v>
      </c>
    </row>
    <row r="2178" spans="1:13">
      <c r="A2178" s="1">
        <f>HYPERLINK("http://www.twitter.com/NathanBLawrence/status/985812209811980288", "985812209811980288")</f>
        <v/>
      </c>
      <c r="B2178" s="2" t="n">
        <v>43206.3949074074</v>
      </c>
      <c r="C2178" t="n">
        <v>0</v>
      </c>
      <c r="D2178" t="n">
        <v>6</v>
      </c>
      <c r="E2178" t="s">
        <v>2145</v>
      </c>
      <c r="F2178">
        <f>HYPERLINK("http://pbs.twimg.com/media/Da5Ej-9VQAU9E65.jpg", "http://pbs.twimg.com/media/Da5Ej-9VQAU9E65.jpg")</f>
        <v/>
      </c>
      <c r="G2178" t="s"/>
      <c r="H2178" t="s"/>
      <c r="I2178" t="s"/>
      <c r="J2178" t="n">
        <v>0</v>
      </c>
      <c r="K2178" t="n">
        <v>0</v>
      </c>
      <c r="L2178" t="n">
        <v>1</v>
      </c>
      <c r="M2178" t="n">
        <v>0</v>
      </c>
    </row>
    <row r="2179" spans="1:13">
      <c r="A2179" s="1">
        <f>HYPERLINK("http://www.twitter.com/NathanBLawrence/status/985812164291252224", "985812164291252224")</f>
        <v/>
      </c>
      <c r="B2179" s="2" t="n">
        <v>43206.39479166667</v>
      </c>
      <c r="C2179" t="n">
        <v>0</v>
      </c>
      <c r="D2179" t="n">
        <v>7</v>
      </c>
      <c r="E2179" t="s">
        <v>2146</v>
      </c>
      <c r="F2179">
        <f>HYPERLINK("http://pbs.twimg.com/media/Da5KhBOVMAARCey.jpg", "http://pbs.twimg.com/media/Da5KhBOVMAARCey.jpg")</f>
        <v/>
      </c>
      <c r="G2179" t="s"/>
      <c r="H2179" t="s"/>
      <c r="I2179" t="s"/>
      <c r="J2179" t="n">
        <v>0</v>
      </c>
      <c r="K2179" t="n">
        <v>0</v>
      </c>
      <c r="L2179" t="n">
        <v>1</v>
      </c>
      <c r="M2179" t="n">
        <v>0</v>
      </c>
    </row>
    <row r="2180" spans="1:13">
      <c r="A2180" s="1">
        <f>HYPERLINK("http://www.twitter.com/NathanBLawrence/status/985812152496902145", "985812152496902145")</f>
        <v/>
      </c>
      <c r="B2180" s="2" t="n">
        <v>43206.39475694444</v>
      </c>
      <c r="C2180" t="n">
        <v>0</v>
      </c>
      <c r="D2180" t="n">
        <v>4</v>
      </c>
      <c r="E2180" t="s">
        <v>2147</v>
      </c>
      <c r="F2180">
        <f>HYPERLINK("http://pbs.twimg.com/media/Da5K5wCUMAAZ9c5.jpg", "http://pbs.twimg.com/media/Da5K5wCUMAAZ9c5.jpg")</f>
        <v/>
      </c>
      <c r="G2180" t="s"/>
      <c r="H2180" t="s"/>
      <c r="I2180" t="s"/>
      <c r="J2180" t="n">
        <v>0</v>
      </c>
      <c r="K2180" t="n">
        <v>0</v>
      </c>
      <c r="L2180" t="n">
        <v>1</v>
      </c>
      <c r="M2180" t="n">
        <v>0</v>
      </c>
    </row>
    <row r="2181" spans="1:13">
      <c r="A2181" s="1">
        <f>HYPERLINK("http://www.twitter.com/NathanBLawrence/status/985812141503598592", "985812141503598592")</f>
        <v/>
      </c>
      <c r="B2181" s="2" t="n">
        <v>43206.39472222222</v>
      </c>
      <c r="C2181" t="n">
        <v>0</v>
      </c>
      <c r="D2181" t="n">
        <v>8</v>
      </c>
      <c r="E2181" t="s">
        <v>2148</v>
      </c>
      <c r="F2181">
        <f>HYPERLINK("http://pbs.twimg.com/media/Da5NxV4X0AI5GEM.jpg", "http://pbs.twimg.com/media/Da5NxV4X0AI5GEM.jpg")</f>
        <v/>
      </c>
      <c r="G2181" t="s"/>
      <c r="H2181" t="s"/>
      <c r="I2181" t="s"/>
      <c r="J2181" t="n">
        <v>-0.34</v>
      </c>
      <c r="K2181" t="n">
        <v>0.118</v>
      </c>
      <c r="L2181" t="n">
        <v>0.882</v>
      </c>
      <c r="M2181" t="n">
        <v>0</v>
      </c>
    </row>
    <row r="2182" spans="1:13">
      <c r="A2182" s="1">
        <f>HYPERLINK("http://www.twitter.com/NathanBLawrence/status/985812123010904064", "985812123010904064")</f>
        <v/>
      </c>
      <c r="B2182" s="2" t="n">
        <v>43206.39467592593</v>
      </c>
      <c r="C2182" t="n">
        <v>0</v>
      </c>
      <c r="D2182" t="n">
        <v>7</v>
      </c>
      <c r="E2182" t="s">
        <v>2149</v>
      </c>
      <c r="F2182" t="s"/>
      <c r="G2182" t="s"/>
      <c r="H2182" t="s"/>
      <c r="I2182" t="s"/>
      <c r="J2182" t="n">
        <v>0.4404</v>
      </c>
      <c r="K2182" t="n">
        <v>0</v>
      </c>
      <c r="L2182" t="n">
        <v>0.837</v>
      </c>
      <c r="M2182" t="n">
        <v>0.163</v>
      </c>
    </row>
    <row r="2183" spans="1:13">
      <c r="A2183" s="1">
        <f>HYPERLINK("http://www.twitter.com/NathanBLawrence/status/985812108666384384", "985812108666384384")</f>
        <v/>
      </c>
      <c r="B2183" s="2" t="n">
        <v>43206.39462962963</v>
      </c>
      <c r="C2183" t="n">
        <v>0</v>
      </c>
      <c r="D2183" t="n">
        <v>6</v>
      </c>
      <c r="E2183" t="s">
        <v>2150</v>
      </c>
      <c r="F2183" t="s"/>
      <c r="G2183" t="s"/>
      <c r="H2183" t="s"/>
      <c r="I2183" t="s"/>
      <c r="J2183" t="n">
        <v>0.128</v>
      </c>
      <c r="K2183" t="n">
        <v>0.092</v>
      </c>
      <c r="L2183" t="n">
        <v>0.795</v>
      </c>
      <c r="M2183" t="n">
        <v>0.113</v>
      </c>
    </row>
    <row r="2184" spans="1:13">
      <c r="A2184" s="1">
        <f>HYPERLINK("http://www.twitter.com/NathanBLawrence/status/985812098772094976", "985812098772094976")</f>
        <v/>
      </c>
      <c r="B2184" s="2" t="n">
        <v>43206.39460648148</v>
      </c>
      <c r="C2184" t="n">
        <v>0</v>
      </c>
      <c r="D2184" t="n">
        <v>5</v>
      </c>
      <c r="E2184" t="s">
        <v>2151</v>
      </c>
      <c r="F2184" t="s"/>
      <c r="G2184" t="s"/>
      <c r="H2184" t="s"/>
      <c r="I2184" t="s"/>
      <c r="J2184" t="n">
        <v>-0.4019</v>
      </c>
      <c r="K2184" t="n">
        <v>0.283</v>
      </c>
      <c r="L2184" t="n">
        <v>0.53</v>
      </c>
      <c r="M2184" t="n">
        <v>0.187</v>
      </c>
    </row>
    <row r="2185" spans="1:13">
      <c r="A2185" s="1">
        <f>HYPERLINK("http://www.twitter.com/NathanBLawrence/status/985812081147596805", "985812081147596805")</f>
        <v/>
      </c>
      <c r="B2185" s="2" t="n">
        <v>43206.39456018519</v>
      </c>
      <c r="C2185" t="n">
        <v>0</v>
      </c>
      <c r="D2185" t="n">
        <v>7</v>
      </c>
      <c r="E2185" t="s">
        <v>2152</v>
      </c>
      <c r="F2185" t="s"/>
      <c r="G2185" t="s"/>
      <c r="H2185" t="s"/>
      <c r="I2185" t="s"/>
      <c r="J2185" t="n">
        <v>-0.4939</v>
      </c>
      <c r="K2185" t="n">
        <v>0.189</v>
      </c>
      <c r="L2185" t="n">
        <v>0.8110000000000001</v>
      </c>
      <c r="M2185" t="n">
        <v>0</v>
      </c>
    </row>
    <row r="2186" spans="1:13">
      <c r="A2186" s="1">
        <f>HYPERLINK("http://www.twitter.com/NathanBLawrence/status/985812067654488064", "985812067654488064")</f>
        <v/>
      </c>
      <c r="B2186" s="2" t="n">
        <v>43206.39452546297</v>
      </c>
      <c r="C2186" t="n">
        <v>0</v>
      </c>
      <c r="D2186" t="n">
        <v>6</v>
      </c>
      <c r="E2186" t="s">
        <v>2153</v>
      </c>
      <c r="F2186" t="s"/>
      <c r="G2186" t="s"/>
      <c r="H2186" t="s"/>
      <c r="I2186" t="s"/>
      <c r="J2186" t="n">
        <v>-0.6739000000000001</v>
      </c>
      <c r="K2186" t="n">
        <v>0.193</v>
      </c>
      <c r="L2186" t="n">
        <v>0.8070000000000001</v>
      </c>
      <c r="M2186" t="n">
        <v>0</v>
      </c>
    </row>
    <row r="2187" spans="1:13">
      <c r="A2187" s="1">
        <f>HYPERLINK("http://www.twitter.com/NathanBLawrence/status/985812040215355392", "985812040215355392")</f>
        <v/>
      </c>
      <c r="B2187" s="2" t="n">
        <v>43206.39444444444</v>
      </c>
      <c r="C2187" t="n">
        <v>0</v>
      </c>
      <c r="D2187" t="n">
        <v>10</v>
      </c>
      <c r="E2187" t="s">
        <v>2154</v>
      </c>
      <c r="F2187">
        <f>HYPERLINK("http://pbs.twimg.com/media/Da1GMmXWsAA7yDI.jpg", "http://pbs.twimg.com/media/Da1GMmXWsAA7yDI.jpg")</f>
        <v/>
      </c>
      <c r="G2187" t="s"/>
      <c r="H2187" t="s"/>
      <c r="I2187" t="s"/>
      <c r="J2187" t="n">
        <v>0</v>
      </c>
      <c r="K2187" t="n">
        <v>0</v>
      </c>
      <c r="L2187" t="n">
        <v>1</v>
      </c>
      <c r="M2187" t="n">
        <v>0</v>
      </c>
    </row>
    <row r="2188" spans="1:13">
      <c r="A2188" s="1">
        <f>HYPERLINK("http://www.twitter.com/NathanBLawrence/status/985812025535279104", "985812025535279104")</f>
        <v/>
      </c>
      <c r="B2188" s="2" t="n">
        <v>43206.39440972222</v>
      </c>
      <c r="C2188" t="n">
        <v>0</v>
      </c>
      <c r="D2188" t="n">
        <v>6</v>
      </c>
      <c r="E2188" t="s">
        <v>2155</v>
      </c>
      <c r="F2188" t="s"/>
      <c r="G2188" t="s"/>
      <c r="H2188" t="s"/>
      <c r="I2188" t="s"/>
      <c r="J2188" t="n">
        <v>0</v>
      </c>
      <c r="K2188" t="n">
        <v>0</v>
      </c>
      <c r="L2188" t="n">
        <v>1</v>
      </c>
      <c r="M2188" t="n">
        <v>0</v>
      </c>
    </row>
    <row r="2189" spans="1:13">
      <c r="A2189" s="1">
        <f>HYPERLINK("http://www.twitter.com/NathanBLawrence/status/985812008846221312", "985812008846221312")</f>
        <v/>
      </c>
      <c r="B2189" s="2" t="n">
        <v>43206.39436342593</v>
      </c>
      <c r="C2189" t="n">
        <v>0</v>
      </c>
      <c r="D2189" t="n">
        <v>6</v>
      </c>
      <c r="E2189" t="s">
        <v>2156</v>
      </c>
      <c r="F2189" t="s"/>
      <c r="G2189" t="s"/>
      <c r="H2189" t="s"/>
      <c r="I2189" t="s"/>
      <c r="J2189" t="n">
        <v>0</v>
      </c>
      <c r="K2189" t="n">
        <v>0</v>
      </c>
      <c r="L2189" t="n">
        <v>1</v>
      </c>
      <c r="M2189" t="n">
        <v>0</v>
      </c>
    </row>
    <row r="2190" spans="1:13">
      <c r="A2190" s="1">
        <f>HYPERLINK("http://www.twitter.com/NathanBLawrence/status/985811979817357312", "985811979817357312")</f>
        <v/>
      </c>
      <c r="B2190" s="2" t="n">
        <v>43206.3942824074</v>
      </c>
      <c r="C2190" t="n">
        <v>0</v>
      </c>
      <c r="D2190" t="n">
        <v>6</v>
      </c>
      <c r="E2190" t="s">
        <v>2157</v>
      </c>
      <c r="F2190" t="s"/>
      <c r="G2190" t="s"/>
      <c r="H2190" t="s"/>
      <c r="I2190" t="s"/>
      <c r="J2190" t="n">
        <v>0.4404</v>
      </c>
      <c r="K2190" t="n">
        <v>0</v>
      </c>
      <c r="L2190" t="n">
        <v>0.838</v>
      </c>
      <c r="M2190" t="n">
        <v>0.162</v>
      </c>
    </row>
    <row r="2191" spans="1:13">
      <c r="A2191" s="1">
        <f>HYPERLINK("http://www.twitter.com/NathanBLawrence/status/985811966064250881", "985811966064250881")</f>
        <v/>
      </c>
      <c r="B2191" s="2" t="n">
        <v>43206.39423611111</v>
      </c>
      <c r="C2191" t="n">
        <v>0</v>
      </c>
      <c r="D2191" t="n">
        <v>6</v>
      </c>
      <c r="E2191" t="s">
        <v>2158</v>
      </c>
      <c r="F2191" t="s"/>
      <c r="G2191" t="s"/>
      <c r="H2191" t="s"/>
      <c r="I2191" t="s"/>
      <c r="J2191" t="n">
        <v>0.0258</v>
      </c>
      <c r="K2191" t="n">
        <v>0</v>
      </c>
      <c r="L2191" t="n">
        <v>0.922</v>
      </c>
      <c r="M2191" t="n">
        <v>0.078</v>
      </c>
    </row>
    <row r="2192" spans="1:13">
      <c r="A2192" s="1">
        <f>HYPERLINK("http://www.twitter.com/NathanBLawrence/status/985811957923090433", "985811957923090433")</f>
        <v/>
      </c>
      <c r="B2192" s="2" t="n">
        <v>43206.39421296296</v>
      </c>
      <c r="C2192" t="n">
        <v>0</v>
      </c>
      <c r="D2192" t="n">
        <v>5</v>
      </c>
      <c r="E2192" t="s">
        <v>2159</v>
      </c>
      <c r="F2192" t="s"/>
      <c r="G2192" t="s"/>
      <c r="H2192" t="s"/>
      <c r="I2192" t="s"/>
      <c r="J2192" t="n">
        <v>-0.4404</v>
      </c>
      <c r="K2192" t="n">
        <v>0.146</v>
      </c>
      <c r="L2192" t="n">
        <v>0.854</v>
      </c>
      <c r="M2192" t="n">
        <v>0</v>
      </c>
    </row>
    <row r="2193" spans="1:13">
      <c r="A2193" s="1">
        <f>HYPERLINK("http://www.twitter.com/NathanBLawrence/status/985811942274224130", "985811942274224130")</f>
        <v/>
      </c>
      <c r="B2193" s="2" t="n">
        <v>43206.39417824074</v>
      </c>
      <c r="C2193" t="n">
        <v>0</v>
      </c>
      <c r="D2193" t="n">
        <v>9</v>
      </c>
      <c r="E2193" t="s">
        <v>2160</v>
      </c>
      <c r="F2193" t="s"/>
      <c r="G2193" t="s"/>
      <c r="H2193" t="s"/>
      <c r="I2193" t="s"/>
      <c r="J2193" t="n">
        <v>-0.5562</v>
      </c>
      <c r="K2193" t="n">
        <v>0.152</v>
      </c>
      <c r="L2193" t="n">
        <v>0.848</v>
      </c>
      <c r="M2193" t="n">
        <v>0</v>
      </c>
    </row>
    <row r="2194" spans="1:13">
      <c r="A2194" s="1">
        <f>HYPERLINK("http://www.twitter.com/NathanBLawrence/status/985811919171915776", "985811919171915776")</f>
        <v/>
      </c>
      <c r="B2194" s="2" t="n">
        <v>43206.3941087963</v>
      </c>
      <c r="C2194" t="n">
        <v>0</v>
      </c>
      <c r="D2194" t="n">
        <v>10</v>
      </c>
      <c r="E2194" t="s">
        <v>2161</v>
      </c>
      <c r="F2194" t="s"/>
      <c r="G2194" t="s"/>
      <c r="H2194" t="s"/>
      <c r="I2194" t="s"/>
      <c r="J2194" t="n">
        <v>0.7906</v>
      </c>
      <c r="K2194" t="n">
        <v>0.117</v>
      </c>
      <c r="L2194" t="n">
        <v>0.552</v>
      </c>
      <c r="M2194" t="n">
        <v>0.331</v>
      </c>
    </row>
    <row r="2195" spans="1:13">
      <c r="A2195" s="1">
        <f>HYPERLINK("http://www.twitter.com/NathanBLawrence/status/985811908686213125", "985811908686213125")</f>
        <v/>
      </c>
      <c r="B2195" s="2" t="n">
        <v>43206.39408564815</v>
      </c>
      <c r="C2195" t="n">
        <v>0</v>
      </c>
      <c r="D2195" t="n">
        <v>7</v>
      </c>
      <c r="E2195" t="s">
        <v>2162</v>
      </c>
      <c r="F2195">
        <f>HYPERLINK("http://pbs.twimg.com/media/Da2zKOZVwAA5cTB.jpg", "http://pbs.twimg.com/media/Da2zKOZVwAA5cTB.jpg")</f>
        <v/>
      </c>
      <c r="G2195" t="s"/>
      <c r="H2195" t="s"/>
      <c r="I2195" t="s"/>
      <c r="J2195" t="n">
        <v>0</v>
      </c>
      <c r="K2195" t="n">
        <v>0</v>
      </c>
      <c r="L2195" t="n">
        <v>1</v>
      </c>
      <c r="M2195" t="n">
        <v>0</v>
      </c>
    </row>
    <row r="2196" spans="1:13">
      <c r="A2196" s="1">
        <f>HYPERLINK("http://www.twitter.com/NathanBLawrence/status/985811894849167360", "985811894849167360")</f>
        <v/>
      </c>
      <c r="B2196" s="2" t="n">
        <v>43206.39403935185</v>
      </c>
      <c r="C2196" t="n">
        <v>0</v>
      </c>
      <c r="D2196" t="n">
        <v>12</v>
      </c>
      <c r="E2196" t="s">
        <v>2163</v>
      </c>
      <c r="F2196">
        <f>HYPERLINK("http://pbs.twimg.com/media/Da29rXTUMAAdauk.jpg", "http://pbs.twimg.com/media/Da29rXTUMAAdauk.jpg")</f>
        <v/>
      </c>
      <c r="G2196" t="s"/>
      <c r="H2196" t="s"/>
      <c r="I2196" t="s"/>
      <c r="J2196" t="n">
        <v>-0.5610000000000001</v>
      </c>
      <c r="K2196" t="n">
        <v>0.16</v>
      </c>
      <c r="L2196" t="n">
        <v>0.84</v>
      </c>
      <c r="M2196" t="n">
        <v>0</v>
      </c>
    </row>
    <row r="2197" spans="1:13">
      <c r="A2197" s="1">
        <f>HYPERLINK("http://www.twitter.com/NathanBLawrence/status/985811883847487488", "985811883847487488")</f>
        <v/>
      </c>
      <c r="B2197" s="2" t="n">
        <v>43206.3940162037</v>
      </c>
      <c r="C2197" t="n">
        <v>0</v>
      </c>
      <c r="D2197" t="n">
        <v>9</v>
      </c>
      <c r="E2197" t="s">
        <v>2164</v>
      </c>
      <c r="F2197">
        <f>HYPERLINK("http://pbs.twimg.com/media/Da2-alaV4AA1S34.jpg", "http://pbs.twimg.com/media/Da2-alaV4AA1S34.jpg")</f>
        <v/>
      </c>
      <c r="G2197" t="s"/>
      <c r="H2197" t="s"/>
      <c r="I2197" t="s"/>
      <c r="J2197" t="n">
        <v>-0.6808</v>
      </c>
      <c r="K2197" t="n">
        <v>0.203</v>
      </c>
      <c r="L2197" t="n">
        <v>0.797</v>
      </c>
      <c r="M2197" t="n">
        <v>0</v>
      </c>
    </row>
    <row r="2198" spans="1:13">
      <c r="A2198" s="1">
        <f>HYPERLINK("http://www.twitter.com/NathanBLawrence/status/985811873202425856", "985811873202425856")</f>
        <v/>
      </c>
      <c r="B2198" s="2" t="n">
        <v>43206.39398148148</v>
      </c>
      <c r="C2198" t="n">
        <v>0</v>
      </c>
      <c r="D2198" t="n">
        <v>7</v>
      </c>
      <c r="E2198" t="s">
        <v>2165</v>
      </c>
      <c r="F2198" t="s"/>
      <c r="G2198" t="s"/>
      <c r="H2198" t="s"/>
      <c r="I2198" t="s"/>
      <c r="J2198" t="n">
        <v>-0.4767</v>
      </c>
      <c r="K2198" t="n">
        <v>0.279</v>
      </c>
      <c r="L2198" t="n">
        <v>0.721</v>
      </c>
      <c r="M2198" t="n">
        <v>0</v>
      </c>
    </row>
    <row r="2199" spans="1:13">
      <c r="A2199" s="1">
        <f>HYPERLINK("http://www.twitter.com/NathanBLawrence/status/985811857440165890", "985811857440165890")</f>
        <v/>
      </c>
      <c r="B2199" s="2" t="n">
        <v>43206.39393518519</v>
      </c>
      <c r="C2199" t="n">
        <v>0</v>
      </c>
      <c r="D2199" t="n">
        <v>9</v>
      </c>
      <c r="E2199" t="s">
        <v>2166</v>
      </c>
      <c r="F2199" t="s"/>
      <c r="G2199" t="s"/>
      <c r="H2199" t="s"/>
      <c r="I2199" t="s"/>
      <c r="J2199" t="n">
        <v>-0.2677</v>
      </c>
      <c r="K2199" t="n">
        <v>0.161</v>
      </c>
      <c r="L2199" t="n">
        <v>0.724</v>
      </c>
      <c r="M2199" t="n">
        <v>0.115</v>
      </c>
    </row>
    <row r="2200" spans="1:13">
      <c r="A2200" s="1">
        <f>HYPERLINK("http://www.twitter.com/NathanBLawrence/status/985811821834711041", "985811821834711041")</f>
        <v/>
      </c>
      <c r="B2200" s="2" t="n">
        <v>43206.3938425926</v>
      </c>
      <c r="C2200" t="n">
        <v>0</v>
      </c>
      <c r="D2200" t="n">
        <v>11</v>
      </c>
      <c r="E2200" t="s">
        <v>2167</v>
      </c>
      <c r="F2200">
        <f>HYPERLINK("http://pbs.twimg.com/media/Da37-LVXcAAiRAD.jpg", "http://pbs.twimg.com/media/Da37-LVXcAAiRAD.jpg")</f>
        <v/>
      </c>
      <c r="G2200" t="s"/>
      <c r="H2200" t="s"/>
      <c r="I2200" t="s"/>
      <c r="J2200" t="n">
        <v>-0.4588</v>
      </c>
      <c r="K2200" t="n">
        <v>0.143</v>
      </c>
      <c r="L2200" t="n">
        <v>0.857</v>
      </c>
      <c r="M2200" t="n">
        <v>0</v>
      </c>
    </row>
    <row r="2201" spans="1:13">
      <c r="A2201" s="1">
        <f>HYPERLINK("http://www.twitter.com/NathanBLawrence/status/985811806152208384", "985811806152208384")</f>
        <v/>
      </c>
      <c r="B2201" s="2" t="n">
        <v>43206.3937962963</v>
      </c>
      <c r="C2201" t="n">
        <v>0</v>
      </c>
      <c r="D2201" t="n">
        <v>9</v>
      </c>
      <c r="E2201" t="s">
        <v>2168</v>
      </c>
      <c r="F2201" t="s"/>
      <c r="G2201" t="s"/>
      <c r="H2201" t="s"/>
      <c r="I2201" t="s"/>
      <c r="J2201" t="n">
        <v>-0.743</v>
      </c>
      <c r="K2201" t="n">
        <v>0.221</v>
      </c>
      <c r="L2201" t="n">
        <v>0.736</v>
      </c>
      <c r="M2201" t="n">
        <v>0.043</v>
      </c>
    </row>
    <row r="2202" spans="1:13">
      <c r="A2202" s="1">
        <f>HYPERLINK("http://www.twitter.com/NathanBLawrence/status/985811792290045953", "985811792290045953")</f>
        <v/>
      </c>
      <c r="B2202" s="2" t="n">
        <v>43206.39376157407</v>
      </c>
      <c r="C2202" t="n">
        <v>0</v>
      </c>
      <c r="D2202" t="n">
        <v>10</v>
      </c>
      <c r="E2202" t="s">
        <v>2169</v>
      </c>
      <c r="F2202" t="s"/>
      <c r="G2202" t="s"/>
      <c r="H2202" t="s"/>
      <c r="I2202" t="s"/>
      <c r="J2202" t="n">
        <v>0.6369</v>
      </c>
      <c r="K2202" t="n">
        <v>0</v>
      </c>
      <c r="L2202" t="n">
        <v>0.828</v>
      </c>
      <c r="M2202" t="n">
        <v>0.172</v>
      </c>
    </row>
    <row r="2203" spans="1:13">
      <c r="A2203" s="1">
        <f>HYPERLINK("http://www.twitter.com/NathanBLawrence/status/985811786015428608", "985811786015428608")</f>
        <v/>
      </c>
      <c r="B2203" s="2" t="n">
        <v>43206.39373842593</v>
      </c>
      <c r="C2203" t="n">
        <v>0</v>
      </c>
      <c r="D2203" t="n">
        <v>9</v>
      </c>
      <c r="E2203" t="s">
        <v>2170</v>
      </c>
      <c r="F2203">
        <f>HYPERLINK("http://pbs.twimg.com/media/Da2q6RFU8AECE8j.jpg", "http://pbs.twimg.com/media/Da2q6RFU8AECE8j.jpg")</f>
        <v/>
      </c>
      <c r="G2203" t="s"/>
      <c r="H2203" t="s"/>
      <c r="I2203" t="s"/>
      <c r="J2203" t="n">
        <v>-0.4404</v>
      </c>
      <c r="K2203" t="n">
        <v>0.146</v>
      </c>
      <c r="L2203" t="n">
        <v>0.854</v>
      </c>
      <c r="M2203" t="n">
        <v>0</v>
      </c>
    </row>
    <row r="2204" spans="1:13">
      <c r="A2204" s="1">
        <f>HYPERLINK("http://www.twitter.com/NathanBLawrence/status/985811770764939264", "985811770764939264")</f>
        <v/>
      </c>
      <c r="B2204" s="2" t="n">
        <v>43206.3937037037</v>
      </c>
      <c r="C2204" t="n">
        <v>0</v>
      </c>
      <c r="D2204" t="n">
        <v>11</v>
      </c>
      <c r="E2204" t="s">
        <v>2171</v>
      </c>
      <c r="F2204">
        <f>HYPERLINK("http://pbs.twimg.com/media/Da1Gda4V4AAeXB5.jpg", "http://pbs.twimg.com/media/Da1Gda4V4AAeXB5.jpg")</f>
        <v/>
      </c>
      <c r="G2204" t="s"/>
      <c r="H2204" t="s"/>
      <c r="I2204" t="s"/>
      <c r="J2204" t="n">
        <v>-0.5707</v>
      </c>
      <c r="K2204" t="n">
        <v>0.27</v>
      </c>
      <c r="L2204" t="n">
        <v>0.73</v>
      </c>
      <c r="M2204" t="n">
        <v>0</v>
      </c>
    </row>
    <row r="2205" spans="1:13">
      <c r="A2205" s="1">
        <f>HYPERLINK("http://www.twitter.com/NathanBLawrence/status/985811750447697920", "985811750447697920")</f>
        <v/>
      </c>
      <c r="B2205" s="2" t="n">
        <v>43206.39364583333</v>
      </c>
      <c r="C2205" t="n">
        <v>0</v>
      </c>
      <c r="D2205" t="n">
        <v>9</v>
      </c>
      <c r="E2205" t="s">
        <v>2172</v>
      </c>
      <c r="F2205" t="s"/>
      <c r="G2205" t="s"/>
      <c r="H2205" t="s"/>
      <c r="I2205" t="s"/>
      <c r="J2205" t="n">
        <v>0.2263</v>
      </c>
      <c r="K2205" t="n">
        <v>0.154</v>
      </c>
      <c r="L2205" t="n">
        <v>0.696</v>
      </c>
      <c r="M2205" t="n">
        <v>0.15</v>
      </c>
    </row>
    <row r="2206" spans="1:13">
      <c r="A2206" s="1">
        <f>HYPERLINK("http://www.twitter.com/NathanBLawrence/status/985811734500868097", "985811734500868097")</f>
        <v/>
      </c>
      <c r="B2206" s="2" t="n">
        <v>43206.39359953703</v>
      </c>
      <c r="C2206" t="n">
        <v>0</v>
      </c>
      <c r="D2206" t="n">
        <v>8</v>
      </c>
      <c r="E2206" t="s">
        <v>2173</v>
      </c>
      <c r="F2206" t="s"/>
      <c r="G2206" t="s"/>
      <c r="H2206" t="s"/>
      <c r="I2206" t="s"/>
      <c r="J2206" t="n">
        <v>0.4939</v>
      </c>
      <c r="K2206" t="n">
        <v>0</v>
      </c>
      <c r="L2206" t="n">
        <v>0.856</v>
      </c>
      <c r="M2206" t="n">
        <v>0.144</v>
      </c>
    </row>
    <row r="2207" spans="1:13">
      <c r="A2207" s="1">
        <f>HYPERLINK("http://www.twitter.com/NathanBLawrence/status/985811714292797441", "985811714292797441")</f>
        <v/>
      </c>
      <c r="B2207" s="2" t="n">
        <v>43206.39354166666</v>
      </c>
      <c r="C2207" t="n">
        <v>0</v>
      </c>
      <c r="D2207" t="n">
        <v>6</v>
      </c>
      <c r="E2207" t="s">
        <v>2174</v>
      </c>
      <c r="F2207" t="s"/>
      <c r="G2207" t="s"/>
      <c r="H2207" t="s"/>
      <c r="I2207" t="s"/>
      <c r="J2207" t="n">
        <v>0.5106000000000001</v>
      </c>
      <c r="K2207" t="n">
        <v>0</v>
      </c>
      <c r="L2207" t="n">
        <v>0.777</v>
      </c>
      <c r="M2207" t="n">
        <v>0.223</v>
      </c>
    </row>
    <row r="2208" spans="1:13">
      <c r="A2208" s="1">
        <f>HYPERLINK("http://www.twitter.com/NathanBLawrence/status/985811699612684288", "985811699612684288")</f>
        <v/>
      </c>
      <c r="B2208" s="2" t="n">
        <v>43206.39350694444</v>
      </c>
      <c r="C2208" t="n">
        <v>0</v>
      </c>
      <c r="D2208" t="n">
        <v>35</v>
      </c>
      <c r="E2208" t="s">
        <v>2175</v>
      </c>
      <c r="F2208">
        <f>HYPERLINK("http://pbs.twimg.com/media/DayuTdGVwAEuMrF.jpg", "http://pbs.twimg.com/media/DayuTdGVwAEuMrF.jpg")</f>
        <v/>
      </c>
      <c r="G2208" t="s"/>
      <c r="H2208" t="s"/>
      <c r="I2208" t="s"/>
      <c r="J2208" t="n">
        <v>-0.9006</v>
      </c>
      <c r="K2208" t="n">
        <v>0.393</v>
      </c>
      <c r="L2208" t="n">
        <v>0.607</v>
      </c>
      <c r="M2208" t="n">
        <v>0</v>
      </c>
    </row>
    <row r="2209" spans="1:13">
      <c r="A2209" s="1">
        <f>HYPERLINK("http://www.twitter.com/NathanBLawrence/status/985811666343546881", "985811666343546881")</f>
        <v/>
      </c>
      <c r="B2209" s="2" t="n">
        <v>43206.39341435185</v>
      </c>
      <c r="C2209" t="n">
        <v>0</v>
      </c>
      <c r="D2209" t="n">
        <v>9</v>
      </c>
      <c r="E2209" t="s">
        <v>2176</v>
      </c>
      <c r="F2209">
        <f>HYPERLINK("http://pbs.twimg.com/media/Dayu35QUQAA1F3w.jpg", "http://pbs.twimg.com/media/Dayu35QUQAA1F3w.jpg")</f>
        <v/>
      </c>
      <c r="G2209" t="s"/>
      <c r="H2209" t="s"/>
      <c r="I2209" t="s"/>
      <c r="J2209" t="n">
        <v>0</v>
      </c>
      <c r="K2209" t="n">
        <v>0</v>
      </c>
      <c r="L2209" t="n">
        <v>1</v>
      </c>
      <c r="M2209" t="n">
        <v>0</v>
      </c>
    </row>
    <row r="2210" spans="1:13">
      <c r="A2210" s="1">
        <f>HYPERLINK("http://www.twitter.com/NathanBLawrence/status/985811502727860224", "985811502727860224")</f>
        <v/>
      </c>
      <c r="B2210" s="2" t="n">
        <v>43206.39296296296</v>
      </c>
      <c r="C2210" t="n">
        <v>0</v>
      </c>
      <c r="D2210" t="n">
        <v>8</v>
      </c>
      <c r="E2210" t="s">
        <v>2177</v>
      </c>
      <c r="F2210" t="s"/>
      <c r="G2210" t="s"/>
      <c r="H2210" t="s"/>
      <c r="I2210" t="s"/>
      <c r="J2210" t="n">
        <v>0</v>
      </c>
      <c r="K2210" t="n">
        <v>0</v>
      </c>
      <c r="L2210" t="n">
        <v>1</v>
      </c>
      <c r="M2210" t="n">
        <v>0</v>
      </c>
    </row>
    <row r="2211" spans="1:13">
      <c r="A2211" s="1">
        <f>HYPERLINK("http://www.twitter.com/NathanBLawrence/status/985811480837873665", "985811480837873665")</f>
        <v/>
      </c>
      <c r="B2211" s="2" t="n">
        <v>43206.39290509259</v>
      </c>
      <c r="C2211" t="n">
        <v>0</v>
      </c>
      <c r="D2211" t="n">
        <v>13</v>
      </c>
      <c r="E2211" t="s">
        <v>2178</v>
      </c>
      <c r="F2211">
        <f>HYPERLINK("http://pbs.twimg.com/media/Da3t6KMV4AA6wga.jpg", "http://pbs.twimg.com/media/Da3t6KMV4AA6wga.jpg")</f>
        <v/>
      </c>
      <c r="G2211" t="s"/>
      <c r="H2211" t="s"/>
      <c r="I2211" t="s"/>
      <c r="J2211" t="n">
        <v>-0.5719</v>
      </c>
      <c r="K2211" t="n">
        <v>0.171</v>
      </c>
      <c r="L2211" t="n">
        <v>0.829</v>
      </c>
      <c r="M2211" t="n">
        <v>0</v>
      </c>
    </row>
    <row r="2212" spans="1:13">
      <c r="A2212" s="1">
        <f>HYPERLINK("http://www.twitter.com/NathanBLawrence/status/985811457098027008", "985811457098027008")</f>
        <v/>
      </c>
      <c r="B2212" s="2" t="n">
        <v>43206.39283564815</v>
      </c>
      <c r="C2212" t="n">
        <v>0</v>
      </c>
      <c r="D2212" t="n">
        <v>11</v>
      </c>
      <c r="E2212" t="s">
        <v>2179</v>
      </c>
      <c r="F2212" t="s"/>
      <c r="G2212" t="s"/>
      <c r="H2212" t="s"/>
      <c r="I2212" t="s"/>
      <c r="J2212" t="n">
        <v>0</v>
      </c>
      <c r="K2212" t="n">
        <v>0</v>
      </c>
      <c r="L2212" t="n">
        <v>1</v>
      </c>
      <c r="M2212" t="n">
        <v>0</v>
      </c>
    </row>
    <row r="2213" spans="1:13">
      <c r="A2213" s="1">
        <f>HYPERLINK("http://www.twitter.com/NathanBLawrence/status/985811448864624640", "985811448864624640")</f>
        <v/>
      </c>
      <c r="B2213" s="2" t="n">
        <v>43206.3928125</v>
      </c>
      <c r="C2213" t="n">
        <v>0</v>
      </c>
      <c r="D2213" t="n">
        <v>13</v>
      </c>
      <c r="E2213" t="s">
        <v>2180</v>
      </c>
      <c r="F2213" t="s"/>
      <c r="G2213" t="s"/>
      <c r="H2213" t="s"/>
      <c r="I2213" t="s"/>
      <c r="J2213" t="n">
        <v>0.5106000000000001</v>
      </c>
      <c r="K2213" t="n">
        <v>0.05</v>
      </c>
      <c r="L2213" t="n">
        <v>0.772</v>
      </c>
      <c r="M2213" t="n">
        <v>0.178</v>
      </c>
    </row>
    <row r="2214" spans="1:13">
      <c r="A2214" s="1">
        <f>HYPERLINK("http://www.twitter.com/NathanBLawrence/status/985811418246275073", "985811418246275073")</f>
        <v/>
      </c>
      <c r="B2214" s="2" t="n">
        <v>43206.39273148148</v>
      </c>
      <c r="C2214" t="n">
        <v>0</v>
      </c>
      <c r="D2214" t="n">
        <v>14</v>
      </c>
      <c r="E2214" t="s">
        <v>2181</v>
      </c>
      <c r="F2214">
        <f>HYPERLINK("http://pbs.twimg.com/media/Da49JsNUMAAYf8W.jpg", "http://pbs.twimg.com/media/Da49JsNUMAAYf8W.jpg")</f>
        <v/>
      </c>
      <c r="G2214" t="s"/>
      <c r="H2214" t="s"/>
      <c r="I2214" t="s"/>
      <c r="J2214" t="n">
        <v>0.4391</v>
      </c>
      <c r="K2214" t="n">
        <v>0</v>
      </c>
      <c r="L2214" t="n">
        <v>0.892</v>
      </c>
      <c r="M2214" t="n">
        <v>0.108</v>
      </c>
    </row>
    <row r="2215" spans="1:13">
      <c r="A2215" s="1">
        <f>HYPERLINK("http://www.twitter.com/NathanBLawrence/status/985811408045658112", "985811408045658112")</f>
        <v/>
      </c>
      <c r="B2215" s="2" t="n">
        <v>43206.39269675926</v>
      </c>
      <c r="C2215" t="n">
        <v>0</v>
      </c>
      <c r="D2215" t="n">
        <v>8</v>
      </c>
      <c r="E2215" t="s">
        <v>2182</v>
      </c>
      <c r="F2215" t="s"/>
      <c r="G2215" t="s"/>
      <c r="H2215" t="s"/>
      <c r="I2215" t="s"/>
      <c r="J2215" t="n">
        <v>0</v>
      </c>
      <c r="K2215" t="n">
        <v>0</v>
      </c>
      <c r="L2215" t="n">
        <v>1</v>
      </c>
      <c r="M2215" t="n">
        <v>0</v>
      </c>
    </row>
    <row r="2216" spans="1:13">
      <c r="A2216" s="1">
        <f>HYPERLINK("http://www.twitter.com/NathanBLawrence/status/985811380338085888", "985811380338085888")</f>
        <v/>
      </c>
      <c r="B2216" s="2" t="n">
        <v>43206.39262731482</v>
      </c>
      <c r="C2216" t="n">
        <v>0</v>
      </c>
      <c r="D2216" t="n">
        <v>14</v>
      </c>
      <c r="E2216" t="s">
        <v>2183</v>
      </c>
      <c r="F2216">
        <f>HYPERLINK("http://pbs.twimg.com/media/Da2L2LhW0AApLY6.jpg", "http://pbs.twimg.com/media/Da2L2LhW0AApLY6.jpg")</f>
        <v/>
      </c>
      <c r="G2216">
        <f>HYPERLINK("http://pbs.twimg.com/media/Da2L2rmXcAYiUQy.jpg", "http://pbs.twimg.com/media/Da2L2rmXcAYiUQy.jpg")</f>
        <v/>
      </c>
      <c r="H2216" t="s"/>
      <c r="I2216" t="s"/>
      <c r="J2216" t="n">
        <v>0</v>
      </c>
      <c r="K2216" t="n">
        <v>0</v>
      </c>
      <c r="L2216" t="n">
        <v>1</v>
      </c>
      <c r="M2216" t="n">
        <v>0</v>
      </c>
    </row>
    <row r="2217" spans="1:13">
      <c r="A2217" s="1">
        <f>HYPERLINK("http://www.twitter.com/NathanBLawrence/status/985811369437073408", "985811369437073408")</f>
        <v/>
      </c>
      <c r="B2217" s="2" t="n">
        <v>43206.39259259259</v>
      </c>
      <c r="C2217" t="n">
        <v>0</v>
      </c>
      <c r="D2217" t="n">
        <v>14</v>
      </c>
      <c r="E2217" t="s">
        <v>2184</v>
      </c>
      <c r="F2217" t="s"/>
      <c r="G2217" t="s"/>
      <c r="H2217" t="s"/>
      <c r="I2217" t="s"/>
      <c r="J2217" t="n">
        <v>-0.0382</v>
      </c>
      <c r="K2217" t="n">
        <v>0.089</v>
      </c>
      <c r="L2217" t="n">
        <v>0.828</v>
      </c>
      <c r="M2217" t="n">
        <v>0.083</v>
      </c>
    </row>
    <row r="2218" spans="1:13">
      <c r="A2218" s="1">
        <f>HYPERLINK("http://www.twitter.com/NathanBLawrence/status/985811337296121856", "985811337296121856")</f>
        <v/>
      </c>
      <c r="B2218" s="2" t="n">
        <v>43206.3925</v>
      </c>
      <c r="C2218" t="n">
        <v>0</v>
      </c>
      <c r="D2218" t="n">
        <v>9</v>
      </c>
      <c r="E2218" t="s">
        <v>2185</v>
      </c>
      <c r="F2218" t="s"/>
      <c r="G2218" t="s"/>
      <c r="H2218" t="s"/>
      <c r="I2218" t="s"/>
      <c r="J2218" t="n">
        <v>0.0772</v>
      </c>
      <c r="K2218" t="n">
        <v>0.056</v>
      </c>
      <c r="L2218" t="n">
        <v>0.874</v>
      </c>
      <c r="M2218" t="n">
        <v>0.07000000000000001</v>
      </c>
    </row>
    <row r="2219" spans="1:13">
      <c r="A2219" s="1">
        <f>HYPERLINK("http://www.twitter.com/NathanBLawrence/status/985811323635236864", "985811323635236864")</f>
        <v/>
      </c>
      <c r="B2219" s="2" t="n">
        <v>43206.39246527778</v>
      </c>
      <c r="C2219" t="n">
        <v>0</v>
      </c>
      <c r="D2219" t="n">
        <v>8</v>
      </c>
      <c r="E2219" t="s">
        <v>2186</v>
      </c>
      <c r="F2219" t="s"/>
      <c r="G2219" t="s"/>
      <c r="H2219" t="s"/>
      <c r="I2219" t="s"/>
      <c r="J2219" t="n">
        <v>-0.128</v>
      </c>
      <c r="K2219" t="n">
        <v>0.113</v>
      </c>
      <c r="L2219" t="n">
        <v>0.792</v>
      </c>
      <c r="M2219" t="n">
        <v>0.094</v>
      </c>
    </row>
    <row r="2220" spans="1:13">
      <c r="A2220" s="1">
        <f>HYPERLINK("http://www.twitter.com/NathanBLawrence/status/985811311043936259", "985811311043936259")</f>
        <v/>
      </c>
      <c r="B2220" s="2" t="n">
        <v>43206.39243055556</v>
      </c>
      <c r="C2220" t="n">
        <v>0</v>
      </c>
      <c r="D2220" t="n">
        <v>10</v>
      </c>
      <c r="E2220" t="s">
        <v>2187</v>
      </c>
      <c r="F2220" t="s"/>
      <c r="G2220" t="s"/>
      <c r="H2220" t="s"/>
      <c r="I2220" t="s"/>
      <c r="J2220" t="n">
        <v>0</v>
      </c>
      <c r="K2220" t="n">
        <v>0</v>
      </c>
      <c r="L2220" t="n">
        <v>1</v>
      </c>
      <c r="M2220" t="n">
        <v>0</v>
      </c>
    </row>
    <row r="2221" spans="1:13">
      <c r="A2221" s="1">
        <f>HYPERLINK("http://www.twitter.com/NathanBLawrence/status/985811299845263360", "985811299845263360")</f>
        <v/>
      </c>
      <c r="B2221" s="2" t="n">
        <v>43206.39240740741</v>
      </c>
      <c r="C2221" t="n">
        <v>0</v>
      </c>
      <c r="D2221" t="n">
        <v>15</v>
      </c>
      <c r="E2221" t="s">
        <v>2188</v>
      </c>
      <c r="F2221" t="s"/>
      <c r="G2221" t="s"/>
      <c r="H2221" t="s"/>
      <c r="I2221" t="s"/>
      <c r="J2221" t="n">
        <v>0</v>
      </c>
      <c r="K2221" t="n">
        <v>0</v>
      </c>
      <c r="L2221" t="n">
        <v>1</v>
      </c>
      <c r="M2221" t="n">
        <v>0</v>
      </c>
    </row>
    <row r="2222" spans="1:13">
      <c r="A2222" s="1">
        <f>HYPERLINK("http://www.twitter.com/NathanBLawrence/status/985789692447780864", "985789692447780864")</f>
        <v/>
      </c>
      <c r="B2222" s="2" t="n">
        <v>43206.33277777778</v>
      </c>
      <c r="C2222" t="n">
        <v>8</v>
      </c>
      <c r="D2222" t="n">
        <v>3</v>
      </c>
      <c r="E2222" t="s">
        <v>2189</v>
      </c>
      <c r="F2222" t="s"/>
      <c r="G2222" t="s"/>
      <c r="H2222" t="s"/>
      <c r="I2222" t="s"/>
      <c r="J2222" t="n">
        <v>-0.409</v>
      </c>
      <c r="K2222" t="n">
        <v>0.307</v>
      </c>
      <c r="L2222" t="n">
        <v>0.466</v>
      </c>
      <c r="M2222" t="n">
        <v>0.226</v>
      </c>
    </row>
    <row r="2223" spans="1:13">
      <c r="A2223" s="1">
        <f>HYPERLINK("http://www.twitter.com/NathanBLawrence/status/985789377908486144", "985789377908486144")</f>
        <v/>
      </c>
      <c r="B2223" s="2" t="n">
        <v>43206.33190972222</v>
      </c>
      <c r="C2223" t="n">
        <v>0</v>
      </c>
      <c r="D2223" t="n">
        <v>634</v>
      </c>
      <c r="E2223" t="s">
        <v>2190</v>
      </c>
      <c r="F2223" t="s"/>
      <c r="G2223" t="s"/>
      <c r="H2223" t="s"/>
      <c r="I2223" t="s"/>
      <c r="J2223" t="n">
        <v>-0.5308</v>
      </c>
      <c r="K2223" t="n">
        <v>0.256</v>
      </c>
      <c r="L2223" t="n">
        <v>0.604</v>
      </c>
      <c r="M2223" t="n">
        <v>0.141</v>
      </c>
    </row>
    <row r="2224" spans="1:13">
      <c r="A2224" s="1">
        <f>HYPERLINK("http://www.twitter.com/NathanBLawrence/status/985720674508509184", "985720674508509184")</f>
        <v/>
      </c>
      <c r="B2224" s="2" t="n">
        <v>43206.14232638889</v>
      </c>
      <c r="C2224" t="n">
        <v>0</v>
      </c>
      <c r="D2224" t="n">
        <v>10</v>
      </c>
      <c r="E2224" t="s">
        <v>2191</v>
      </c>
      <c r="F2224" t="s"/>
      <c r="G2224" t="s"/>
      <c r="H2224" t="s"/>
      <c r="I2224" t="s"/>
      <c r="J2224" t="n">
        <v>0</v>
      </c>
      <c r="K2224" t="n">
        <v>0</v>
      </c>
      <c r="L2224" t="n">
        <v>1</v>
      </c>
      <c r="M2224" t="n">
        <v>0</v>
      </c>
    </row>
    <row r="2225" spans="1:13">
      <c r="A2225" s="1">
        <f>HYPERLINK("http://www.twitter.com/NathanBLawrence/status/985720627687510016", "985720627687510016")</f>
        <v/>
      </c>
      <c r="B2225" s="2" t="n">
        <v>43206.14219907407</v>
      </c>
      <c r="C2225" t="n">
        <v>0</v>
      </c>
      <c r="D2225" t="n">
        <v>13</v>
      </c>
      <c r="E2225" t="s">
        <v>2192</v>
      </c>
      <c r="F2225" t="s"/>
      <c r="G2225" t="s"/>
      <c r="H2225" t="s"/>
      <c r="I2225" t="s"/>
      <c r="J2225" t="n">
        <v>0.4215</v>
      </c>
      <c r="K2225" t="n">
        <v>0</v>
      </c>
      <c r="L2225" t="n">
        <v>0.882</v>
      </c>
      <c r="M2225" t="n">
        <v>0.118</v>
      </c>
    </row>
    <row r="2226" spans="1:13">
      <c r="A2226" s="1">
        <f>HYPERLINK("http://www.twitter.com/NathanBLawrence/status/985718990021545985", "985718990021545985")</f>
        <v/>
      </c>
      <c r="B2226" s="2" t="n">
        <v>43206.13767361111</v>
      </c>
      <c r="C2226" t="n">
        <v>0</v>
      </c>
      <c r="D2226" t="n">
        <v>7</v>
      </c>
      <c r="E2226" t="s">
        <v>2193</v>
      </c>
      <c r="F2226">
        <f>HYPERLINK("http://pbs.twimg.com/media/Da33E23X0AA3fDZ.jpg", "http://pbs.twimg.com/media/Da33E23X0AA3fDZ.jpg")</f>
        <v/>
      </c>
      <c r="G2226" t="s"/>
      <c r="H2226" t="s"/>
      <c r="I2226" t="s"/>
      <c r="J2226" t="n">
        <v>0.4767</v>
      </c>
      <c r="K2226" t="n">
        <v>0</v>
      </c>
      <c r="L2226" t="n">
        <v>0.838</v>
      </c>
      <c r="M2226" t="n">
        <v>0.162</v>
      </c>
    </row>
    <row r="2227" spans="1:13">
      <c r="A2227" s="1">
        <f>HYPERLINK("http://www.twitter.com/NathanBLawrence/status/985718911361482753", "985718911361482753")</f>
        <v/>
      </c>
      <c r="B2227" s="2" t="n">
        <v>43206.1374537037</v>
      </c>
      <c r="C2227" t="n">
        <v>0</v>
      </c>
      <c r="D2227" t="n">
        <v>19</v>
      </c>
      <c r="E2227" t="s">
        <v>2194</v>
      </c>
      <c r="F2227" t="s"/>
      <c r="G2227" t="s"/>
      <c r="H2227" t="s"/>
      <c r="I2227" t="s"/>
      <c r="J2227" t="n">
        <v>-0.5983000000000001</v>
      </c>
      <c r="K2227" t="n">
        <v>0.197</v>
      </c>
      <c r="L2227" t="n">
        <v>0.803</v>
      </c>
      <c r="M2227" t="n">
        <v>0</v>
      </c>
    </row>
    <row r="2228" spans="1:13">
      <c r="A2228" s="1">
        <f>HYPERLINK("http://www.twitter.com/NathanBLawrence/status/985585363140870144", "985585363140870144")</f>
        <v/>
      </c>
      <c r="B2228" s="2" t="n">
        <v>43205.76893518519</v>
      </c>
      <c r="C2228" t="n">
        <v>0</v>
      </c>
      <c r="D2228" t="n">
        <v>6</v>
      </c>
      <c r="E2228" t="s">
        <v>2195</v>
      </c>
      <c r="F2228" t="s"/>
      <c r="G2228" t="s"/>
      <c r="H2228" t="s"/>
      <c r="I2228" t="s"/>
      <c r="J2228" t="n">
        <v>0</v>
      </c>
      <c r="K2228" t="n">
        <v>0</v>
      </c>
      <c r="L2228" t="n">
        <v>1</v>
      </c>
      <c r="M2228" t="n">
        <v>0</v>
      </c>
    </row>
    <row r="2229" spans="1:13">
      <c r="A2229" s="1">
        <f>HYPERLINK("http://www.twitter.com/NathanBLawrence/status/985585333621444614", "985585333621444614")</f>
        <v/>
      </c>
      <c r="B2229" s="2" t="n">
        <v>43205.76885416666</v>
      </c>
      <c r="C2229" t="n">
        <v>0</v>
      </c>
      <c r="D2229" t="n">
        <v>8</v>
      </c>
      <c r="E2229" t="s">
        <v>2196</v>
      </c>
      <c r="F2229">
        <f>HYPERLINK("http://pbs.twimg.com/media/Da2AQllXcAERx-G.jpg", "http://pbs.twimg.com/media/Da2AQllXcAERx-G.jpg")</f>
        <v/>
      </c>
      <c r="G2229" t="s"/>
      <c r="H2229" t="s"/>
      <c r="I2229" t="s"/>
      <c r="J2229" t="n">
        <v>0</v>
      </c>
      <c r="K2229" t="n">
        <v>0</v>
      </c>
      <c r="L2229" t="n">
        <v>1</v>
      </c>
      <c r="M2229" t="n">
        <v>0</v>
      </c>
    </row>
    <row r="2230" spans="1:13">
      <c r="A2230" s="1">
        <f>HYPERLINK("http://www.twitter.com/NathanBLawrence/status/985585304101933056", "985585304101933056")</f>
        <v/>
      </c>
      <c r="B2230" s="2" t="n">
        <v>43205.76877314815</v>
      </c>
      <c r="C2230" t="n">
        <v>0</v>
      </c>
      <c r="D2230" t="n">
        <v>26</v>
      </c>
      <c r="E2230" t="s">
        <v>2197</v>
      </c>
      <c r="F2230">
        <f>HYPERLINK("http://pbs.twimg.com/media/Da16xU8X0AAb7JT.jpg", "http://pbs.twimg.com/media/Da16xU8X0AAb7JT.jpg")</f>
        <v/>
      </c>
      <c r="G2230" t="s"/>
      <c r="H2230" t="s"/>
      <c r="I2230" t="s"/>
      <c r="J2230" t="n">
        <v>-0.3612</v>
      </c>
      <c r="K2230" t="n">
        <v>0.128</v>
      </c>
      <c r="L2230" t="n">
        <v>0.872</v>
      </c>
      <c r="M2230" t="n">
        <v>0</v>
      </c>
    </row>
    <row r="2231" spans="1:13">
      <c r="A2231" s="1">
        <f>HYPERLINK("http://www.twitter.com/NathanBLawrence/status/985511813960863744", "985511813960863744")</f>
        <v/>
      </c>
      <c r="B2231" s="2" t="n">
        <v>43205.5659837963</v>
      </c>
      <c r="C2231" t="n">
        <v>0</v>
      </c>
      <c r="D2231" t="n">
        <v>14124</v>
      </c>
      <c r="E2231" t="s">
        <v>2198</v>
      </c>
      <c r="F2231">
        <f>HYPERLINK("https://video.twimg.com/ext_tw_video/984497561305100288/pu/vid/1280x720/ZFK0k_yz16HNeYWP.mp4?tag=2", "https://video.twimg.com/ext_tw_video/984497561305100288/pu/vid/1280x720/ZFK0k_yz16HNeYWP.mp4?tag=2")</f>
        <v/>
      </c>
      <c r="G2231" t="s"/>
      <c r="H2231" t="s"/>
      <c r="I2231" t="s"/>
      <c r="J2231" t="n">
        <v>0.6996</v>
      </c>
      <c r="K2231" t="n">
        <v>0</v>
      </c>
      <c r="L2231" t="n">
        <v>0.784</v>
      </c>
      <c r="M2231" t="n">
        <v>0.216</v>
      </c>
    </row>
    <row r="2232" spans="1:13">
      <c r="A2232" s="1">
        <f>HYPERLINK("http://www.twitter.com/NathanBLawrence/status/985511719933042689", "985511719933042689")</f>
        <v/>
      </c>
      <c r="B2232" s="2" t="n">
        <v>43205.5657175926</v>
      </c>
      <c r="C2232" t="n">
        <v>0</v>
      </c>
      <c r="D2232" t="n">
        <v>11</v>
      </c>
      <c r="E2232" t="s">
        <v>2199</v>
      </c>
      <c r="F2232">
        <f>HYPERLINK("http://pbs.twimg.com/media/Da06TKyU0AMgznT.jpg", "http://pbs.twimg.com/media/Da06TKyU0AMgznT.jpg")</f>
        <v/>
      </c>
      <c r="G2232" t="s"/>
      <c r="H2232" t="s"/>
      <c r="I2232" t="s"/>
      <c r="J2232" t="n">
        <v>-0.4173</v>
      </c>
      <c r="K2232" t="n">
        <v>0.173</v>
      </c>
      <c r="L2232" t="n">
        <v>0.827</v>
      </c>
      <c r="M2232" t="n">
        <v>0</v>
      </c>
    </row>
    <row r="2233" spans="1:13">
      <c r="A2233" s="1">
        <f>HYPERLINK("http://www.twitter.com/NathanBLawrence/status/985511705936584705", "985511705936584705")</f>
        <v/>
      </c>
      <c r="B2233" s="2" t="n">
        <v>43205.56568287037</v>
      </c>
      <c r="C2233" t="n">
        <v>0</v>
      </c>
      <c r="D2233" t="n">
        <v>0</v>
      </c>
      <c r="E2233" t="s">
        <v>2200</v>
      </c>
      <c r="F2233" t="s"/>
      <c r="G2233" t="s"/>
      <c r="H2233" t="s"/>
      <c r="I2233" t="s"/>
      <c r="J2233" t="n">
        <v>-0.5484</v>
      </c>
      <c r="K2233" t="n">
        <v>0.371</v>
      </c>
      <c r="L2233" t="n">
        <v>0.629</v>
      </c>
      <c r="M2233" t="n">
        <v>0</v>
      </c>
    </row>
    <row r="2234" spans="1:13">
      <c r="A2234" s="1">
        <f>HYPERLINK("http://www.twitter.com/NathanBLawrence/status/985511517515931650", "985511517515931650")</f>
        <v/>
      </c>
      <c r="B2234" s="2" t="n">
        <v>43205.56516203703</v>
      </c>
      <c r="C2234" t="n">
        <v>0</v>
      </c>
      <c r="D2234" t="n">
        <v>0</v>
      </c>
      <c r="E2234" t="s">
        <v>2201</v>
      </c>
      <c r="F2234" t="s"/>
      <c r="G2234" t="s"/>
      <c r="H2234" t="s"/>
      <c r="I2234" t="s"/>
      <c r="J2234" t="n">
        <v>0.34</v>
      </c>
      <c r="K2234" t="n">
        <v>0</v>
      </c>
      <c r="L2234" t="n">
        <v>0.676</v>
      </c>
      <c r="M2234" t="n">
        <v>0.324</v>
      </c>
    </row>
    <row r="2235" spans="1:13">
      <c r="A2235" s="1">
        <f>HYPERLINK("http://www.twitter.com/NathanBLawrence/status/985511469973491712", "985511469973491712")</f>
        <v/>
      </c>
      <c r="B2235" s="2" t="n">
        <v>43205.56503472223</v>
      </c>
      <c r="C2235" t="n">
        <v>0</v>
      </c>
      <c r="D2235" t="n">
        <v>2</v>
      </c>
      <c r="E2235" t="s">
        <v>2202</v>
      </c>
      <c r="F2235" t="s"/>
      <c r="G2235" t="s"/>
      <c r="H2235" t="s"/>
      <c r="I2235" t="s"/>
      <c r="J2235" t="n">
        <v>0</v>
      </c>
      <c r="K2235" t="n">
        <v>0</v>
      </c>
      <c r="L2235" t="n">
        <v>1</v>
      </c>
      <c r="M2235" t="n">
        <v>0</v>
      </c>
    </row>
    <row r="2236" spans="1:13">
      <c r="A2236" s="1">
        <f>HYPERLINK("http://www.twitter.com/NathanBLawrence/status/985362694621540353", "985362694621540353")</f>
        <v/>
      </c>
      <c r="B2236" s="2" t="n">
        <v>43205.15449074074</v>
      </c>
      <c r="C2236" t="n">
        <v>0</v>
      </c>
      <c r="D2236" t="n">
        <v>0</v>
      </c>
      <c r="E2236" t="s">
        <v>2203</v>
      </c>
      <c r="F2236" t="s"/>
      <c r="G2236" t="s"/>
      <c r="H2236" t="s"/>
      <c r="I2236" t="s"/>
      <c r="J2236" t="n">
        <v>-0.0961</v>
      </c>
      <c r="K2236" t="n">
        <v>0.137</v>
      </c>
      <c r="L2236" t="n">
        <v>0.863</v>
      </c>
      <c r="M2236" t="n">
        <v>0</v>
      </c>
    </row>
    <row r="2237" spans="1:13">
      <c r="A2237" s="1">
        <f>HYPERLINK("http://www.twitter.com/NathanBLawrence/status/985361889898229761", "985361889898229761")</f>
        <v/>
      </c>
      <c r="B2237" s="2" t="n">
        <v>43205.15226851852</v>
      </c>
      <c r="C2237" t="n">
        <v>0</v>
      </c>
      <c r="D2237" t="n">
        <v>5</v>
      </c>
      <c r="E2237" t="s">
        <v>2204</v>
      </c>
      <c r="F2237">
        <f>HYPERLINK("http://pbs.twimg.com/media/DayujLwV4AEdhdi.jpg", "http://pbs.twimg.com/media/DayujLwV4AEdhdi.jpg")</f>
        <v/>
      </c>
      <c r="G2237">
        <f>HYPERLINK("http://pbs.twimg.com/media/DayulRwVMAAZkwn.jpg", "http://pbs.twimg.com/media/DayulRwVMAAZkwn.jpg")</f>
        <v/>
      </c>
      <c r="H2237" t="s"/>
      <c r="I2237" t="s"/>
      <c r="J2237" t="n">
        <v>0</v>
      </c>
      <c r="K2237" t="n">
        <v>0</v>
      </c>
      <c r="L2237" t="n">
        <v>1</v>
      </c>
      <c r="M2237" t="n">
        <v>0</v>
      </c>
    </row>
    <row r="2238" spans="1:13">
      <c r="A2238" s="1">
        <f>HYPERLINK("http://www.twitter.com/NathanBLawrence/status/985340328210325504", "985340328210325504")</f>
        <v/>
      </c>
      <c r="B2238" s="2" t="n">
        <v>43205.09276620371</v>
      </c>
      <c r="C2238" t="n">
        <v>0</v>
      </c>
      <c r="D2238" t="n">
        <v>28</v>
      </c>
      <c r="E2238" t="s">
        <v>2205</v>
      </c>
      <c r="F2238">
        <f>HYPERLINK("http://pbs.twimg.com/media/DaxL7k-XcAAkS6G.jpg", "http://pbs.twimg.com/media/DaxL7k-XcAAkS6G.jpg")</f>
        <v/>
      </c>
      <c r="G2238" t="s"/>
      <c r="H2238" t="s"/>
      <c r="I2238" t="s"/>
      <c r="J2238" t="n">
        <v>0</v>
      </c>
      <c r="K2238" t="n">
        <v>0</v>
      </c>
      <c r="L2238" t="n">
        <v>1</v>
      </c>
      <c r="M2238" t="n">
        <v>0</v>
      </c>
    </row>
    <row r="2239" spans="1:13">
      <c r="A2239" s="1">
        <f>HYPERLINK("http://www.twitter.com/NathanBLawrence/status/985340227094007808", "985340227094007808")</f>
        <v/>
      </c>
      <c r="B2239" s="2" t="n">
        <v>43205.09248842593</v>
      </c>
      <c r="C2239" t="n">
        <v>0</v>
      </c>
      <c r="D2239" t="n">
        <v>0</v>
      </c>
      <c r="E2239" t="s">
        <v>2206</v>
      </c>
      <c r="F2239" t="s"/>
      <c r="G2239" t="s"/>
      <c r="H2239" t="s"/>
      <c r="I2239" t="s"/>
      <c r="J2239" t="n">
        <v>0</v>
      </c>
      <c r="K2239" t="n">
        <v>0</v>
      </c>
      <c r="L2239" t="n">
        <v>1</v>
      </c>
      <c r="M2239" t="n">
        <v>0</v>
      </c>
    </row>
    <row r="2240" spans="1:13">
      <c r="A2240" s="1">
        <f>HYPERLINK("http://www.twitter.com/NathanBLawrence/status/985327886503686144", "985327886503686144")</f>
        <v/>
      </c>
      <c r="B2240" s="2" t="n">
        <v>43205.0584375</v>
      </c>
      <c r="C2240" t="n">
        <v>0</v>
      </c>
      <c r="D2240" t="n">
        <v>5</v>
      </c>
      <c r="E2240" t="s">
        <v>2207</v>
      </c>
      <c r="F2240" t="s"/>
      <c r="G2240" t="s"/>
      <c r="H2240" t="s"/>
      <c r="I2240" t="s"/>
      <c r="J2240" t="n">
        <v>-0.7549</v>
      </c>
      <c r="K2240" t="n">
        <v>0.254</v>
      </c>
      <c r="L2240" t="n">
        <v>0.746</v>
      </c>
      <c r="M2240" t="n">
        <v>0</v>
      </c>
    </row>
    <row r="2241" spans="1:13">
      <c r="A2241" s="1">
        <f>HYPERLINK("http://www.twitter.com/NathanBLawrence/status/985327856975835136", "985327856975835136")</f>
        <v/>
      </c>
      <c r="B2241" s="2" t="n">
        <v>43205.05835648148</v>
      </c>
      <c r="C2241" t="n">
        <v>0</v>
      </c>
      <c r="D2241" t="n">
        <v>6</v>
      </c>
      <c r="E2241" t="s">
        <v>2208</v>
      </c>
      <c r="F2241">
        <f>HYPERLINK("http://pbs.twimg.com/media/DaxEeDbX0AAvpvQ.jpg", "http://pbs.twimg.com/media/DaxEeDbX0AAvpvQ.jpg")</f>
        <v/>
      </c>
      <c r="G2241" t="s"/>
      <c r="H2241" t="s"/>
      <c r="I2241" t="s"/>
      <c r="J2241" t="n">
        <v>0</v>
      </c>
      <c r="K2241" t="n">
        <v>0</v>
      </c>
      <c r="L2241" t="n">
        <v>1</v>
      </c>
      <c r="M2241" t="n">
        <v>0</v>
      </c>
    </row>
    <row r="2242" spans="1:13">
      <c r="A2242" s="1">
        <f>HYPERLINK("http://www.twitter.com/NathanBLawrence/status/985327837174525953", "985327837174525953")</f>
        <v/>
      </c>
      <c r="B2242" s="2" t="n">
        <v>43205.05829861111</v>
      </c>
      <c r="C2242" t="n">
        <v>0</v>
      </c>
      <c r="D2242" t="n">
        <v>10</v>
      </c>
      <c r="E2242" t="s">
        <v>2209</v>
      </c>
      <c r="F2242" t="s"/>
      <c r="G2242" t="s"/>
      <c r="H2242" t="s"/>
      <c r="I2242" t="s"/>
      <c r="J2242" t="n">
        <v>-0.3818</v>
      </c>
      <c r="K2242" t="n">
        <v>0.098</v>
      </c>
      <c r="L2242" t="n">
        <v>0.902</v>
      </c>
      <c r="M2242" t="n">
        <v>0</v>
      </c>
    </row>
    <row r="2243" spans="1:13">
      <c r="A2243" s="1">
        <f>HYPERLINK("http://www.twitter.com/NathanBLawrence/status/985327816207163392", "985327816207163392")</f>
        <v/>
      </c>
      <c r="B2243" s="2" t="n">
        <v>43205.05824074074</v>
      </c>
      <c r="C2243" t="n">
        <v>0</v>
      </c>
      <c r="D2243" t="n">
        <v>7</v>
      </c>
      <c r="E2243" t="s">
        <v>2210</v>
      </c>
      <c r="F2243" t="s"/>
      <c r="G2243" t="s"/>
      <c r="H2243" t="s"/>
      <c r="I2243" t="s"/>
      <c r="J2243" t="n">
        <v>0.6157</v>
      </c>
      <c r="K2243" t="n">
        <v>0.105</v>
      </c>
      <c r="L2243" t="n">
        <v>0.601</v>
      </c>
      <c r="M2243" t="n">
        <v>0.294</v>
      </c>
    </row>
    <row r="2244" spans="1:13">
      <c r="A2244" s="1">
        <f>HYPERLINK("http://www.twitter.com/NathanBLawrence/status/985327802986782721", "985327802986782721")</f>
        <v/>
      </c>
      <c r="B2244" s="2" t="n">
        <v>43205.05820601852</v>
      </c>
      <c r="C2244" t="n">
        <v>0</v>
      </c>
      <c r="D2244" t="n">
        <v>8</v>
      </c>
      <c r="E2244" t="s">
        <v>2211</v>
      </c>
      <c r="F2244">
        <f>HYPERLINK("http://pbs.twimg.com/media/DaxM0HgXcAE4UV9.jpg", "http://pbs.twimg.com/media/DaxM0HgXcAE4UV9.jpg")</f>
        <v/>
      </c>
      <c r="G2244">
        <f>HYPERLINK("http://pbs.twimg.com/media/DaxM0HdX0AEX3X6.jpg", "http://pbs.twimg.com/media/DaxM0HdX0AEX3X6.jpg")</f>
        <v/>
      </c>
      <c r="H2244" t="s"/>
      <c r="I2244" t="s"/>
      <c r="J2244" t="n">
        <v>0</v>
      </c>
      <c r="K2244" t="n">
        <v>0</v>
      </c>
      <c r="L2244" t="n">
        <v>1</v>
      </c>
      <c r="M2244" t="n">
        <v>0</v>
      </c>
    </row>
    <row r="2245" spans="1:13">
      <c r="A2245" s="1">
        <f>HYPERLINK("http://www.twitter.com/NathanBLawrence/status/985327788524785669", "985327788524785669")</f>
        <v/>
      </c>
      <c r="B2245" s="2" t="n">
        <v>43205.05815972222</v>
      </c>
      <c r="C2245" t="n">
        <v>0</v>
      </c>
      <c r="D2245" t="n">
        <v>5</v>
      </c>
      <c r="E2245" t="s">
        <v>2212</v>
      </c>
      <c r="F2245">
        <f>HYPERLINK("http://pbs.twimg.com/media/DaxLwtHWAAEUyZj.jpg", "http://pbs.twimg.com/media/DaxLwtHWAAEUyZj.jpg")</f>
        <v/>
      </c>
      <c r="G2245" t="s"/>
      <c r="H2245" t="s"/>
      <c r="I2245" t="s"/>
      <c r="J2245" t="n">
        <v>-0.6932</v>
      </c>
      <c r="K2245" t="n">
        <v>0.214</v>
      </c>
      <c r="L2245" t="n">
        <v>0.786</v>
      </c>
      <c r="M2245" t="n">
        <v>0</v>
      </c>
    </row>
    <row r="2246" spans="1:13">
      <c r="A2246" s="1">
        <f>HYPERLINK("http://www.twitter.com/NathanBLawrence/status/985326405566238720", "985326405566238720")</f>
        <v/>
      </c>
      <c r="B2246" s="2" t="n">
        <v>43205.05435185185</v>
      </c>
      <c r="C2246" t="n">
        <v>1</v>
      </c>
      <c r="D2246" t="n">
        <v>0</v>
      </c>
      <c r="E2246" t="s">
        <v>2213</v>
      </c>
      <c r="F2246" t="s"/>
      <c r="G2246" t="s"/>
      <c r="H2246" t="s"/>
      <c r="I2246" t="s"/>
      <c r="J2246" t="n">
        <v>0.5562</v>
      </c>
      <c r="K2246" t="n">
        <v>0</v>
      </c>
      <c r="L2246" t="n">
        <v>0.754</v>
      </c>
      <c r="M2246" t="n">
        <v>0.246</v>
      </c>
    </row>
    <row r="2247" spans="1:13">
      <c r="A2247" s="1">
        <f>HYPERLINK("http://www.twitter.com/NathanBLawrence/status/985326281842716674", "985326281842716674")</f>
        <v/>
      </c>
      <c r="B2247" s="2" t="n">
        <v>43205.05400462963</v>
      </c>
      <c r="C2247" t="n">
        <v>0</v>
      </c>
      <c r="D2247" t="n">
        <v>12</v>
      </c>
      <c r="E2247" t="s">
        <v>2214</v>
      </c>
      <c r="F2247">
        <f>HYPERLINK("http://pbs.twimg.com/media/Dax_fzWXkAAPVeH.jpg", "http://pbs.twimg.com/media/Dax_fzWXkAAPVeH.jpg")</f>
        <v/>
      </c>
      <c r="G2247" t="s"/>
      <c r="H2247" t="s"/>
      <c r="I2247" t="s"/>
      <c r="J2247" t="n">
        <v>0</v>
      </c>
      <c r="K2247" t="n">
        <v>0</v>
      </c>
      <c r="L2247" t="n">
        <v>1</v>
      </c>
      <c r="M2247" t="n">
        <v>0</v>
      </c>
    </row>
    <row r="2248" spans="1:13">
      <c r="A2248" s="1">
        <f>HYPERLINK("http://www.twitter.com/NathanBLawrence/status/985326137575444480", "985326137575444480")</f>
        <v/>
      </c>
      <c r="B2248" s="2" t="n">
        <v>43205.05361111111</v>
      </c>
      <c r="C2248" t="n">
        <v>0</v>
      </c>
      <c r="D2248" t="n">
        <v>67</v>
      </c>
      <c r="E2248" t="s">
        <v>2215</v>
      </c>
      <c r="F2248">
        <f>HYPERLINK("http://pbs.twimg.com/media/DayDMPFW4AABK_k.jpg", "http://pbs.twimg.com/media/DayDMPFW4AABK_k.jpg")</f>
        <v/>
      </c>
      <c r="G2248" t="s"/>
      <c r="H2248" t="s"/>
      <c r="I2248" t="s"/>
      <c r="J2248" t="n">
        <v>-0.5106000000000001</v>
      </c>
      <c r="K2248" t="n">
        <v>0.134</v>
      </c>
      <c r="L2248" t="n">
        <v>0.8179999999999999</v>
      </c>
      <c r="M2248" t="n">
        <v>0.048</v>
      </c>
    </row>
    <row r="2249" spans="1:13">
      <c r="A2249" s="1">
        <f>HYPERLINK("http://www.twitter.com/NathanBLawrence/status/985230482102210561", "985230482102210561")</f>
        <v/>
      </c>
      <c r="B2249" s="2" t="n">
        <v>43204.78965277778</v>
      </c>
      <c r="C2249" t="n">
        <v>0</v>
      </c>
      <c r="D2249" t="n">
        <v>8</v>
      </c>
      <c r="E2249" t="s">
        <v>2216</v>
      </c>
      <c r="F2249" t="s"/>
      <c r="G2249" t="s"/>
      <c r="H2249" t="s"/>
      <c r="I2249" t="s"/>
      <c r="J2249" t="n">
        <v>-0.3868</v>
      </c>
      <c r="K2249" t="n">
        <v>0.157</v>
      </c>
      <c r="L2249" t="n">
        <v>0.783</v>
      </c>
      <c r="M2249" t="n">
        <v>0.059</v>
      </c>
    </row>
    <row r="2250" spans="1:13">
      <c r="A2250" s="1">
        <f>HYPERLINK("http://www.twitter.com/NathanBLawrence/status/985227836574392320", "985227836574392320")</f>
        <v/>
      </c>
      <c r="B2250" s="2" t="n">
        <v>43204.78234953704</v>
      </c>
      <c r="C2250" t="n">
        <v>0</v>
      </c>
      <c r="D2250" t="n">
        <v>9</v>
      </c>
      <c r="E2250" t="s">
        <v>2217</v>
      </c>
      <c r="F2250" t="s"/>
      <c r="G2250" t="s"/>
      <c r="H2250" t="s"/>
      <c r="I2250" t="s"/>
      <c r="J2250" t="n">
        <v>-0.296</v>
      </c>
      <c r="K2250" t="n">
        <v>0.136</v>
      </c>
      <c r="L2250" t="n">
        <v>0.864</v>
      </c>
      <c r="M2250" t="n">
        <v>0</v>
      </c>
    </row>
    <row r="2251" spans="1:13">
      <c r="A2251" s="1">
        <f>HYPERLINK("http://www.twitter.com/NathanBLawrence/status/985227811270152192", "985227811270152192")</f>
        <v/>
      </c>
      <c r="B2251" s="2" t="n">
        <v>43204.78228009259</v>
      </c>
      <c r="C2251" t="n">
        <v>0</v>
      </c>
      <c r="D2251" t="n">
        <v>6</v>
      </c>
      <c r="E2251" t="s">
        <v>2218</v>
      </c>
      <c r="F2251" t="s"/>
      <c r="G2251" t="s"/>
      <c r="H2251" t="s"/>
      <c r="I2251" t="s"/>
      <c r="J2251" t="n">
        <v>0.368</v>
      </c>
      <c r="K2251" t="n">
        <v>0.115</v>
      </c>
      <c r="L2251" t="n">
        <v>0.68</v>
      </c>
      <c r="M2251" t="n">
        <v>0.205</v>
      </c>
    </row>
    <row r="2252" spans="1:13">
      <c r="A2252" s="1">
        <f>HYPERLINK("http://www.twitter.com/NathanBLawrence/status/985227762410586112", "985227762410586112")</f>
        <v/>
      </c>
      <c r="B2252" s="2" t="n">
        <v>43204.7821412037</v>
      </c>
      <c r="C2252" t="n">
        <v>0</v>
      </c>
      <c r="D2252" t="n">
        <v>5</v>
      </c>
      <c r="E2252" t="s">
        <v>2219</v>
      </c>
      <c r="F2252" t="s"/>
      <c r="G2252" t="s"/>
      <c r="H2252" t="s"/>
      <c r="I2252" t="s"/>
      <c r="J2252" t="n">
        <v>0.5994</v>
      </c>
      <c r="K2252" t="n">
        <v>0.112</v>
      </c>
      <c r="L2252" t="n">
        <v>0.634</v>
      </c>
      <c r="M2252" t="n">
        <v>0.254</v>
      </c>
    </row>
    <row r="2253" spans="1:13">
      <c r="A2253" s="1">
        <f>HYPERLINK("http://www.twitter.com/NathanBLawrence/status/985206085370941441", "985206085370941441")</f>
        <v/>
      </c>
      <c r="B2253" s="2" t="n">
        <v>43204.72232638889</v>
      </c>
      <c r="C2253" t="n">
        <v>0</v>
      </c>
      <c r="D2253" t="n">
        <v>11</v>
      </c>
      <c r="E2253" t="s">
        <v>2220</v>
      </c>
      <c r="F2253" t="s"/>
      <c r="G2253" t="s"/>
      <c r="H2253" t="s"/>
      <c r="I2253" t="s"/>
      <c r="J2253" t="n">
        <v>0</v>
      </c>
      <c r="K2253" t="n">
        <v>0</v>
      </c>
      <c r="L2253" t="n">
        <v>1</v>
      </c>
      <c r="M2253" t="n">
        <v>0</v>
      </c>
    </row>
    <row r="2254" spans="1:13">
      <c r="A2254" s="1">
        <f>HYPERLINK("http://www.twitter.com/NathanBLawrence/status/985206053800415238", "985206053800415238")</f>
        <v/>
      </c>
      <c r="B2254" s="2" t="n">
        <v>43204.72224537037</v>
      </c>
      <c r="C2254" t="n">
        <v>0</v>
      </c>
      <c r="D2254" t="n">
        <v>7</v>
      </c>
      <c r="E2254" t="s">
        <v>2221</v>
      </c>
      <c r="F2254" t="s"/>
      <c r="G2254" t="s"/>
      <c r="H2254" t="s"/>
      <c r="I2254" t="s"/>
      <c r="J2254" t="n">
        <v>0.6289</v>
      </c>
      <c r="K2254" t="n">
        <v>0</v>
      </c>
      <c r="L2254" t="n">
        <v>0.829</v>
      </c>
      <c r="M2254" t="n">
        <v>0.171</v>
      </c>
    </row>
    <row r="2255" spans="1:13">
      <c r="A2255" s="1">
        <f>HYPERLINK("http://www.twitter.com/NathanBLawrence/status/985205964281384960", "985205964281384960")</f>
        <v/>
      </c>
      <c r="B2255" s="2" t="n">
        <v>43204.72199074074</v>
      </c>
      <c r="C2255" t="n">
        <v>0</v>
      </c>
      <c r="D2255" t="n">
        <v>5</v>
      </c>
      <c r="E2255" t="s">
        <v>2222</v>
      </c>
      <c r="F2255" t="s"/>
      <c r="G2255" t="s"/>
      <c r="H2255" t="s"/>
      <c r="I2255" t="s"/>
      <c r="J2255" t="n">
        <v>-0.3818</v>
      </c>
      <c r="K2255" t="n">
        <v>0.135</v>
      </c>
      <c r="L2255" t="n">
        <v>0.865</v>
      </c>
      <c r="M2255" t="n">
        <v>0</v>
      </c>
    </row>
    <row r="2256" spans="1:13">
      <c r="A2256" s="1">
        <f>HYPERLINK("http://www.twitter.com/NathanBLawrence/status/985205776095563776", "985205776095563776")</f>
        <v/>
      </c>
      <c r="B2256" s="2" t="n">
        <v>43204.72146990741</v>
      </c>
      <c r="C2256" t="n">
        <v>0</v>
      </c>
      <c r="D2256" t="n">
        <v>14</v>
      </c>
      <c r="E2256" t="s">
        <v>2223</v>
      </c>
      <c r="F2256" t="s"/>
      <c r="G2256" t="s"/>
      <c r="H2256" t="s"/>
      <c r="I2256" t="s"/>
      <c r="J2256" t="n">
        <v>0</v>
      </c>
      <c r="K2256" t="n">
        <v>0</v>
      </c>
      <c r="L2256" t="n">
        <v>1</v>
      </c>
      <c r="M2256" t="n">
        <v>0</v>
      </c>
    </row>
    <row r="2257" spans="1:13">
      <c r="A2257" s="1">
        <f>HYPERLINK("http://www.twitter.com/NathanBLawrence/status/985204957409366016", "985204957409366016")</f>
        <v/>
      </c>
      <c r="B2257" s="2" t="n">
        <v>43204.71921296296</v>
      </c>
      <c r="C2257" t="n">
        <v>0</v>
      </c>
      <c r="D2257" t="n">
        <v>5</v>
      </c>
      <c r="E2257" t="s">
        <v>2224</v>
      </c>
      <c r="F2257" t="s"/>
      <c r="G2257" t="s"/>
      <c r="H2257" t="s"/>
      <c r="I2257" t="s"/>
      <c r="J2257" t="n">
        <v>0.4588</v>
      </c>
      <c r="K2257" t="n">
        <v>0.152</v>
      </c>
      <c r="L2257" t="n">
        <v>0.636</v>
      </c>
      <c r="M2257" t="n">
        <v>0.212</v>
      </c>
    </row>
    <row r="2258" spans="1:13">
      <c r="A2258" s="1">
        <f>HYPERLINK("http://www.twitter.com/NathanBLawrence/status/985204948676825088", "985204948676825088")</f>
        <v/>
      </c>
      <c r="B2258" s="2" t="n">
        <v>43204.71918981482</v>
      </c>
      <c r="C2258" t="n">
        <v>0</v>
      </c>
      <c r="D2258" t="n">
        <v>4</v>
      </c>
      <c r="E2258" t="s">
        <v>2225</v>
      </c>
      <c r="F2258" t="s"/>
      <c r="G2258" t="s"/>
      <c r="H2258" t="s"/>
      <c r="I2258" t="s"/>
      <c r="J2258" t="n">
        <v>0.8126</v>
      </c>
      <c r="K2258" t="n">
        <v>0</v>
      </c>
      <c r="L2258" t="n">
        <v>0.6909999999999999</v>
      </c>
      <c r="M2258" t="n">
        <v>0.309</v>
      </c>
    </row>
    <row r="2259" spans="1:13">
      <c r="A2259" s="1">
        <f>HYPERLINK("http://www.twitter.com/NathanBLawrence/status/985204926929408001", "985204926929408001")</f>
        <v/>
      </c>
      <c r="B2259" s="2" t="n">
        <v>43204.71913194445</v>
      </c>
      <c r="C2259" t="n">
        <v>0</v>
      </c>
      <c r="D2259" t="n">
        <v>5</v>
      </c>
      <c r="E2259" t="s">
        <v>2226</v>
      </c>
      <c r="F2259" t="s"/>
      <c r="G2259" t="s"/>
      <c r="H2259" t="s"/>
      <c r="I2259" t="s"/>
      <c r="J2259" t="n">
        <v>0.3818</v>
      </c>
      <c r="K2259" t="n">
        <v>0</v>
      </c>
      <c r="L2259" t="n">
        <v>0.894</v>
      </c>
      <c r="M2259" t="n">
        <v>0.106</v>
      </c>
    </row>
    <row r="2260" spans="1:13">
      <c r="A2260" s="1">
        <f>HYPERLINK("http://www.twitter.com/NathanBLawrence/status/985204889457512448", "985204889457512448")</f>
        <v/>
      </c>
      <c r="B2260" s="2" t="n">
        <v>43204.71902777778</v>
      </c>
      <c r="C2260" t="n">
        <v>0</v>
      </c>
      <c r="D2260" t="n">
        <v>11</v>
      </c>
      <c r="E2260" t="s">
        <v>2227</v>
      </c>
      <c r="F2260">
        <f>HYPERLINK("http://pbs.twimg.com/media/DawlNOsUQAAjSNH.jpg", "http://pbs.twimg.com/media/DawlNOsUQAAjSNH.jpg")</f>
        <v/>
      </c>
      <c r="G2260" t="s"/>
      <c r="H2260" t="s"/>
      <c r="I2260" t="s"/>
      <c r="J2260" t="n">
        <v>0.4466</v>
      </c>
      <c r="K2260" t="n">
        <v>0</v>
      </c>
      <c r="L2260" t="n">
        <v>0.86</v>
      </c>
      <c r="M2260" t="n">
        <v>0.14</v>
      </c>
    </row>
    <row r="2261" spans="1:13">
      <c r="A2261" s="1">
        <f>HYPERLINK("http://www.twitter.com/NathanBLawrence/status/985204866892095488", "985204866892095488")</f>
        <v/>
      </c>
      <c r="B2261" s="2" t="n">
        <v>43204.71896990741</v>
      </c>
      <c r="C2261" t="n">
        <v>0</v>
      </c>
      <c r="D2261" t="n">
        <v>6</v>
      </c>
      <c r="E2261" t="s">
        <v>2228</v>
      </c>
      <c r="F2261" t="s"/>
      <c r="G2261" t="s"/>
      <c r="H2261" t="s"/>
      <c r="I2261" t="s"/>
      <c r="J2261" t="n">
        <v>-0.3919</v>
      </c>
      <c r="K2261" t="n">
        <v>0.161</v>
      </c>
      <c r="L2261" t="n">
        <v>0.839</v>
      </c>
      <c r="M2261" t="n">
        <v>0</v>
      </c>
    </row>
    <row r="2262" spans="1:13">
      <c r="A2262" s="1">
        <f>HYPERLINK("http://www.twitter.com/NathanBLawrence/status/985204836856745984", "985204836856745984")</f>
        <v/>
      </c>
      <c r="B2262" s="2" t="n">
        <v>43204.71887731482</v>
      </c>
      <c r="C2262" t="n">
        <v>0</v>
      </c>
      <c r="D2262" t="n">
        <v>54</v>
      </c>
      <c r="E2262" t="s">
        <v>2229</v>
      </c>
      <c r="F2262">
        <f>HYPERLINK("http://pbs.twimg.com/media/DaqOcEsWkAAugsX.jpg", "http://pbs.twimg.com/media/DaqOcEsWkAAugsX.jpg")</f>
        <v/>
      </c>
      <c r="G2262" t="s"/>
      <c r="H2262" t="s"/>
      <c r="I2262" t="s"/>
      <c r="J2262" t="n">
        <v>0</v>
      </c>
      <c r="K2262" t="n">
        <v>0</v>
      </c>
      <c r="L2262" t="n">
        <v>1</v>
      </c>
      <c r="M2262" t="n">
        <v>0</v>
      </c>
    </row>
    <row r="2263" spans="1:13">
      <c r="A2263" s="1">
        <f>HYPERLINK("http://www.twitter.com/NathanBLawrence/status/985204822713556992", "985204822713556992")</f>
        <v/>
      </c>
      <c r="B2263" s="2" t="n">
        <v>43204.71884259259</v>
      </c>
      <c r="C2263" t="n">
        <v>0</v>
      </c>
      <c r="D2263" t="n">
        <v>11</v>
      </c>
      <c r="E2263" t="s">
        <v>2230</v>
      </c>
      <c r="F2263">
        <f>HYPERLINK("http://pbs.twimg.com/media/DasLqm_WsAIwK7o.jpg", "http://pbs.twimg.com/media/DasLqm_WsAIwK7o.jpg")</f>
        <v/>
      </c>
      <c r="G2263" t="s"/>
      <c r="H2263" t="s"/>
      <c r="I2263" t="s"/>
      <c r="J2263" t="n">
        <v>0.6114000000000001</v>
      </c>
      <c r="K2263" t="n">
        <v>0</v>
      </c>
      <c r="L2263" t="n">
        <v>0.84</v>
      </c>
      <c r="M2263" t="n">
        <v>0.16</v>
      </c>
    </row>
    <row r="2264" spans="1:13">
      <c r="A2264" s="1">
        <f>HYPERLINK("http://www.twitter.com/NathanBLawrence/status/985204808146710531", "985204808146710531")</f>
        <v/>
      </c>
      <c r="B2264" s="2" t="n">
        <v>43204.71880787037</v>
      </c>
      <c r="C2264" t="n">
        <v>0</v>
      </c>
      <c r="D2264" t="n">
        <v>8</v>
      </c>
      <c r="E2264" t="s">
        <v>2231</v>
      </c>
      <c r="F2264" t="s"/>
      <c r="G2264" t="s"/>
      <c r="H2264" t="s"/>
      <c r="I2264" t="s"/>
      <c r="J2264" t="n">
        <v>0.1531</v>
      </c>
      <c r="K2264" t="n">
        <v>0.048</v>
      </c>
      <c r="L2264" t="n">
        <v>0.882</v>
      </c>
      <c r="M2264" t="n">
        <v>0.07000000000000001</v>
      </c>
    </row>
    <row r="2265" spans="1:13">
      <c r="A2265" s="1">
        <f>HYPERLINK("http://www.twitter.com/NathanBLawrence/status/985204787984650240", "985204787984650240")</f>
        <v/>
      </c>
      <c r="B2265" s="2" t="n">
        <v>43204.71875</v>
      </c>
      <c r="C2265" t="n">
        <v>0</v>
      </c>
      <c r="D2265" t="n">
        <v>8</v>
      </c>
      <c r="E2265" t="s">
        <v>2232</v>
      </c>
      <c r="F2265">
        <f>HYPERLINK("http://pbs.twimg.com/media/DatXLeGWAAAKi-6.jpg", "http://pbs.twimg.com/media/DatXLeGWAAAKi-6.jpg")</f>
        <v/>
      </c>
      <c r="G2265" t="s"/>
      <c r="H2265" t="s"/>
      <c r="I2265" t="s"/>
      <c r="J2265" t="n">
        <v>0</v>
      </c>
      <c r="K2265" t="n">
        <v>0</v>
      </c>
      <c r="L2265" t="n">
        <v>1</v>
      </c>
      <c r="M2265" t="n">
        <v>0</v>
      </c>
    </row>
    <row r="2266" spans="1:13">
      <c r="A2266" s="1">
        <f>HYPERLINK("http://www.twitter.com/NathanBLawrence/status/985204764353933323", "985204764353933323")</f>
        <v/>
      </c>
      <c r="B2266" s="2" t="n">
        <v>43204.71868055555</v>
      </c>
      <c r="C2266" t="n">
        <v>0</v>
      </c>
      <c r="D2266" t="n">
        <v>14</v>
      </c>
      <c r="E2266" t="s">
        <v>2233</v>
      </c>
      <c r="F2266" t="s"/>
      <c r="G2266" t="s"/>
      <c r="H2266" t="s"/>
      <c r="I2266" t="s"/>
      <c r="J2266" t="n">
        <v>0.0772</v>
      </c>
      <c r="K2266" t="n">
        <v>0</v>
      </c>
      <c r="L2266" t="n">
        <v>0.9330000000000001</v>
      </c>
      <c r="M2266" t="n">
        <v>0.067</v>
      </c>
    </row>
    <row r="2267" spans="1:13">
      <c r="A2267" s="1">
        <f>HYPERLINK("http://www.twitter.com/NathanBLawrence/status/985204751313797120", "985204751313797120")</f>
        <v/>
      </c>
      <c r="B2267" s="2" t="n">
        <v>43204.71864583333</v>
      </c>
      <c r="C2267" t="n">
        <v>0</v>
      </c>
      <c r="D2267" t="n">
        <v>11</v>
      </c>
      <c r="E2267" t="s">
        <v>2234</v>
      </c>
      <c r="F2267" t="s"/>
      <c r="G2267" t="s"/>
      <c r="H2267" t="s"/>
      <c r="I2267" t="s"/>
      <c r="J2267" t="n">
        <v>0.25</v>
      </c>
      <c r="K2267" t="n">
        <v>0.049</v>
      </c>
      <c r="L2267" t="n">
        <v>0.868</v>
      </c>
      <c r="M2267" t="n">
        <v>0.083</v>
      </c>
    </row>
    <row r="2268" spans="1:13">
      <c r="A2268" s="1">
        <f>HYPERLINK("http://www.twitter.com/NathanBLawrence/status/985204723816058880", "985204723816058880")</f>
        <v/>
      </c>
      <c r="B2268" s="2" t="n">
        <v>43204.71857638889</v>
      </c>
      <c r="C2268" t="n">
        <v>0</v>
      </c>
      <c r="D2268" t="n">
        <v>9</v>
      </c>
      <c r="E2268" t="s">
        <v>2227</v>
      </c>
      <c r="F2268" t="s"/>
      <c r="G2268" t="s"/>
      <c r="H2268" t="s"/>
      <c r="I2268" t="s"/>
      <c r="J2268" t="n">
        <v>0.4466</v>
      </c>
      <c r="K2268" t="n">
        <v>0</v>
      </c>
      <c r="L2268" t="n">
        <v>0.86</v>
      </c>
      <c r="M2268" t="n">
        <v>0.14</v>
      </c>
    </row>
    <row r="2269" spans="1:13">
      <c r="A2269" s="1">
        <f>HYPERLINK("http://www.twitter.com/NathanBLawrence/status/985204685480001536", "985204685480001536")</f>
        <v/>
      </c>
      <c r="B2269" s="2" t="n">
        <v>43204.71846064815</v>
      </c>
      <c r="C2269" t="n">
        <v>0</v>
      </c>
      <c r="D2269" t="n">
        <v>9</v>
      </c>
      <c r="E2269" t="s">
        <v>2235</v>
      </c>
      <c r="F2269" t="s"/>
      <c r="G2269" t="s"/>
      <c r="H2269" t="s"/>
      <c r="I2269" t="s"/>
      <c r="J2269" t="n">
        <v>0</v>
      </c>
      <c r="K2269" t="n">
        <v>0</v>
      </c>
      <c r="L2269" t="n">
        <v>1</v>
      </c>
      <c r="M2269" t="n">
        <v>0</v>
      </c>
    </row>
    <row r="2270" spans="1:13">
      <c r="A2270" s="1">
        <f>HYPERLINK("http://www.twitter.com/NathanBLawrence/status/985204673404719104", "985204673404719104")</f>
        <v/>
      </c>
      <c r="B2270" s="2" t="n">
        <v>43204.7184375</v>
      </c>
      <c r="C2270" t="n">
        <v>0</v>
      </c>
      <c r="D2270" t="n">
        <v>16</v>
      </c>
      <c r="E2270" t="s">
        <v>2236</v>
      </c>
      <c r="F2270" t="s"/>
      <c r="G2270" t="s"/>
      <c r="H2270" t="s"/>
      <c r="I2270" t="s"/>
      <c r="J2270" t="n">
        <v>0</v>
      </c>
      <c r="K2270" t="n">
        <v>0</v>
      </c>
      <c r="L2270" t="n">
        <v>1</v>
      </c>
      <c r="M2270" t="n">
        <v>0</v>
      </c>
    </row>
    <row r="2271" spans="1:13">
      <c r="A2271" s="1">
        <f>HYPERLINK("http://www.twitter.com/NathanBLawrence/status/985204649706827777", "985204649706827777")</f>
        <v/>
      </c>
      <c r="B2271" s="2" t="n">
        <v>43204.71836805555</v>
      </c>
      <c r="C2271" t="n">
        <v>0</v>
      </c>
      <c r="D2271" t="n">
        <v>9</v>
      </c>
      <c r="E2271" t="s">
        <v>2237</v>
      </c>
      <c r="F2271" t="s"/>
      <c r="G2271" t="s"/>
      <c r="H2271" t="s"/>
      <c r="I2271" t="s"/>
      <c r="J2271" t="n">
        <v>-0.7125</v>
      </c>
      <c r="K2271" t="n">
        <v>0.307</v>
      </c>
      <c r="L2271" t="n">
        <v>0.592</v>
      </c>
      <c r="M2271" t="n">
        <v>0.101</v>
      </c>
    </row>
    <row r="2272" spans="1:13">
      <c r="A2272" s="1">
        <f>HYPERLINK("http://www.twitter.com/NathanBLawrence/status/985204587299827712", "985204587299827712")</f>
        <v/>
      </c>
      <c r="B2272" s="2" t="n">
        <v>43204.71819444445</v>
      </c>
      <c r="C2272" t="n">
        <v>0</v>
      </c>
      <c r="D2272" t="n">
        <v>12</v>
      </c>
      <c r="E2272" t="s">
        <v>2238</v>
      </c>
      <c r="F2272">
        <f>HYPERLINK("http://pbs.twimg.com/media/DasIk0dWAAsbhdG.jpg", "http://pbs.twimg.com/media/DasIk0dWAAsbhdG.jpg")</f>
        <v/>
      </c>
      <c r="G2272" t="s"/>
      <c r="H2272" t="s"/>
      <c r="I2272" t="s"/>
      <c r="J2272" t="n">
        <v>0.34</v>
      </c>
      <c r="K2272" t="n">
        <v>0</v>
      </c>
      <c r="L2272" t="n">
        <v>0.841</v>
      </c>
      <c r="M2272" t="n">
        <v>0.159</v>
      </c>
    </row>
    <row r="2273" spans="1:13">
      <c r="A2273" s="1">
        <f>HYPERLINK("http://www.twitter.com/NathanBLawrence/status/985204570052812801", "985204570052812801")</f>
        <v/>
      </c>
      <c r="B2273" s="2" t="n">
        <v>43204.71814814815</v>
      </c>
      <c r="C2273" t="n">
        <v>0</v>
      </c>
      <c r="D2273" t="n">
        <v>7</v>
      </c>
      <c r="E2273" t="s">
        <v>2239</v>
      </c>
      <c r="F2273" t="s"/>
      <c r="G2273" t="s"/>
      <c r="H2273" t="s"/>
      <c r="I2273" t="s"/>
      <c r="J2273" t="n">
        <v>-0.1134</v>
      </c>
      <c r="K2273" t="n">
        <v>0.074</v>
      </c>
      <c r="L2273" t="n">
        <v>0.926</v>
      </c>
      <c r="M2273" t="n">
        <v>0</v>
      </c>
    </row>
    <row r="2274" spans="1:13">
      <c r="A2274" s="1">
        <f>HYPERLINK("http://www.twitter.com/NathanBLawrence/status/985204555116924928", "985204555116924928")</f>
        <v/>
      </c>
      <c r="B2274" s="2" t="n">
        <v>43204.71810185185</v>
      </c>
      <c r="C2274" t="n">
        <v>0</v>
      </c>
      <c r="D2274" t="n">
        <v>11</v>
      </c>
      <c r="E2274" t="s">
        <v>2240</v>
      </c>
      <c r="F2274" t="s"/>
      <c r="G2274" t="s"/>
      <c r="H2274" t="s"/>
      <c r="I2274" t="s"/>
      <c r="J2274" t="n">
        <v>-0.0387</v>
      </c>
      <c r="K2274" t="n">
        <v>0.046</v>
      </c>
      <c r="L2274" t="n">
        <v>0.954</v>
      </c>
      <c r="M2274" t="n">
        <v>0</v>
      </c>
    </row>
    <row r="2275" spans="1:13">
      <c r="A2275" s="1">
        <f>HYPERLINK("http://www.twitter.com/NathanBLawrence/status/985204516864843776", "985204516864843776")</f>
        <v/>
      </c>
      <c r="B2275" s="2" t="n">
        <v>43204.71799768518</v>
      </c>
      <c r="C2275" t="n">
        <v>0</v>
      </c>
      <c r="D2275" t="n">
        <v>22</v>
      </c>
      <c r="E2275" t="s">
        <v>2241</v>
      </c>
      <c r="F2275">
        <f>HYPERLINK("http://pbs.twimg.com/media/DasutJIWsAAhbq7.jpg", "http://pbs.twimg.com/media/DasutJIWsAAhbq7.jpg")</f>
        <v/>
      </c>
      <c r="G2275" t="s"/>
      <c r="H2275" t="s"/>
      <c r="I2275" t="s"/>
      <c r="J2275" t="n">
        <v>-0.8777</v>
      </c>
      <c r="K2275" t="n">
        <v>0.371</v>
      </c>
      <c r="L2275" t="n">
        <v>0.586</v>
      </c>
      <c r="M2275" t="n">
        <v>0.042</v>
      </c>
    </row>
    <row r="2276" spans="1:13">
      <c r="A2276" s="1">
        <f>HYPERLINK("http://www.twitter.com/NathanBLawrence/status/985204465857908737", "985204465857908737")</f>
        <v/>
      </c>
      <c r="B2276" s="2" t="n">
        <v>43204.7178587963</v>
      </c>
      <c r="C2276" t="n">
        <v>0</v>
      </c>
      <c r="D2276" t="n">
        <v>14</v>
      </c>
      <c r="E2276" t="s">
        <v>2242</v>
      </c>
      <c r="F2276">
        <f>HYPERLINK("http://pbs.twimg.com/media/Davv9rQW4AAJZ-t.jpg", "http://pbs.twimg.com/media/Davv9rQW4AAJZ-t.jpg")</f>
        <v/>
      </c>
      <c r="G2276">
        <f>HYPERLINK("http://pbs.twimg.com/media/Davv-soXcAIBJc8.jpg", "http://pbs.twimg.com/media/Davv-soXcAIBJc8.jpg")</f>
        <v/>
      </c>
      <c r="H2276">
        <f>HYPERLINK("http://pbs.twimg.com/media/Davv_p4X0AAG7fX.jpg", "http://pbs.twimg.com/media/Davv_p4X0AAG7fX.jpg")</f>
        <v/>
      </c>
      <c r="I2276" t="s"/>
      <c r="J2276" t="n">
        <v>-0.6107</v>
      </c>
      <c r="K2276" t="n">
        <v>0.172</v>
      </c>
      <c r="L2276" t="n">
        <v>0.828</v>
      </c>
      <c r="M2276" t="n">
        <v>0</v>
      </c>
    </row>
    <row r="2277" spans="1:13">
      <c r="A2277" s="1">
        <f>HYPERLINK("http://www.twitter.com/NathanBLawrence/status/984915672131043328", "984915672131043328")</f>
        <v/>
      </c>
      <c r="B2277" s="2" t="n">
        <v>43203.9209375</v>
      </c>
      <c r="C2277" t="n">
        <v>0</v>
      </c>
      <c r="D2277" t="n">
        <v>11240</v>
      </c>
      <c r="E2277" t="s">
        <v>2243</v>
      </c>
      <c r="F2277">
        <f>HYPERLINK("http://pbs.twimg.com/media/Dar8WqfUMAA2OrC.jpg", "http://pbs.twimg.com/media/Dar8WqfUMAA2OrC.jpg")</f>
        <v/>
      </c>
      <c r="G2277">
        <f>HYPERLINK("http://pbs.twimg.com/media/Dar8WqfVAAAEZfW.jpg", "http://pbs.twimg.com/media/Dar8WqfVAAAEZfW.jpg")</f>
        <v/>
      </c>
      <c r="H2277">
        <f>HYPERLINK("http://pbs.twimg.com/media/Dar8WqeVwAAnliC.jpg", "http://pbs.twimg.com/media/Dar8WqeVwAAnliC.jpg")</f>
        <v/>
      </c>
      <c r="I2277">
        <f>HYPERLINK("http://pbs.twimg.com/media/Dar8WqfUwAA0624.jpg", "http://pbs.twimg.com/media/Dar8WqfUwAA0624.jpg")</f>
        <v/>
      </c>
      <c r="J2277" t="n">
        <v>-0.34</v>
      </c>
      <c r="K2277" t="n">
        <v>0.098</v>
      </c>
      <c r="L2277" t="n">
        <v>0.902</v>
      </c>
      <c r="M2277" t="n">
        <v>0</v>
      </c>
    </row>
    <row r="2278" spans="1:13">
      <c r="A2278" s="1">
        <f>HYPERLINK("http://www.twitter.com/NathanBLawrence/status/984915659284013057", "984915659284013057")</f>
        <v/>
      </c>
      <c r="B2278" s="2" t="n">
        <v>43203.92090277778</v>
      </c>
      <c r="C2278" t="n">
        <v>0</v>
      </c>
      <c r="D2278" t="n">
        <v>2310</v>
      </c>
      <c r="E2278" t="s">
        <v>2244</v>
      </c>
      <c r="F2278" t="s"/>
      <c r="G2278" t="s"/>
      <c r="H2278" t="s"/>
      <c r="I2278" t="s"/>
      <c r="J2278" t="n">
        <v>0</v>
      </c>
      <c r="K2278" t="n">
        <v>0</v>
      </c>
      <c r="L2278" t="n">
        <v>1</v>
      </c>
      <c r="M2278" t="n">
        <v>0</v>
      </c>
    </row>
    <row r="2279" spans="1:13">
      <c r="A2279" s="1">
        <f>HYPERLINK("http://www.twitter.com/NathanBLawrence/status/984846095275757570", "984846095275757570")</f>
        <v/>
      </c>
      <c r="B2279" s="2" t="n">
        <v>43203.72894675926</v>
      </c>
      <c r="C2279" t="n">
        <v>0</v>
      </c>
      <c r="D2279" t="n">
        <v>404</v>
      </c>
      <c r="E2279" t="s">
        <v>2245</v>
      </c>
      <c r="F2279" t="s"/>
      <c r="G2279" t="s"/>
      <c r="H2279" t="s"/>
      <c r="I2279" t="s"/>
      <c r="J2279" t="n">
        <v>-0.7632</v>
      </c>
      <c r="K2279" t="n">
        <v>0.354</v>
      </c>
      <c r="L2279" t="n">
        <v>0.497</v>
      </c>
      <c r="M2279" t="n">
        <v>0.149</v>
      </c>
    </row>
    <row r="2280" spans="1:13">
      <c r="A2280" s="1">
        <f>HYPERLINK("http://www.twitter.com/NathanBLawrence/status/984846071775006720", "984846071775006720")</f>
        <v/>
      </c>
      <c r="B2280" s="2" t="n">
        <v>43203.72887731482</v>
      </c>
      <c r="C2280" t="n">
        <v>0</v>
      </c>
      <c r="D2280" t="n">
        <v>1815</v>
      </c>
      <c r="E2280" t="s">
        <v>2246</v>
      </c>
      <c r="F2280" t="s"/>
      <c r="G2280" t="s"/>
      <c r="H2280" t="s"/>
      <c r="I2280" t="s"/>
      <c r="J2280" t="n">
        <v>0.6652</v>
      </c>
      <c r="K2280" t="n">
        <v>0</v>
      </c>
      <c r="L2280" t="n">
        <v>0.8179999999999999</v>
      </c>
      <c r="M2280" t="n">
        <v>0.182</v>
      </c>
    </row>
    <row r="2281" spans="1:13">
      <c r="A2281" s="1">
        <f>HYPERLINK("http://www.twitter.com/NathanBLawrence/status/984846060295213057", "984846060295213057")</f>
        <v/>
      </c>
      <c r="B2281" s="2" t="n">
        <v>43203.72884259259</v>
      </c>
      <c r="C2281" t="n">
        <v>0</v>
      </c>
      <c r="D2281" t="n">
        <v>6</v>
      </c>
      <c r="E2281" t="s">
        <v>2247</v>
      </c>
      <c r="F2281" t="s"/>
      <c r="G2281" t="s"/>
      <c r="H2281" t="s"/>
      <c r="I2281" t="s"/>
      <c r="J2281" t="n">
        <v>-0.6166</v>
      </c>
      <c r="K2281" t="n">
        <v>0.161</v>
      </c>
      <c r="L2281" t="n">
        <v>0.839</v>
      </c>
      <c r="M2281" t="n">
        <v>0</v>
      </c>
    </row>
    <row r="2282" spans="1:13">
      <c r="A2282" s="1">
        <f>HYPERLINK("http://www.twitter.com/NathanBLawrence/status/984846034630213632", "984846034630213632")</f>
        <v/>
      </c>
      <c r="B2282" s="2" t="n">
        <v>43203.72877314815</v>
      </c>
      <c r="C2282" t="n">
        <v>0</v>
      </c>
      <c r="D2282" t="n">
        <v>24625</v>
      </c>
      <c r="E2282" t="s">
        <v>2248</v>
      </c>
      <c r="F2282" t="s"/>
      <c r="G2282" t="s"/>
      <c r="H2282" t="s"/>
      <c r="I2282" t="s"/>
      <c r="J2282" t="n">
        <v>0.3182</v>
      </c>
      <c r="K2282" t="n">
        <v>0</v>
      </c>
      <c r="L2282" t="n">
        <v>0.905</v>
      </c>
      <c r="M2282" t="n">
        <v>0.095</v>
      </c>
    </row>
    <row r="2283" spans="1:13">
      <c r="A2283" s="1">
        <f>HYPERLINK("http://www.twitter.com/NathanBLawrence/status/984845937204957184", "984845937204957184")</f>
        <v/>
      </c>
      <c r="B2283" s="2" t="n">
        <v>43203.72850694445</v>
      </c>
      <c r="C2283" t="n">
        <v>0</v>
      </c>
      <c r="D2283" t="n">
        <v>5</v>
      </c>
      <c r="E2283" t="s">
        <v>2249</v>
      </c>
      <c r="F2283" t="s"/>
      <c r="G2283" t="s"/>
      <c r="H2283" t="s"/>
      <c r="I2283" t="s"/>
      <c r="J2283" t="n">
        <v>-0.1154</v>
      </c>
      <c r="K2283" t="n">
        <v>0.068</v>
      </c>
      <c r="L2283" t="n">
        <v>0.9320000000000001</v>
      </c>
      <c r="M2283" t="n">
        <v>0</v>
      </c>
    </row>
    <row r="2284" spans="1:13">
      <c r="A2284" s="1">
        <f>HYPERLINK("http://www.twitter.com/NathanBLawrence/status/984841551162593281", "984841551162593281")</f>
        <v/>
      </c>
      <c r="B2284" s="2" t="n">
        <v>43203.71640046296</v>
      </c>
      <c r="C2284" t="n">
        <v>0</v>
      </c>
      <c r="D2284" t="n">
        <v>0</v>
      </c>
      <c r="E2284" t="s">
        <v>2250</v>
      </c>
      <c r="F2284" t="s"/>
      <c r="G2284" t="s"/>
      <c r="H2284" t="s"/>
      <c r="I2284" t="s"/>
      <c r="J2284" t="n">
        <v>0.3472</v>
      </c>
      <c r="K2284" t="n">
        <v>0</v>
      </c>
      <c r="L2284" t="n">
        <v>0.853</v>
      </c>
      <c r="M2284" t="n">
        <v>0.147</v>
      </c>
    </row>
    <row r="2285" spans="1:13">
      <c r="A2285" s="1">
        <f>HYPERLINK("http://www.twitter.com/NathanBLawrence/status/984841353485017088", "984841353485017088")</f>
        <v/>
      </c>
      <c r="B2285" s="2" t="n">
        <v>43203.71585648148</v>
      </c>
      <c r="C2285" t="n">
        <v>0</v>
      </c>
      <c r="D2285" t="n">
        <v>6</v>
      </c>
      <c r="E2285" t="s">
        <v>2251</v>
      </c>
      <c r="F2285" t="s"/>
      <c r="G2285" t="s"/>
      <c r="H2285" t="s"/>
      <c r="I2285" t="s"/>
      <c r="J2285" t="n">
        <v>-0.4215</v>
      </c>
      <c r="K2285" t="n">
        <v>0.189</v>
      </c>
      <c r="L2285" t="n">
        <v>0.8110000000000001</v>
      </c>
      <c r="M2285" t="n">
        <v>0</v>
      </c>
    </row>
    <row r="2286" spans="1:13">
      <c r="A2286" s="1">
        <f>HYPERLINK("http://www.twitter.com/NathanBLawrence/status/984841314700333057", "984841314700333057")</f>
        <v/>
      </c>
      <c r="B2286" s="2" t="n">
        <v>43203.71575231481</v>
      </c>
      <c r="C2286" t="n">
        <v>0</v>
      </c>
      <c r="D2286" t="n">
        <v>95</v>
      </c>
      <c r="E2286" t="s">
        <v>2252</v>
      </c>
      <c r="F2286">
        <f>HYPERLINK("https://video.twimg.com/ext_tw_video/984790811597422592/pu/vid/1280x720/kVrqn0pBBasyu-CD.mp4?tag=2", "https://video.twimg.com/ext_tw_video/984790811597422592/pu/vid/1280x720/kVrqn0pBBasyu-CD.mp4?tag=2")</f>
        <v/>
      </c>
      <c r="G2286" t="s"/>
      <c r="H2286" t="s"/>
      <c r="I2286" t="s"/>
      <c r="J2286" t="n">
        <v>0</v>
      </c>
      <c r="K2286" t="n">
        <v>0</v>
      </c>
      <c r="L2286" t="n">
        <v>1</v>
      </c>
      <c r="M2286" t="n">
        <v>0</v>
      </c>
    </row>
    <row r="2287" spans="1:13">
      <c r="A2287" s="1">
        <f>HYPERLINK("http://www.twitter.com/NathanBLawrence/status/984841206814380033", "984841206814380033")</f>
        <v/>
      </c>
      <c r="B2287" s="2" t="n">
        <v>43203.71545138889</v>
      </c>
      <c r="C2287" t="n">
        <v>0</v>
      </c>
      <c r="D2287" t="n">
        <v>8</v>
      </c>
      <c r="E2287" t="s">
        <v>2253</v>
      </c>
      <c r="F2287" t="s"/>
      <c r="G2287" t="s"/>
      <c r="H2287" t="s"/>
      <c r="I2287" t="s"/>
      <c r="J2287" t="n">
        <v>-0.7264</v>
      </c>
      <c r="K2287" t="n">
        <v>0.234</v>
      </c>
      <c r="L2287" t="n">
        <v>0.766</v>
      </c>
      <c r="M2287" t="n">
        <v>0</v>
      </c>
    </row>
    <row r="2288" spans="1:13">
      <c r="A2288" s="1">
        <f>HYPERLINK("http://www.twitter.com/NathanBLawrence/status/984841191316389889", "984841191316389889")</f>
        <v/>
      </c>
      <c r="B2288" s="2" t="n">
        <v>43203.71541666667</v>
      </c>
      <c r="C2288" t="n">
        <v>0</v>
      </c>
      <c r="D2288" t="n">
        <v>10</v>
      </c>
      <c r="E2288" t="s">
        <v>2254</v>
      </c>
      <c r="F2288">
        <f>HYPERLINK("http://pbs.twimg.com/media/DapvA7VXkAALZBH.jpg", "http://pbs.twimg.com/media/DapvA7VXkAALZBH.jpg")</f>
        <v/>
      </c>
      <c r="G2288" t="s"/>
      <c r="H2288" t="s"/>
      <c r="I2288" t="s"/>
      <c r="J2288" t="n">
        <v>0.7579</v>
      </c>
      <c r="K2288" t="n">
        <v>0</v>
      </c>
      <c r="L2288" t="n">
        <v>0.706</v>
      </c>
      <c r="M2288" t="n">
        <v>0.294</v>
      </c>
    </row>
    <row r="2289" spans="1:13">
      <c r="A2289" s="1">
        <f>HYPERLINK("http://www.twitter.com/NathanBLawrence/status/984841139823038471", "984841139823038471")</f>
        <v/>
      </c>
      <c r="B2289" s="2" t="n">
        <v>43203.7152662037</v>
      </c>
      <c r="C2289" t="n">
        <v>0</v>
      </c>
      <c r="D2289" t="n">
        <v>8</v>
      </c>
      <c r="E2289" t="s">
        <v>2255</v>
      </c>
      <c r="F2289">
        <f>HYPERLINK("http://pbs.twimg.com/media/Dapr5zWXUAAf3P8.jpg", "http://pbs.twimg.com/media/Dapr5zWXUAAf3P8.jpg")</f>
        <v/>
      </c>
      <c r="G2289">
        <f>HYPERLINK("http://pbs.twimg.com/media/Dapr5zXXUAAr1F9.jpg", "http://pbs.twimg.com/media/Dapr5zXXUAAr1F9.jpg")</f>
        <v/>
      </c>
      <c r="H2289" t="s"/>
      <c r="I2289" t="s"/>
      <c r="J2289" t="n">
        <v>0</v>
      </c>
      <c r="K2289" t="n">
        <v>0</v>
      </c>
      <c r="L2289" t="n">
        <v>1</v>
      </c>
      <c r="M2289" t="n">
        <v>0</v>
      </c>
    </row>
    <row r="2290" spans="1:13">
      <c r="A2290" s="1">
        <f>HYPERLINK("http://www.twitter.com/NathanBLawrence/status/984841097934528512", "984841097934528512")</f>
        <v/>
      </c>
      <c r="B2290" s="2" t="n">
        <v>43203.71515046297</v>
      </c>
      <c r="C2290" t="n">
        <v>0</v>
      </c>
      <c r="D2290" t="n">
        <v>8</v>
      </c>
      <c r="E2290" t="s">
        <v>2256</v>
      </c>
      <c r="F2290" t="s"/>
      <c r="G2290" t="s"/>
      <c r="H2290" t="s"/>
      <c r="I2290" t="s"/>
      <c r="J2290" t="n">
        <v>0.296</v>
      </c>
      <c r="K2290" t="n">
        <v>0</v>
      </c>
      <c r="L2290" t="n">
        <v>0.909</v>
      </c>
      <c r="M2290" t="n">
        <v>0.091</v>
      </c>
    </row>
    <row r="2291" spans="1:13">
      <c r="A2291" s="1">
        <f>HYPERLINK("http://www.twitter.com/NathanBLawrence/status/984841083111788546", "984841083111788546")</f>
        <v/>
      </c>
      <c r="B2291" s="2" t="n">
        <v>43203.71511574074</v>
      </c>
      <c r="C2291" t="n">
        <v>0</v>
      </c>
      <c r="D2291" t="n">
        <v>8</v>
      </c>
      <c r="E2291" t="s">
        <v>2257</v>
      </c>
      <c r="F2291" t="s"/>
      <c r="G2291" t="s"/>
      <c r="H2291" t="s"/>
      <c r="I2291" t="s"/>
      <c r="J2291" t="n">
        <v>0</v>
      </c>
      <c r="K2291" t="n">
        <v>0</v>
      </c>
      <c r="L2291" t="n">
        <v>1</v>
      </c>
      <c r="M2291" t="n">
        <v>0</v>
      </c>
    </row>
    <row r="2292" spans="1:13">
      <c r="A2292" s="1">
        <f>HYPERLINK("http://www.twitter.com/NathanBLawrence/status/984840996226850816", "984840996226850816")</f>
        <v/>
      </c>
      <c r="B2292" s="2" t="n">
        <v>43203.71487268519</v>
      </c>
      <c r="C2292" t="n">
        <v>0</v>
      </c>
      <c r="D2292" t="n">
        <v>8</v>
      </c>
      <c r="E2292" t="s">
        <v>2258</v>
      </c>
      <c r="F2292" t="s"/>
      <c r="G2292" t="s"/>
      <c r="H2292" t="s"/>
      <c r="I2292" t="s"/>
      <c r="J2292" t="n">
        <v>0</v>
      </c>
      <c r="K2292" t="n">
        <v>0</v>
      </c>
      <c r="L2292" t="n">
        <v>1</v>
      </c>
      <c r="M2292" t="n">
        <v>0</v>
      </c>
    </row>
    <row r="2293" spans="1:13">
      <c r="A2293" s="1">
        <f>HYPERLINK("http://www.twitter.com/NathanBLawrence/status/984840915264172033", "984840915264172033")</f>
        <v/>
      </c>
      <c r="B2293" s="2" t="n">
        <v>43203.71465277778</v>
      </c>
      <c r="C2293" t="n">
        <v>0</v>
      </c>
      <c r="D2293" t="n">
        <v>9</v>
      </c>
      <c r="E2293" t="s">
        <v>2259</v>
      </c>
      <c r="F2293" t="s"/>
      <c r="G2293" t="s"/>
      <c r="H2293" t="s"/>
      <c r="I2293" t="s"/>
      <c r="J2293" t="n">
        <v>0.5574</v>
      </c>
      <c r="K2293" t="n">
        <v>0</v>
      </c>
      <c r="L2293" t="n">
        <v>0.82</v>
      </c>
      <c r="M2293" t="n">
        <v>0.18</v>
      </c>
    </row>
    <row r="2294" spans="1:13">
      <c r="A2294" s="1">
        <f>HYPERLINK("http://www.twitter.com/NathanBLawrence/status/984840889976672256", "984840889976672256")</f>
        <v/>
      </c>
      <c r="B2294" s="2" t="n">
        <v>43203.71458333333</v>
      </c>
      <c r="C2294" t="n">
        <v>0</v>
      </c>
      <c r="D2294" t="n">
        <v>5</v>
      </c>
      <c r="E2294" t="s">
        <v>2260</v>
      </c>
      <c r="F2294" t="s"/>
      <c r="G2294" t="s"/>
      <c r="H2294" t="s"/>
      <c r="I2294" t="s"/>
      <c r="J2294" t="n">
        <v>-0.5266999999999999</v>
      </c>
      <c r="K2294" t="n">
        <v>0.129</v>
      </c>
      <c r="L2294" t="n">
        <v>0.871</v>
      </c>
      <c r="M2294" t="n">
        <v>0</v>
      </c>
    </row>
    <row r="2295" spans="1:13">
      <c r="A2295" s="1">
        <f>HYPERLINK("http://www.twitter.com/NathanBLawrence/status/984840804995878914", "984840804995878914")</f>
        <v/>
      </c>
      <c r="B2295" s="2" t="n">
        <v>43203.71435185185</v>
      </c>
      <c r="C2295" t="n">
        <v>0</v>
      </c>
      <c r="D2295" t="n">
        <v>4</v>
      </c>
      <c r="E2295" t="s">
        <v>2261</v>
      </c>
      <c r="F2295" t="s"/>
      <c r="G2295" t="s"/>
      <c r="H2295" t="s"/>
      <c r="I2295" t="s"/>
      <c r="J2295" t="n">
        <v>0.6908</v>
      </c>
      <c r="K2295" t="n">
        <v>0</v>
      </c>
      <c r="L2295" t="n">
        <v>0.794</v>
      </c>
      <c r="M2295" t="n">
        <v>0.206</v>
      </c>
    </row>
    <row r="2296" spans="1:13">
      <c r="A2296" s="1">
        <f>HYPERLINK("http://www.twitter.com/NathanBLawrence/status/984805882683850752", "984805882683850752")</f>
        <v/>
      </c>
      <c r="B2296" s="2" t="n">
        <v>43203.61797453704</v>
      </c>
      <c r="C2296" t="n">
        <v>0</v>
      </c>
      <c r="D2296" t="n">
        <v>0</v>
      </c>
      <c r="E2296" t="s">
        <v>2262</v>
      </c>
      <c r="F2296" t="s"/>
      <c r="G2296" t="s"/>
      <c r="H2296" t="s"/>
      <c r="I2296" t="s"/>
      <c r="J2296" t="n">
        <v>0.5574</v>
      </c>
      <c r="K2296" t="n">
        <v>0</v>
      </c>
      <c r="L2296" t="n">
        <v>0.839</v>
      </c>
      <c r="M2296" t="n">
        <v>0.161</v>
      </c>
    </row>
    <row r="2297" spans="1:13">
      <c r="A2297" s="1">
        <f>HYPERLINK("http://www.twitter.com/NathanBLawrence/status/984801158383403010", "984801158383403010")</f>
        <v/>
      </c>
      <c r="B2297" s="2" t="n">
        <v>43203.60494212963</v>
      </c>
      <c r="C2297" t="n">
        <v>0</v>
      </c>
      <c r="D2297" t="n">
        <v>10</v>
      </c>
      <c r="E2297" t="s">
        <v>2263</v>
      </c>
      <c r="F2297" t="s"/>
      <c r="G2297" t="s"/>
      <c r="H2297" t="s"/>
      <c r="I2297" t="s"/>
      <c r="J2297" t="n">
        <v>0.2732</v>
      </c>
      <c r="K2297" t="n">
        <v>0.09</v>
      </c>
      <c r="L2297" t="n">
        <v>0.773</v>
      </c>
      <c r="M2297" t="n">
        <v>0.137</v>
      </c>
    </row>
    <row r="2298" spans="1:13">
      <c r="A2298" s="1">
        <f>HYPERLINK("http://www.twitter.com/NathanBLawrence/status/984801070642802689", "984801070642802689")</f>
        <v/>
      </c>
      <c r="B2298" s="2" t="n">
        <v>43203.60469907407</v>
      </c>
      <c r="C2298" t="n">
        <v>0</v>
      </c>
      <c r="D2298" t="n">
        <v>3</v>
      </c>
      <c r="E2298" t="s">
        <v>2264</v>
      </c>
      <c r="F2298">
        <f>HYPERLINK("http://pbs.twimg.com/media/DahVEfwU8AErVLG.jpg", "http://pbs.twimg.com/media/DahVEfwU8AErVLG.jpg")</f>
        <v/>
      </c>
      <c r="G2298" t="s"/>
      <c r="H2298" t="s"/>
      <c r="I2298" t="s"/>
      <c r="J2298" t="n">
        <v>0</v>
      </c>
      <c r="K2298" t="n">
        <v>0</v>
      </c>
      <c r="L2298" t="n">
        <v>1</v>
      </c>
      <c r="M2298" t="n">
        <v>0</v>
      </c>
    </row>
    <row r="2299" spans="1:13">
      <c r="A2299" s="1">
        <f>HYPERLINK("http://www.twitter.com/NathanBLawrence/status/984776379161042944", "984776379161042944")</f>
        <v/>
      </c>
      <c r="B2299" s="2" t="n">
        <v>43203.5365625</v>
      </c>
      <c r="C2299" t="n">
        <v>0</v>
      </c>
      <c r="D2299" t="n">
        <v>32</v>
      </c>
      <c r="E2299" t="s">
        <v>2265</v>
      </c>
      <c r="F2299" t="s"/>
      <c r="G2299" t="s"/>
      <c r="H2299" t="s"/>
      <c r="I2299" t="s"/>
      <c r="J2299" t="n">
        <v>0.4404</v>
      </c>
      <c r="K2299" t="n">
        <v>0</v>
      </c>
      <c r="L2299" t="n">
        <v>0.8179999999999999</v>
      </c>
      <c r="M2299" t="n">
        <v>0.182</v>
      </c>
    </row>
    <row r="2300" spans="1:13">
      <c r="A2300" s="1">
        <f>HYPERLINK("http://www.twitter.com/NathanBLawrence/status/984768786321608704", "984768786321608704")</f>
        <v/>
      </c>
      <c r="B2300" s="2" t="n">
        <v>43203.51561342592</v>
      </c>
      <c r="C2300" t="n">
        <v>0</v>
      </c>
      <c r="D2300" t="n">
        <v>0</v>
      </c>
      <c r="E2300" t="s">
        <v>2266</v>
      </c>
      <c r="F2300" t="s"/>
      <c r="G2300" t="s"/>
      <c r="H2300" t="s"/>
      <c r="I2300" t="s"/>
      <c r="J2300" t="n">
        <v>0.1759</v>
      </c>
      <c r="K2300" t="n">
        <v>0.32</v>
      </c>
      <c r="L2300" t="n">
        <v>0.267</v>
      </c>
      <c r="M2300" t="n">
        <v>0.413</v>
      </c>
    </row>
    <row r="2301" spans="1:13">
      <c r="A2301" s="1">
        <f>HYPERLINK("http://www.twitter.com/NathanBLawrence/status/984765710831366145", "984765710831366145")</f>
        <v/>
      </c>
      <c r="B2301" s="2" t="n">
        <v>43203.50712962963</v>
      </c>
      <c r="C2301" t="n">
        <v>0</v>
      </c>
      <c r="D2301" t="n">
        <v>1618</v>
      </c>
      <c r="E2301" t="s">
        <v>2267</v>
      </c>
      <c r="F2301" t="s"/>
      <c r="G2301" t="s"/>
      <c r="H2301" t="s"/>
      <c r="I2301" t="s"/>
      <c r="J2301" t="n">
        <v>-0.5574</v>
      </c>
      <c r="K2301" t="n">
        <v>0.194</v>
      </c>
      <c r="L2301" t="n">
        <v>0.806</v>
      </c>
      <c r="M2301" t="n">
        <v>0</v>
      </c>
    </row>
    <row r="2302" spans="1:13">
      <c r="A2302" s="1">
        <f>HYPERLINK("http://www.twitter.com/NathanBLawrence/status/984765525350809601", "984765525350809601")</f>
        <v/>
      </c>
      <c r="B2302" s="2" t="n">
        <v>43203.5066087963</v>
      </c>
      <c r="C2302" t="n">
        <v>0</v>
      </c>
      <c r="D2302" t="n">
        <v>44</v>
      </c>
      <c r="E2302" t="s">
        <v>2268</v>
      </c>
      <c r="F2302" t="s"/>
      <c r="G2302" t="s"/>
      <c r="H2302" t="s"/>
      <c r="I2302" t="s"/>
      <c r="J2302" t="n">
        <v>-0.765</v>
      </c>
      <c r="K2302" t="n">
        <v>0.248</v>
      </c>
      <c r="L2302" t="n">
        <v>0.752</v>
      </c>
      <c r="M2302" t="n">
        <v>0</v>
      </c>
    </row>
    <row r="2303" spans="1:13">
      <c r="A2303" s="1">
        <f>HYPERLINK("http://www.twitter.com/NathanBLawrence/status/984756025680162816", "984756025680162816")</f>
        <v/>
      </c>
      <c r="B2303" s="2" t="n">
        <v>43203.4804050926</v>
      </c>
      <c r="C2303" t="n">
        <v>0</v>
      </c>
      <c r="D2303" t="n">
        <v>8237</v>
      </c>
      <c r="E2303" t="s">
        <v>2269</v>
      </c>
      <c r="F2303" t="s"/>
      <c r="G2303" t="s"/>
      <c r="H2303" t="s"/>
      <c r="I2303" t="s"/>
      <c r="J2303" t="n">
        <v>0.6369</v>
      </c>
      <c r="K2303" t="n">
        <v>0</v>
      </c>
      <c r="L2303" t="n">
        <v>0.704</v>
      </c>
      <c r="M2303" t="n">
        <v>0.296</v>
      </c>
    </row>
    <row r="2304" spans="1:13">
      <c r="A2304" s="1">
        <f>HYPERLINK("http://www.twitter.com/NathanBLawrence/status/984755972819341312", "984755972819341312")</f>
        <v/>
      </c>
      <c r="B2304" s="2" t="n">
        <v>43203.48025462963</v>
      </c>
      <c r="C2304" t="n">
        <v>0</v>
      </c>
      <c r="D2304" t="n">
        <v>458</v>
      </c>
      <c r="E2304" t="s">
        <v>2270</v>
      </c>
      <c r="F2304" t="s"/>
      <c r="G2304" t="s"/>
      <c r="H2304" t="s"/>
      <c r="I2304" t="s"/>
      <c r="J2304" t="n">
        <v>0</v>
      </c>
      <c r="K2304" t="n">
        <v>0</v>
      </c>
      <c r="L2304" t="n">
        <v>1</v>
      </c>
      <c r="M2304" t="n">
        <v>0</v>
      </c>
    </row>
    <row r="2305" spans="1:13">
      <c r="A2305" s="1">
        <f>HYPERLINK("http://www.twitter.com/NathanBLawrence/status/984755720469078016", "984755720469078016")</f>
        <v/>
      </c>
      <c r="B2305" s="2" t="n">
        <v>43203.47956018519</v>
      </c>
      <c r="C2305" t="n">
        <v>0</v>
      </c>
      <c r="D2305" t="n">
        <v>7</v>
      </c>
      <c r="E2305" t="s">
        <v>2271</v>
      </c>
      <c r="F2305" t="s"/>
      <c r="G2305" t="s"/>
      <c r="H2305" t="s"/>
      <c r="I2305" t="s"/>
      <c r="J2305" t="n">
        <v>-0.3612</v>
      </c>
      <c r="K2305" t="n">
        <v>0.13</v>
      </c>
      <c r="L2305" t="n">
        <v>0.794</v>
      </c>
      <c r="M2305" t="n">
        <v>0.076</v>
      </c>
    </row>
    <row r="2306" spans="1:13">
      <c r="A2306" s="1">
        <f>HYPERLINK("http://www.twitter.com/NathanBLawrence/status/984755270885789696", "984755270885789696")</f>
        <v/>
      </c>
      <c r="B2306" s="2" t="n">
        <v>43203.47832175926</v>
      </c>
      <c r="C2306" t="n">
        <v>0</v>
      </c>
      <c r="D2306" t="n">
        <v>3</v>
      </c>
      <c r="E2306" t="s">
        <v>2272</v>
      </c>
      <c r="F2306" t="s"/>
      <c r="G2306" t="s"/>
      <c r="H2306" t="s"/>
      <c r="I2306" t="s"/>
      <c r="J2306" t="n">
        <v>-0.6808</v>
      </c>
      <c r="K2306" t="n">
        <v>0.189</v>
      </c>
      <c r="L2306" t="n">
        <v>0.8110000000000001</v>
      </c>
      <c r="M2306" t="n">
        <v>0</v>
      </c>
    </row>
    <row r="2307" spans="1:13">
      <c r="A2307" s="1">
        <f>HYPERLINK("http://www.twitter.com/NathanBLawrence/status/984754964173152256", "984754964173152256")</f>
        <v/>
      </c>
      <c r="B2307" s="2" t="n">
        <v>43203.47746527778</v>
      </c>
      <c r="C2307" t="n">
        <v>0</v>
      </c>
      <c r="D2307" t="n">
        <v>6</v>
      </c>
      <c r="E2307" t="s">
        <v>2273</v>
      </c>
      <c r="F2307" t="s"/>
      <c r="G2307" t="s"/>
      <c r="H2307" t="s"/>
      <c r="I2307" t="s"/>
      <c r="J2307" t="n">
        <v>-0.1154</v>
      </c>
      <c r="K2307" t="n">
        <v>0.07099999999999999</v>
      </c>
      <c r="L2307" t="n">
        <v>0.929</v>
      </c>
      <c r="M2307" t="n">
        <v>0</v>
      </c>
    </row>
    <row r="2308" spans="1:13">
      <c r="A2308" s="1">
        <f>HYPERLINK("http://www.twitter.com/NathanBLawrence/status/984754915468808192", "984754915468808192")</f>
        <v/>
      </c>
      <c r="B2308" s="2" t="n">
        <v>43203.47733796296</v>
      </c>
      <c r="C2308" t="n">
        <v>0</v>
      </c>
      <c r="D2308" t="n">
        <v>5</v>
      </c>
      <c r="E2308" t="s">
        <v>2274</v>
      </c>
      <c r="F2308" t="s"/>
      <c r="G2308" t="s"/>
      <c r="H2308" t="s"/>
      <c r="I2308" t="s"/>
      <c r="J2308" t="n">
        <v>0</v>
      </c>
      <c r="K2308" t="n">
        <v>0</v>
      </c>
      <c r="L2308" t="n">
        <v>1</v>
      </c>
      <c r="M2308" t="n">
        <v>0</v>
      </c>
    </row>
    <row r="2309" spans="1:13">
      <c r="A2309" s="1">
        <f>HYPERLINK("http://www.twitter.com/NathanBLawrence/status/984754763534348289", "984754763534348289")</f>
        <v/>
      </c>
      <c r="B2309" s="2" t="n">
        <v>43203.47692129629</v>
      </c>
      <c r="C2309" t="n">
        <v>0</v>
      </c>
      <c r="D2309" t="n">
        <v>12</v>
      </c>
      <c r="E2309" t="s">
        <v>2275</v>
      </c>
      <c r="F2309">
        <f>HYPERLINK("http://pbs.twimg.com/media/DaqFAzPW4AAbT0C.jpg", "http://pbs.twimg.com/media/DaqFAzPW4AAbT0C.jpg")</f>
        <v/>
      </c>
      <c r="G2309" t="s"/>
      <c r="H2309" t="s"/>
      <c r="I2309" t="s"/>
      <c r="J2309" t="n">
        <v>-0.5327</v>
      </c>
      <c r="K2309" t="n">
        <v>0.163</v>
      </c>
      <c r="L2309" t="n">
        <v>0.792</v>
      </c>
      <c r="M2309" t="n">
        <v>0.045</v>
      </c>
    </row>
    <row r="2310" spans="1:13">
      <c r="A2310" s="1">
        <f>HYPERLINK("http://www.twitter.com/NathanBLawrence/status/984754716423925760", "984754716423925760")</f>
        <v/>
      </c>
      <c r="B2310" s="2" t="n">
        <v>43203.47678240741</v>
      </c>
      <c r="C2310" t="n">
        <v>0</v>
      </c>
      <c r="D2310" t="n">
        <v>10</v>
      </c>
      <c r="E2310" t="s">
        <v>2276</v>
      </c>
      <c r="F2310">
        <f>HYPERLINK("http://pbs.twimg.com/media/DaqI_4jVAAA-cd7.jpg", "http://pbs.twimg.com/media/DaqI_4jVAAA-cd7.jpg")</f>
        <v/>
      </c>
      <c r="G2310">
        <f>HYPERLINK("http://pbs.twimg.com/media/DaqI_4mVwAEf4A0.jpg", "http://pbs.twimg.com/media/DaqI_4mVwAEf4A0.jpg")</f>
        <v/>
      </c>
      <c r="H2310" t="s"/>
      <c r="I2310" t="s"/>
      <c r="J2310" t="n">
        <v>0.7213000000000001</v>
      </c>
      <c r="K2310" t="n">
        <v>0.06</v>
      </c>
      <c r="L2310" t="n">
        <v>0.737</v>
      </c>
      <c r="M2310" t="n">
        <v>0.203</v>
      </c>
    </row>
    <row r="2311" spans="1:13">
      <c r="A2311" s="1">
        <f>HYPERLINK("http://www.twitter.com/NathanBLawrence/status/984754663055675392", "984754663055675392")</f>
        <v/>
      </c>
      <c r="B2311" s="2" t="n">
        <v>43203.47664351852</v>
      </c>
      <c r="C2311" t="n">
        <v>0</v>
      </c>
      <c r="D2311" t="n">
        <v>6</v>
      </c>
      <c r="E2311" t="s">
        <v>2277</v>
      </c>
      <c r="F2311">
        <f>HYPERLINK("http://pbs.twimg.com/media/Dap2o-dWsAARbLa.jpg", "http://pbs.twimg.com/media/Dap2o-dWsAARbLa.jpg")</f>
        <v/>
      </c>
      <c r="G2311" t="s"/>
      <c r="H2311" t="s"/>
      <c r="I2311" t="s"/>
      <c r="J2311" t="n">
        <v>0.3612</v>
      </c>
      <c r="K2311" t="n">
        <v>0</v>
      </c>
      <c r="L2311" t="n">
        <v>0.894</v>
      </c>
      <c r="M2311" t="n">
        <v>0.106</v>
      </c>
    </row>
    <row r="2312" spans="1:13">
      <c r="A2312" s="1">
        <f>HYPERLINK("http://www.twitter.com/NathanBLawrence/status/984754625139150853", "984754625139150853")</f>
        <v/>
      </c>
      <c r="B2312" s="2" t="n">
        <v>43203.47653935185</v>
      </c>
      <c r="C2312" t="n">
        <v>0</v>
      </c>
      <c r="D2312" t="n">
        <v>9</v>
      </c>
      <c r="E2312" t="s">
        <v>2278</v>
      </c>
      <c r="F2312">
        <f>HYPERLINK("http://pbs.twimg.com/media/Dap1RiiXkAA5EUJ.jpg", "http://pbs.twimg.com/media/Dap1RiiXkAA5EUJ.jpg")</f>
        <v/>
      </c>
      <c r="G2312" t="s"/>
      <c r="H2312" t="s"/>
      <c r="I2312" t="s"/>
      <c r="J2312" t="n">
        <v>0.3182</v>
      </c>
      <c r="K2312" t="n">
        <v>0</v>
      </c>
      <c r="L2312" t="n">
        <v>0.919</v>
      </c>
      <c r="M2312" t="n">
        <v>0.081</v>
      </c>
    </row>
    <row r="2313" spans="1:13">
      <c r="A2313" s="1">
        <f>HYPERLINK("http://www.twitter.com/NathanBLawrence/status/984751229061525506", "984751229061525506")</f>
        <v/>
      </c>
      <c r="B2313" s="2" t="n">
        <v>43203.46716435185</v>
      </c>
      <c r="C2313" t="n">
        <v>0</v>
      </c>
      <c r="D2313" t="n">
        <v>9</v>
      </c>
      <c r="E2313" t="s">
        <v>2279</v>
      </c>
      <c r="F2313">
        <f>HYPERLINK("http://pbs.twimg.com/media/DapaXh1X0AA1kQu.jpg", "http://pbs.twimg.com/media/DapaXh1X0AA1kQu.jpg")</f>
        <v/>
      </c>
      <c r="G2313">
        <f>HYPERLINK("http://pbs.twimg.com/media/DapaXh2WsAArqaL.jpg", "http://pbs.twimg.com/media/DapaXh2WsAArqaL.jpg")</f>
        <v/>
      </c>
      <c r="H2313">
        <f>HYPERLINK("http://pbs.twimg.com/media/DapaXiIWAAAaZS8.jpg", "http://pbs.twimg.com/media/DapaXiIWAAAaZS8.jpg")</f>
        <v/>
      </c>
      <c r="I2313">
        <f>HYPERLINK("http://pbs.twimg.com/media/DapaXiDWAAAoK5z.jpg", "http://pbs.twimg.com/media/DapaXiDWAAAoK5z.jpg")</f>
        <v/>
      </c>
      <c r="J2313" t="n">
        <v>0</v>
      </c>
      <c r="K2313" t="n">
        <v>0</v>
      </c>
      <c r="L2313" t="n">
        <v>1</v>
      </c>
      <c r="M2313" t="n">
        <v>0</v>
      </c>
    </row>
    <row r="2314" spans="1:13">
      <c r="A2314" s="1">
        <f>HYPERLINK("http://www.twitter.com/NathanBLawrence/status/984688837598367744", "984688837598367744")</f>
        <v/>
      </c>
      <c r="B2314" s="2" t="n">
        <v>43203.295</v>
      </c>
      <c r="C2314" t="n">
        <v>0</v>
      </c>
      <c r="D2314" t="n">
        <v>0</v>
      </c>
      <c r="E2314" t="s">
        <v>2280</v>
      </c>
      <c r="F2314" t="s"/>
      <c r="G2314" t="s"/>
      <c r="H2314" t="s"/>
      <c r="I2314" t="s"/>
      <c r="J2314" t="n">
        <v>0.4215</v>
      </c>
      <c r="K2314" t="n">
        <v>0</v>
      </c>
      <c r="L2314" t="n">
        <v>0.263</v>
      </c>
      <c r="M2314" t="n">
        <v>0.737</v>
      </c>
    </row>
    <row r="2315" spans="1:13">
      <c r="A2315" s="1">
        <f>HYPERLINK("http://www.twitter.com/NathanBLawrence/status/984687312033501185", "984687312033501185")</f>
        <v/>
      </c>
      <c r="B2315" s="2" t="n">
        <v>43203.29078703704</v>
      </c>
      <c r="C2315" t="n">
        <v>0</v>
      </c>
      <c r="D2315" t="n">
        <v>0</v>
      </c>
      <c r="E2315" t="s">
        <v>2281</v>
      </c>
      <c r="F2315">
        <f>HYPERLINK("http://pbs.twimg.com/media/DapP4oDU0AAwQBx.jpg", "http://pbs.twimg.com/media/DapP4oDU0AAwQBx.jpg")</f>
        <v/>
      </c>
      <c r="G2315" t="s"/>
      <c r="H2315" t="s"/>
      <c r="I2315" t="s"/>
      <c r="J2315" t="n">
        <v>0</v>
      </c>
      <c r="K2315" t="n">
        <v>0</v>
      </c>
      <c r="L2315" t="n">
        <v>1</v>
      </c>
      <c r="M2315" t="n">
        <v>0</v>
      </c>
    </row>
    <row r="2316" spans="1:13">
      <c r="A2316" s="1">
        <f>HYPERLINK("http://www.twitter.com/NathanBLawrence/status/984687113290600448", "984687113290600448")</f>
        <v/>
      </c>
      <c r="B2316" s="2" t="n">
        <v>43203.29024305556</v>
      </c>
      <c r="C2316" t="n">
        <v>0</v>
      </c>
      <c r="D2316" t="n">
        <v>2</v>
      </c>
      <c r="E2316" t="s">
        <v>2282</v>
      </c>
      <c r="F2316" t="s"/>
      <c r="G2316" t="s"/>
      <c r="H2316" t="s"/>
      <c r="I2316" t="s"/>
      <c r="J2316" t="n">
        <v>0</v>
      </c>
      <c r="K2316" t="n">
        <v>0</v>
      </c>
      <c r="L2316" t="n">
        <v>1</v>
      </c>
      <c r="M2316" t="n">
        <v>0</v>
      </c>
    </row>
    <row r="2317" spans="1:13">
      <c r="A2317" s="1">
        <f>HYPERLINK("http://www.twitter.com/NathanBLawrence/status/984687099839500288", "984687099839500288")</f>
        <v/>
      </c>
      <c r="B2317" s="2" t="n">
        <v>43203.29019675926</v>
      </c>
      <c r="C2317" t="n">
        <v>0</v>
      </c>
      <c r="D2317" t="n">
        <v>1</v>
      </c>
      <c r="E2317" t="s">
        <v>2283</v>
      </c>
      <c r="F2317" t="s"/>
      <c r="G2317" t="s"/>
      <c r="H2317" t="s"/>
      <c r="I2317" t="s"/>
      <c r="J2317" t="n">
        <v>0</v>
      </c>
      <c r="K2317" t="n">
        <v>0</v>
      </c>
      <c r="L2317" t="n">
        <v>1</v>
      </c>
      <c r="M2317" t="n">
        <v>0</v>
      </c>
    </row>
    <row r="2318" spans="1:13">
      <c r="A2318" s="1">
        <f>HYPERLINK("http://www.twitter.com/NathanBLawrence/status/984687079706767360", "984687079706767360")</f>
        <v/>
      </c>
      <c r="B2318" s="2" t="n">
        <v>43203.29015046296</v>
      </c>
      <c r="C2318" t="n">
        <v>0</v>
      </c>
      <c r="D2318" t="n">
        <v>1</v>
      </c>
      <c r="E2318" t="s">
        <v>2284</v>
      </c>
      <c r="F2318" t="s"/>
      <c r="G2318" t="s"/>
      <c r="H2318" t="s"/>
      <c r="I2318" t="s"/>
      <c r="J2318" t="n">
        <v>-0.3612</v>
      </c>
      <c r="K2318" t="n">
        <v>0.098</v>
      </c>
      <c r="L2318" t="n">
        <v>0.902</v>
      </c>
      <c r="M2318" t="n">
        <v>0</v>
      </c>
    </row>
    <row r="2319" spans="1:13">
      <c r="A2319" s="1">
        <f>HYPERLINK("http://www.twitter.com/NathanBLawrence/status/984686944843071488", "984686944843071488")</f>
        <v/>
      </c>
      <c r="B2319" s="2" t="n">
        <v>43203.28976851852</v>
      </c>
      <c r="C2319" t="n">
        <v>0</v>
      </c>
      <c r="D2319" t="n">
        <v>1</v>
      </c>
      <c r="E2319" t="s">
        <v>2285</v>
      </c>
      <c r="F2319" t="s"/>
      <c r="G2319" t="s"/>
      <c r="H2319" t="s"/>
      <c r="I2319" t="s"/>
      <c r="J2319" t="n">
        <v>-0.7494</v>
      </c>
      <c r="K2319" t="n">
        <v>0.162</v>
      </c>
      <c r="L2319" t="n">
        <v>0.838</v>
      </c>
      <c r="M2319" t="n">
        <v>0</v>
      </c>
    </row>
    <row r="2320" spans="1:13">
      <c r="A2320" s="1">
        <f>HYPERLINK("http://www.twitter.com/NathanBLawrence/status/984685946212929538", "984685946212929538")</f>
        <v/>
      </c>
      <c r="B2320" s="2" t="n">
        <v>43203.28701388889</v>
      </c>
      <c r="C2320" t="n">
        <v>0</v>
      </c>
      <c r="D2320" t="n">
        <v>1</v>
      </c>
      <c r="E2320" t="s">
        <v>2286</v>
      </c>
      <c r="F2320" t="s"/>
      <c r="G2320" t="s"/>
      <c r="H2320" t="s"/>
      <c r="I2320" t="s"/>
      <c r="J2320" t="n">
        <v>0</v>
      </c>
      <c r="K2320" t="n">
        <v>0</v>
      </c>
      <c r="L2320" t="n">
        <v>1</v>
      </c>
      <c r="M2320" t="n">
        <v>0</v>
      </c>
    </row>
    <row r="2321" spans="1:13">
      <c r="A2321" s="1">
        <f>HYPERLINK("http://www.twitter.com/NathanBLawrence/status/984685928718454785", "984685928718454785")</f>
        <v/>
      </c>
      <c r="B2321" s="2" t="n">
        <v>43203.28696759259</v>
      </c>
      <c r="C2321" t="n">
        <v>0</v>
      </c>
      <c r="D2321" t="n">
        <v>2</v>
      </c>
      <c r="E2321" t="s">
        <v>2287</v>
      </c>
      <c r="F2321" t="s"/>
      <c r="G2321" t="s"/>
      <c r="H2321" t="s"/>
      <c r="I2321" t="s"/>
      <c r="J2321" t="n">
        <v>-0.836</v>
      </c>
      <c r="K2321" t="n">
        <v>0.319</v>
      </c>
      <c r="L2321" t="n">
        <v>0.681</v>
      </c>
      <c r="M2321" t="n">
        <v>0</v>
      </c>
    </row>
    <row r="2322" spans="1:13">
      <c r="A2322" s="1">
        <f>HYPERLINK("http://www.twitter.com/NathanBLawrence/status/984685907600166912", "984685907600166912")</f>
        <v/>
      </c>
      <c r="B2322" s="2" t="n">
        <v>43203.28690972222</v>
      </c>
      <c r="C2322" t="n">
        <v>0</v>
      </c>
      <c r="D2322" t="n">
        <v>3</v>
      </c>
      <c r="E2322" t="s">
        <v>2288</v>
      </c>
      <c r="F2322" t="s"/>
      <c r="G2322" t="s"/>
      <c r="H2322" t="s"/>
      <c r="I2322" t="s"/>
      <c r="J2322" t="n">
        <v>-0.128</v>
      </c>
      <c r="K2322" t="n">
        <v>0.07000000000000001</v>
      </c>
      <c r="L2322" t="n">
        <v>0.93</v>
      </c>
      <c r="M2322" t="n">
        <v>0</v>
      </c>
    </row>
    <row r="2323" spans="1:13">
      <c r="A2323" s="1">
        <f>HYPERLINK("http://www.twitter.com/NathanBLawrence/status/984685882967052288", "984685882967052288")</f>
        <v/>
      </c>
      <c r="B2323" s="2" t="n">
        <v>43203.28684027777</v>
      </c>
      <c r="C2323" t="n">
        <v>0</v>
      </c>
      <c r="D2323" t="n">
        <v>3</v>
      </c>
      <c r="E2323" t="s">
        <v>2289</v>
      </c>
      <c r="F2323" t="s"/>
      <c r="G2323" t="s"/>
      <c r="H2323" t="s"/>
      <c r="I2323" t="s"/>
      <c r="J2323" t="n">
        <v>0</v>
      </c>
      <c r="K2323" t="n">
        <v>0</v>
      </c>
      <c r="L2323" t="n">
        <v>1</v>
      </c>
      <c r="M2323" t="n">
        <v>0</v>
      </c>
    </row>
    <row r="2324" spans="1:13">
      <c r="A2324" s="1">
        <f>HYPERLINK("http://www.twitter.com/NathanBLawrence/status/984685699554213888", "984685699554213888")</f>
        <v/>
      </c>
      <c r="B2324" s="2" t="n">
        <v>43203.28634259259</v>
      </c>
      <c r="C2324" t="n">
        <v>0</v>
      </c>
      <c r="D2324" t="n">
        <v>0</v>
      </c>
      <c r="E2324" t="s">
        <v>2290</v>
      </c>
      <c r="F2324">
        <f>HYPERLINK("http://pbs.twimg.com/media/DapObAaU0AA9Fl3.jpg", "http://pbs.twimg.com/media/DapObAaU0AA9Fl3.jpg")</f>
        <v/>
      </c>
      <c r="G2324">
        <f>HYPERLINK("http://pbs.twimg.com/media/DapObKTUQAAymPj.jpg", "http://pbs.twimg.com/media/DapObKTUQAAymPj.jpg")</f>
        <v/>
      </c>
      <c r="H2324" t="s"/>
      <c r="I2324" t="s"/>
      <c r="J2324" t="n">
        <v>-0.296</v>
      </c>
      <c r="K2324" t="n">
        <v>0.167</v>
      </c>
      <c r="L2324" t="n">
        <v>0.833</v>
      </c>
      <c r="M2324" t="n">
        <v>0</v>
      </c>
    </row>
    <row r="2325" spans="1:13">
      <c r="A2325" s="1">
        <f>HYPERLINK("http://www.twitter.com/NathanBLawrence/status/984685387279945728", "984685387279945728")</f>
        <v/>
      </c>
      <c r="B2325" s="2" t="n">
        <v>43203.28547453704</v>
      </c>
      <c r="C2325" t="n">
        <v>0</v>
      </c>
      <c r="D2325" t="n">
        <v>2</v>
      </c>
      <c r="E2325" t="s">
        <v>2291</v>
      </c>
      <c r="F2325" t="s"/>
      <c r="G2325" t="s"/>
      <c r="H2325" t="s"/>
      <c r="I2325" t="s"/>
      <c r="J2325" t="n">
        <v>-0.4215</v>
      </c>
      <c r="K2325" t="n">
        <v>0.128</v>
      </c>
      <c r="L2325" t="n">
        <v>0.872</v>
      </c>
      <c r="M2325" t="n">
        <v>0</v>
      </c>
    </row>
    <row r="2326" spans="1:13">
      <c r="A2326" s="1">
        <f>HYPERLINK("http://www.twitter.com/NathanBLawrence/status/984685295777058816", "984685295777058816")</f>
        <v/>
      </c>
      <c r="B2326" s="2" t="n">
        <v>43203.2852199074</v>
      </c>
      <c r="C2326" t="n">
        <v>0</v>
      </c>
      <c r="D2326" t="n">
        <v>2</v>
      </c>
      <c r="E2326" t="s">
        <v>2292</v>
      </c>
      <c r="F2326" t="s"/>
      <c r="G2326" t="s"/>
      <c r="H2326" t="s"/>
      <c r="I2326" t="s"/>
      <c r="J2326" t="n">
        <v>0.4926</v>
      </c>
      <c r="K2326" t="n">
        <v>0</v>
      </c>
      <c r="L2326" t="n">
        <v>0.873</v>
      </c>
      <c r="M2326" t="n">
        <v>0.127</v>
      </c>
    </row>
    <row r="2327" spans="1:13">
      <c r="A2327" s="1">
        <f>HYPERLINK("http://www.twitter.com/NathanBLawrence/status/984685263719976960", "984685263719976960")</f>
        <v/>
      </c>
      <c r="B2327" s="2" t="n">
        <v>43203.28513888889</v>
      </c>
      <c r="C2327" t="n">
        <v>0</v>
      </c>
      <c r="D2327" t="n">
        <v>1</v>
      </c>
      <c r="E2327" t="s">
        <v>2293</v>
      </c>
      <c r="F2327" t="s"/>
      <c r="G2327" t="s"/>
      <c r="H2327" t="s"/>
      <c r="I2327" t="s"/>
      <c r="J2327" t="n">
        <v>-0.4912</v>
      </c>
      <c r="K2327" t="n">
        <v>0.144</v>
      </c>
      <c r="L2327" t="n">
        <v>0.856</v>
      </c>
      <c r="M2327" t="n">
        <v>0</v>
      </c>
    </row>
    <row r="2328" spans="1:13">
      <c r="A2328" s="1">
        <f>HYPERLINK("http://www.twitter.com/NathanBLawrence/status/984685122820755456", "984685122820755456")</f>
        <v/>
      </c>
      <c r="B2328" s="2" t="n">
        <v>43203.28474537037</v>
      </c>
      <c r="C2328" t="n">
        <v>0</v>
      </c>
      <c r="D2328" t="n">
        <v>1</v>
      </c>
      <c r="E2328" t="s">
        <v>2294</v>
      </c>
      <c r="F2328" t="s"/>
      <c r="G2328" t="s"/>
      <c r="H2328" t="s"/>
      <c r="I2328" t="s"/>
      <c r="J2328" t="n">
        <v>-0.7717000000000001</v>
      </c>
      <c r="K2328" t="n">
        <v>0.325</v>
      </c>
      <c r="L2328" t="n">
        <v>0.675</v>
      </c>
      <c r="M2328" t="n">
        <v>0</v>
      </c>
    </row>
    <row r="2329" spans="1:13">
      <c r="A2329" s="1">
        <f>HYPERLINK("http://www.twitter.com/NathanBLawrence/status/984685087240409090", "984685087240409090")</f>
        <v/>
      </c>
      <c r="B2329" s="2" t="n">
        <v>43203.28465277778</v>
      </c>
      <c r="C2329" t="n">
        <v>0</v>
      </c>
      <c r="D2329" t="n">
        <v>1</v>
      </c>
      <c r="E2329" t="s">
        <v>2295</v>
      </c>
      <c r="F2329">
        <f>HYPERLINK("http://pbs.twimg.com/media/DaozppsWsAEcmcB.jpg", "http://pbs.twimg.com/media/DaozppsWsAEcmcB.jpg")</f>
        <v/>
      </c>
      <c r="G2329" t="s"/>
      <c r="H2329" t="s"/>
      <c r="I2329" t="s"/>
      <c r="J2329" t="n">
        <v>-0.8957000000000001</v>
      </c>
      <c r="K2329" t="n">
        <v>0.362</v>
      </c>
      <c r="L2329" t="n">
        <v>0.638</v>
      </c>
      <c r="M2329" t="n">
        <v>0</v>
      </c>
    </row>
    <row r="2330" spans="1:13">
      <c r="A2330" s="1">
        <f>HYPERLINK("http://www.twitter.com/NathanBLawrence/status/984685057066569728", "984685057066569728")</f>
        <v/>
      </c>
      <c r="B2330" s="2" t="n">
        <v>43203.28456018519</v>
      </c>
      <c r="C2330" t="n">
        <v>0</v>
      </c>
      <c r="D2330" t="n">
        <v>3</v>
      </c>
      <c r="E2330" t="s">
        <v>2296</v>
      </c>
      <c r="F2330" t="s"/>
      <c r="G2330" t="s"/>
      <c r="H2330" t="s"/>
      <c r="I2330" t="s"/>
      <c r="J2330" t="n">
        <v>-0.2244</v>
      </c>
      <c r="K2330" t="n">
        <v>0.191</v>
      </c>
      <c r="L2330" t="n">
        <v>0.8090000000000001</v>
      </c>
      <c r="M2330" t="n">
        <v>0</v>
      </c>
    </row>
    <row r="2331" spans="1:13">
      <c r="A2331" s="1">
        <f>HYPERLINK("http://www.twitter.com/NathanBLawrence/status/984685042256531456", "984685042256531456")</f>
        <v/>
      </c>
      <c r="B2331" s="2" t="n">
        <v>43203.28452546296</v>
      </c>
      <c r="C2331" t="n">
        <v>0</v>
      </c>
      <c r="D2331" t="n">
        <v>3</v>
      </c>
      <c r="E2331" t="s">
        <v>2297</v>
      </c>
      <c r="F2331" t="s"/>
      <c r="G2331" t="s"/>
      <c r="H2331" t="s"/>
      <c r="I2331" t="s"/>
      <c r="J2331" t="n">
        <v>-0.5448</v>
      </c>
      <c r="K2331" t="n">
        <v>0.177</v>
      </c>
      <c r="L2331" t="n">
        <v>0.823</v>
      </c>
      <c r="M2331" t="n">
        <v>0</v>
      </c>
    </row>
    <row r="2332" spans="1:13">
      <c r="A2332" s="1">
        <f>HYPERLINK("http://www.twitter.com/NathanBLawrence/status/984685013437419520", "984685013437419520")</f>
        <v/>
      </c>
      <c r="B2332" s="2" t="n">
        <v>43203.28444444444</v>
      </c>
      <c r="C2332" t="n">
        <v>0</v>
      </c>
      <c r="D2332" t="n">
        <v>9</v>
      </c>
      <c r="E2332" t="s">
        <v>2298</v>
      </c>
      <c r="F2332" t="s"/>
      <c r="G2332" t="s"/>
      <c r="H2332" t="s"/>
      <c r="I2332" t="s"/>
      <c r="J2332" t="n">
        <v>-0.34</v>
      </c>
      <c r="K2332" t="n">
        <v>0.112</v>
      </c>
      <c r="L2332" t="n">
        <v>0.888</v>
      </c>
      <c r="M2332" t="n">
        <v>0</v>
      </c>
    </row>
    <row r="2333" spans="1:13">
      <c r="A2333" s="1">
        <f>HYPERLINK("http://www.twitter.com/NathanBLawrence/status/984684693713977345", "984684693713977345")</f>
        <v/>
      </c>
      <c r="B2333" s="2" t="n">
        <v>43203.28356481482</v>
      </c>
      <c r="C2333" t="n">
        <v>0</v>
      </c>
      <c r="D2333" t="n">
        <v>0</v>
      </c>
      <c r="E2333" t="s">
        <v>2299</v>
      </c>
      <c r="F2333">
        <f>HYPERLINK("http://pbs.twimg.com/media/DapNgZWUMAA2xOa.jpg", "http://pbs.twimg.com/media/DapNgZWUMAA2xOa.jpg")</f>
        <v/>
      </c>
      <c r="G2333" t="s"/>
      <c r="H2333" t="s"/>
      <c r="I2333" t="s"/>
      <c r="J2333" t="n">
        <v>0</v>
      </c>
      <c r="K2333" t="n">
        <v>0</v>
      </c>
      <c r="L2333" t="n">
        <v>1</v>
      </c>
      <c r="M2333" t="n">
        <v>0</v>
      </c>
    </row>
    <row r="2334" spans="1:13">
      <c r="A2334" s="1">
        <f>HYPERLINK("http://www.twitter.com/NathanBLawrence/status/984684549241233408", "984684549241233408")</f>
        <v/>
      </c>
      <c r="B2334" s="2" t="n">
        <v>43203.28315972222</v>
      </c>
      <c r="C2334" t="n">
        <v>0</v>
      </c>
      <c r="D2334" t="n">
        <v>0</v>
      </c>
      <c r="E2334" t="s">
        <v>2300</v>
      </c>
      <c r="F2334">
        <f>HYPERLINK("http://pbs.twimg.com/media/DapNXq_UMAA3e03.jpg", "http://pbs.twimg.com/media/DapNXq_UMAA3e03.jpg")</f>
        <v/>
      </c>
      <c r="G2334" t="s"/>
      <c r="H2334" t="s"/>
      <c r="I2334" t="s"/>
      <c r="J2334" t="n">
        <v>-0.5067</v>
      </c>
      <c r="K2334" t="n">
        <v>0.19</v>
      </c>
      <c r="L2334" t="n">
        <v>0.8100000000000001</v>
      </c>
      <c r="M2334" t="n">
        <v>0</v>
      </c>
    </row>
    <row r="2335" spans="1:13">
      <c r="A2335" s="1">
        <f>HYPERLINK("http://www.twitter.com/NathanBLawrence/status/984683590255509504", "984683590255509504")</f>
        <v/>
      </c>
      <c r="B2335" s="2" t="n">
        <v>43203.28052083333</v>
      </c>
      <c r="C2335" t="n">
        <v>0</v>
      </c>
      <c r="D2335" t="n">
        <v>5</v>
      </c>
      <c r="E2335" t="s">
        <v>2301</v>
      </c>
      <c r="F2335" t="s"/>
      <c r="G2335" t="s"/>
      <c r="H2335" t="s"/>
      <c r="I2335" t="s"/>
      <c r="J2335" t="n">
        <v>-0.4215</v>
      </c>
      <c r="K2335" t="n">
        <v>0.205</v>
      </c>
      <c r="L2335" t="n">
        <v>0.698</v>
      </c>
      <c r="M2335" t="n">
        <v>0.097</v>
      </c>
    </row>
    <row r="2336" spans="1:13">
      <c r="A2336" s="1">
        <f>HYPERLINK("http://www.twitter.com/NathanBLawrence/status/984683534727241728", "984683534727241728")</f>
        <v/>
      </c>
      <c r="B2336" s="2" t="n">
        <v>43203.2803587963</v>
      </c>
      <c r="C2336" t="n">
        <v>0</v>
      </c>
      <c r="D2336" t="n">
        <v>1</v>
      </c>
      <c r="E2336" t="s">
        <v>2302</v>
      </c>
      <c r="F2336" t="s"/>
      <c r="G2336" t="s"/>
      <c r="H2336" t="s"/>
      <c r="I2336" t="s"/>
      <c r="J2336" t="n">
        <v>-0.6908</v>
      </c>
      <c r="K2336" t="n">
        <v>0.36</v>
      </c>
      <c r="L2336" t="n">
        <v>0.533</v>
      </c>
      <c r="M2336" t="n">
        <v>0.107</v>
      </c>
    </row>
    <row r="2337" spans="1:13">
      <c r="A2337" s="1">
        <f>HYPERLINK("http://www.twitter.com/NathanBLawrence/status/984683501881618432", "984683501881618432")</f>
        <v/>
      </c>
      <c r="B2337" s="2" t="n">
        <v>43203.28027777778</v>
      </c>
      <c r="C2337" t="n">
        <v>0</v>
      </c>
      <c r="D2337" t="n">
        <v>1</v>
      </c>
      <c r="E2337" t="s">
        <v>2303</v>
      </c>
      <c r="F2337" t="s"/>
      <c r="G2337" t="s"/>
      <c r="H2337" t="s"/>
      <c r="I2337" t="s"/>
      <c r="J2337" t="n">
        <v>0.3818</v>
      </c>
      <c r="K2337" t="n">
        <v>0.064</v>
      </c>
      <c r="L2337" t="n">
        <v>0.833</v>
      </c>
      <c r="M2337" t="n">
        <v>0.103</v>
      </c>
    </row>
    <row r="2338" spans="1:13">
      <c r="A2338" s="1">
        <f>HYPERLINK("http://www.twitter.com/NathanBLawrence/status/984682298498060288", "984682298498060288")</f>
        <v/>
      </c>
      <c r="B2338" s="2" t="n">
        <v>43203.27695601852</v>
      </c>
      <c r="C2338" t="n">
        <v>0</v>
      </c>
      <c r="D2338" t="n">
        <v>3</v>
      </c>
      <c r="E2338" t="s">
        <v>2304</v>
      </c>
      <c r="F2338" t="s"/>
      <c r="G2338" t="s"/>
      <c r="H2338" t="s"/>
      <c r="I2338" t="s"/>
      <c r="J2338" t="n">
        <v>0</v>
      </c>
      <c r="K2338" t="n">
        <v>0</v>
      </c>
      <c r="L2338" t="n">
        <v>1</v>
      </c>
      <c r="M2338" t="n">
        <v>0</v>
      </c>
    </row>
    <row r="2339" spans="1:13">
      <c r="A2339" s="1">
        <f>HYPERLINK("http://www.twitter.com/NathanBLawrence/status/984682188447809536", "984682188447809536")</f>
        <v/>
      </c>
      <c r="B2339" s="2" t="n">
        <v>43203.27664351852</v>
      </c>
      <c r="C2339" t="n">
        <v>0</v>
      </c>
      <c r="D2339" t="n">
        <v>4</v>
      </c>
      <c r="E2339" t="s">
        <v>2305</v>
      </c>
      <c r="F2339" t="s"/>
      <c r="G2339" t="s"/>
      <c r="H2339" t="s"/>
      <c r="I2339" t="s"/>
      <c r="J2339" t="n">
        <v>-0.3612</v>
      </c>
      <c r="K2339" t="n">
        <v>0.111</v>
      </c>
      <c r="L2339" t="n">
        <v>0.889</v>
      </c>
      <c r="M2339" t="n">
        <v>0</v>
      </c>
    </row>
    <row r="2340" spans="1:13">
      <c r="A2340" s="1">
        <f>HYPERLINK("http://www.twitter.com/NathanBLawrence/status/984682175374217216", "984682175374217216")</f>
        <v/>
      </c>
      <c r="B2340" s="2" t="n">
        <v>43203.2766087963</v>
      </c>
      <c r="C2340" t="n">
        <v>0</v>
      </c>
      <c r="D2340" t="n">
        <v>4</v>
      </c>
      <c r="E2340" t="s">
        <v>2306</v>
      </c>
      <c r="F2340" t="s"/>
      <c r="G2340" t="s"/>
      <c r="H2340" t="s"/>
      <c r="I2340" t="s"/>
      <c r="J2340" t="n">
        <v>-0.3939</v>
      </c>
      <c r="K2340" t="n">
        <v>0.117</v>
      </c>
      <c r="L2340" t="n">
        <v>0.883</v>
      </c>
      <c r="M2340" t="n">
        <v>0</v>
      </c>
    </row>
    <row r="2341" spans="1:13">
      <c r="A2341" s="1">
        <f>HYPERLINK("http://www.twitter.com/NathanBLawrence/status/984682150241951744", "984682150241951744")</f>
        <v/>
      </c>
      <c r="B2341" s="2" t="n">
        <v>43203.27653935185</v>
      </c>
      <c r="C2341" t="n">
        <v>0</v>
      </c>
      <c r="D2341" t="n">
        <v>4</v>
      </c>
      <c r="E2341" t="s">
        <v>2307</v>
      </c>
      <c r="F2341" t="s"/>
      <c r="G2341" t="s"/>
      <c r="H2341" t="s"/>
      <c r="I2341" t="s"/>
      <c r="J2341" t="n">
        <v>-0.5106000000000001</v>
      </c>
      <c r="K2341" t="n">
        <v>0.148</v>
      </c>
      <c r="L2341" t="n">
        <v>0.852</v>
      </c>
      <c r="M2341" t="n">
        <v>0</v>
      </c>
    </row>
    <row r="2342" spans="1:13">
      <c r="A2342" s="1">
        <f>HYPERLINK("http://www.twitter.com/NathanBLawrence/status/984682138426593281", "984682138426593281")</f>
        <v/>
      </c>
      <c r="B2342" s="2" t="n">
        <v>43203.27650462963</v>
      </c>
      <c r="C2342" t="n">
        <v>0</v>
      </c>
      <c r="D2342" t="n">
        <v>4</v>
      </c>
      <c r="E2342" t="s">
        <v>2308</v>
      </c>
      <c r="F2342" t="s"/>
      <c r="G2342" t="s"/>
      <c r="H2342" t="s"/>
      <c r="I2342" t="s"/>
      <c r="J2342" t="n">
        <v>0</v>
      </c>
      <c r="K2342" t="n">
        <v>0</v>
      </c>
      <c r="L2342" t="n">
        <v>1</v>
      </c>
      <c r="M2342" t="n">
        <v>0</v>
      </c>
    </row>
    <row r="2343" spans="1:13">
      <c r="A2343" s="1">
        <f>HYPERLINK("http://www.twitter.com/NathanBLawrence/status/984682131963203584", "984682131963203584")</f>
        <v/>
      </c>
      <c r="B2343" s="2" t="n">
        <v>43203.27649305556</v>
      </c>
      <c r="C2343" t="n">
        <v>0</v>
      </c>
      <c r="D2343" t="n">
        <v>4</v>
      </c>
      <c r="E2343" t="s">
        <v>2309</v>
      </c>
      <c r="F2343" t="s"/>
      <c r="G2343" t="s"/>
      <c r="H2343" t="s"/>
      <c r="I2343" t="s"/>
      <c r="J2343" t="n">
        <v>-0.5473</v>
      </c>
      <c r="K2343" t="n">
        <v>0.268</v>
      </c>
      <c r="L2343" t="n">
        <v>0.578</v>
      </c>
      <c r="M2343" t="n">
        <v>0.154</v>
      </c>
    </row>
    <row r="2344" spans="1:13">
      <c r="A2344" s="1">
        <f>HYPERLINK("http://www.twitter.com/NathanBLawrence/status/984682093736325121", "984682093736325121")</f>
        <v/>
      </c>
      <c r="B2344" s="2" t="n">
        <v>43203.27638888889</v>
      </c>
      <c r="C2344" t="n">
        <v>0</v>
      </c>
      <c r="D2344" t="n">
        <v>5</v>
      </c>
      <c r="E2344" t="s">
        <v>2310</v>
      </c>
      <c r="F2344">
        <f>HYPERLINK("http://pbs.twimg.com/media/Danr3lOXUAEkCuo.jpg", "http://pbs.twimg.com/media/Danr3lOXUAEkCuo.jpg")</f>
        <v/>
      </c>
      <c r="G2344" t="s"/>
      <c r="H2344" t="s"/>
      <c r="I2344" t="s"/>
      <c r="J2344" t="n">
        <v>-0.4215</v>
      </c>
      <c r="K2344" t="n">
        <v>0.141</v>
      </c>
      <c r="L2344" t="n">
        <v>0.859</v>
      </c>
      <c r="M2344" t="n">
        <v>0</v>
      </c>
    </row>
    <row r="2345" spans="1:13">
      <c r="A2345" s="1">
        <f>HYPERLINK("http://www.twitter.com/NathanBLawrence/status/984681963679354880", "984681963679354880")</f>
        <v/>
      </c>
      <c r="B2345" s="2" t="n">
        <v>43203.27603009259</v>
      </c>
      <c r="C2345" t="n">
        <v>0</v>
      </c>
      <c r="D2345" t="n">
        <v>0</v>
      </c>
      <c r="E2345" t="s">
        <v>2311</v>
      </c>
      <c r="F2345">
        <f>HYPERLINK("http://pbs.twimg.com/media/DapLAZgVAAA6d4i.jpg", "http://pbs.twimg.com/media/DapLAZgVAAA6d4i.jpg")</f>
        <v/>
      </c>
      <c r="G2345" t="s"/>
      <c r="H2345" t="s"/>
      <c r="I2345" t="s"/>
      <c r="J2345" t="n">
        <v>0.2619</v>
      </c>
      <c r="K2345" t="n">
        <v>0.107</v>
      </c>
      <c r="L2345" t="n">
        <v>0.755</v>
      </c>
      <c r="M2345" t="n">
        <v>0.138</v>
      </c>
    </row>
    <row r="2346" spans="1:13">
      <c r="A2346" s="1">
        <f>HYPERLINK("http://www.twitter.com/NathanBLawrence/status/984681571071545345", "984681571071545345")</f>
        <v/>
      </c>
      <c r="B2346" s="2" t="n">
        <v>43203.27494212963</v>
      </c>
      <c r="C2346" t="n">
        <v>0</v>
      </c>
      <c r="D2346" t="n">
        <v>0</v>
      </c>
      <c r="E2346" t="s">
        <v>2312</v>
      </c>
      <c r="F2346" t="s"/>
      <c r="G2346" t="s"/>
      <c r="H2346" t="s"/>
      <c r="I2346" t="s"/>
      <c r="J2346" t="n">
        <v>0</v>
      </c>
      <c r="K2346" t="n">
        <v>0</v>
      </c>
      <c r="L2346" t="n">
        <v>1</v>
      </c>
      <c r="M2346" t="n">
        <v>0</v>
      </c>
    </row>
    <row r="2347" spans="1:13">
      <c r="A2347" s="1">
        <f>HYPERLINK("http://www.twitter.com/NathanBLawrence/status/984681550074740737", "984681550074740737")</f>
        <v/>
      </c>
      <c r="B2347" s="2" t="n">
        <v>43203.27488425926</v>
      </c>
      <c r="C2347" t="n">
        <v>0</v>
      </c>
      <c r="D2347" t="n">
        <v>1</v>
      </c>
      <c r="E2347" t="s">
        <v>2313</v>
      </c>
      <c r="F2347" t="s"/>
      <c r="G2347" t="s"/>
      <c r="H2347" t="s"/>
      <c r="I2347" t="s"/>
      <c r="J2347" t="n">
        <v>0.3818</v>
      </c>
      <c r="K2347" t="n">
        <v>0</v>
      </c>
      <c r="L2347" t="n">
        <v>0.902</v>
      </c>
      <c r="M2347" t="n">
        <v>0.098</v>
      </c>
    </row>
    <row r="2348" spans="1:13">
      <c r="A2348" s="1">
        <f>HYPERLINK("http://www.twitter.com/NathanBLawrence/status/984681456906665984", "984681456906665984")</f>
        <v/>
      </c>
      <c r="B2348" s="2" t="n">
        <v>43203.27462962963</v>
      </c>
      <c r="C2348" t="n">
        <v>0</v>
      </c>
      <c r="D2348" t="n">
        <v>1</v>
      </c>
      <c r="E2348" t="s">
        <v>2314</v>
      </c>
      <c r="F2348" t="s"/>
      <c r="G2348" t="s"/>
      <c r="H2348" t="s"/>
      <c r="I2348" t="s"/>
      <c r="J2348" t="n">
        <v>0</v>
      </c>
      <c r="K2348" t="n">
        <v>0</v>
      </c>
      <c r="L2348" t="n">
        <v>1</v>
      </c>
      <c r="M2348" t="n">
        <v>0</v>
      </c>
    </row>
    <row r="2349" spans="1:13">
      <c r="A2349" s="1">
        <f>HYPERLINK("http://www.twitter.com/NathanBLawrence/status/984681368524414976", "984681368524414976")</f>
        <v/>
      </c>
      <c r="B2349" s="2" t="n">
        <v>43203.27438657408</v>
      </c>
      <c r="C2349" t="n">
        <v>0</v>
      </c>
      <c r="D2349" t="n">
        <v>0</v>
      </c>
      <c r="E2349" t="s">
        <v>2315</v>
      </c>
      <c r="F2349" t="s"/>
      <c r="G2349" t="s"/>
      <c r="H2349" t="s"/>
      <c r="I2349" t="s"/>
      <c r="J2349" t="n">
        <v>0.5987</v>
      </c>
      <c r="K2349" t="n">
        <v>0.111</v>
      </c>
      <c r="L2349" t="n">
        <v>0.571</v>
      </c>
      <c r="M2349" t="n">
        <v>0.318</v>
      </c>
    </row>
    <row r="2350" spans="1:13">
      <c r="A2350" s="1">
        <f>HYPERLINK("http://www.twitter.com/NathanBLawrence/status/984681186919411712", "984681186919411712")</f>
        <v/>
      </c>
      <c r="B2350" s="2" t="n">
        <v>43203.27388888889</v>
      </c>
      <c r="C2350" t="n">
        <v>0</v>
      </c>
      <c r="D2350" t="n">
        <v>6</v>
      </c>
      <c r="E2350" t="s">
        <v>2316</v>
      </c>
      <c r="F2350" t="s"/>
      <c r="G2350" t="s"/>
      <c r="H2350" t="s"/>
      <c r="I2350" t="s"/>
      <c r="J2350" t="n">
        <v>0</v>
      </c>
      <c r="K2350" t="n">
        <v>0</v>
      </c>
      <c r="L2350" t="n">
        <v>1</v>
      </c>
      <c r="M2350" t="n">
        <v>0</v>
      </c>
    </row>
    <row r="2351" spans="1:13">
      <c r="A2351" s="1">
        <f>HYPERLINK("http://www.twitter.com/NathanBLawrence/status/984681132301021184", "984681132301021184")</f>
        <v/>
      </c>
      <c r="B2351" s="2" t="n">
        <v>43203.27373842592</v>
      </c>
      <c r="C2351" t="n">
        <v>0</v>
      </c>
      <c r="D2351" t="n">
        <v>7</v>
      </c>
      <c r="E2351" t="s">
        <v>2317</v>
      </c>
      <c r="F2351" t="s"/>
      <c r="G2351" t="s"/>
      <c r="H2351" t="s"/>
      <c r="I2351" t="s"/>
      <c r="J2351" t="n">
        <v>0</v>
      </c>
      <c r="K2351" t="n">
        <v>0</v>
      </c>
      <c r="L2351" t="n">
        <v>1</v>
      </c>
      <c r="M2351" t="n">
        <v>0</v>
      </c>
    </row>
    <row r="2352" spans="1:13">
      <c r="A2352" s="1">
        <f>HYPERLINK("http://www.twitter.com/NathanBLawrence/status/984681109513490432", "984681109513490432")</f>
        <v/>
      </c>
      <c r="B2352" s="2" t="n">
        <v>43203.27366898148</v>
      </c>
      <c r="C2352" t="n">
        <v>0</v>
      </c>
      <c r="D2352" t="n">
        <v>4</v>
      </c>
      <c r="E2352" t="s">
        <v>2318</v>
      </c>
      <c r="F2352" t="s"/>
      <c r="G2352" t="s"/>
      <c r="H2352" t="s"/>
      <c r="I2352" t="s"/>
      <c r="J2352" t="n">
        <v>0</v>
      </c>
      <c r="K2352" t="n">
        <v>0</v>
      </c>
      <c r="L2352" t="n">
        <v>1</v>
      </c>
      <c r="M2352" t="n">
        <v>0</v>
      </c>
    </row>
    <row r="2353" spans="1:13">
      <c r="A2353" s="1">
        <f>HYPERLINK("http://www.twitter.com/NathanBLawrence/status/984681082447687680", "984681082447687680")</f>
        <v/>
      </c>
      <c r="B2353" s="2" t="n">
        <v>43203.27359953704</v>
      </c>
      <c r="C2353" t="n">
        <v>0</v>
      </c>
      <c r="D2353" t="n">
        <v>6</v>
      </c>
      <c r="E2353" t="s">
        <v>2319</v>
      </c>
      <c r="F2353">
        <f>HYPERLINK("http://pbs.twimg.com/media/Danydz7WAAEr8AC.jpg", "http://pbs.twimg.com/media/Danydz7WAAEr8AC.jpg")</f>
        <v/>
      </c>
      <c r="G2353" t="s"/>
      <c r="H2353" t="s"/>
      <c r="I2353" t="s"/>
      <c r="J2353" t="n">
        <v>0</v>
      </c>
      <c r="K2353" t="n">
        <v>0</v>
      </c>
      <c r="L2353" t="n">
        <v>1</v>
      </c>
      <c r="M2353" t="n">
        <v>0</v>
      </c>
    </row>
    <row r="2354" spans="1:13">
      <c r="A2354" s="1">
        <f>HYPERLINK("http://www.twitter.com/NathanBLawrence/status/984681070443532288", "984681070443532288")</f>
        <v/>
      </c>
      <c r="B2354" s="2" t="n">
        <v>43203.27356481482</v>
      </c>
      <c r="C2354" t="n">
        <v>0</v>
      </c>
      <c r="D2354" t="n">
        <v>6</v>
      </c>
      <c r="E2354" t="s">
        <v>2320</v>
      </c>
      <c r="F2354" t="s"/>
      <c r="G2354" t="s"/>
      <c r="H2354" t="s"/>
      <c r="I2354" t="s"/>
      <c r="J2354" t="n">
        <v>0.6249</v>
      </c>
      <c r="K2354" t="n">
        <v>0</v>
      </c>
      <c r="L2354" t="n">
        <v>0.805</v>
      </c>
      <c r="M2354" t="n">
        <v>0.195</v>
      </c>
    </row>
    <row r="2355" spans="1:13">
      <c r="A2355" s="1">
        <f>HYPERLINK("http://www.twitter.com/NathanBLawrence/status/984681058053566464", "984681058053566464")</f>
        <v/>
      </c>
      <c r="B2355" s="2" t="n">
        <v>43203.27353009259</v>
      </c>
      <c r="C2355" t="n">
        <v>0</v>
      </c>
      <c r="D2355" t="n">
        <v>37</v>
      </c>
      <c r="E2355" t="s">
        <v>2321</v>
      </c>
      <c r="F2355" t="s"/>
      <c r="G2355" t="s"/>
      <c r="H2355" t="s"/>
      <c r="I2355" t="s"/>
      <c r="J2355" t="n">
        <v>0.4019</v>
      </c>
      <c r="K2355" t="n">
        <v>0</v>
      </c>
      <c r="L2355" t="n">
        <v>0.891</v>
      </c>
      <c r="M2355" t="n">
        <v>0.109</v>
      </c>
    </row>
    <row r="2356" spans="1:13">
      <c r="A2356" s="1">
        <f>HYPERLINK("http://www.twitter.com/NathanBLawrence/status/984681048272506880", "984681048272506880")</f>
        <v/>
      </c>
      <c r="B2356" s="2" t="n">
        <v>43203.27350694445</v>
      </c>
      <c r="C2356" t="n">
        <v>0</v>
      </c>
      <c r="D2356" t="n">
        <v>7</v>
      </c>
      <c r="E2356" t="s">
        <v>2322</v>
      </c>
      <c r="F2356" t="s"/>
      <c r="G2356" t="s"/>
      <c r="H2356" t="s"/>
      <c r="I2356" t="s"/>
      <c r="J2356" t="n">
        <v>-0.6739000000000001</v>
      </c>
      <c r="K2356" t="n">
        <v>0.335</v>
      </c>
      <c r="L2356" t="n">
        <v>0.665</v>
      </c>
      <c r="M2356" t="n">
        <v>0</v>
      </c>
    </row>
    <row r="2357" spans="1:13">
      <c r="A2357" s="1">
        <f>HYPERLINK("http://www.twitter.com/NathanBLawrence/status/984681005406703616", "984681005406703616")</f>
        <v/>
      </c>
      <c r="B2357" s="2" t="n">
        <v>43203.27337962963</v>
      </c>
      <c r="C2357" t="n">
        <v>0</v>
      </c>
      <c r="D2357" t="n">
        <v>8</v>
      </c>
      <c r="E2357" t="s">
        <v>2323</v>
      </c>
      <c r="F2357">
        <f>HYPERLINK("http://pbs.twimg.com/media/DanX5OnU8AAka2m.jpg", "http://pbs.twimg.com/media/DanX5OnU8AAka2m.jpg")</f>
        <v/>
      </c>
      <c r="G2357" t="s"/>
      <c r="H2357" t="s"/>
      <c r="I2357" t="s"/>
      <c r="J2357" t="n">
        <v>-0.4144</v>
      </c>
      <c r="K2357" t="n">
        <v>0.187</v>
      </c>
      <c r="L2357" t="n">
        <v>0.8129999999999999</v>
      </c>
      <c r="M2357" t="n">
        <v>0</v>
      </c>
    </row>
    <row r="2358" spans="1:13">
      <c r="A2358" s="1">
        <f>HYPERLINK("http://www.twitter.com/NathanBLawrence/status/984680927669387265", "984680927669387265")</f>
        <v/>
      </c>
      <c r="B2358" s="2" t="n">
        <v>43203.2731712963</v>
      </c>
      <c r="C2358" t="n">
        <v>0</v>
      </c>
      <c r="D2358" t="n">
        <v>2</v>
      </c>
      <c r="E2358" t="s">
        <v>2324</v>
      </c>
      <c r="F2358" t="s"/>
      <c r="G2358" t="s"/>
      <c r="H2358" t="s"/>
      <c r="I2358" t="s"/>
      <c r="J2358" t="n">
        <v>-0.1779</v>
      </c>
      <c r="K2358" t="n">
        <v>0.138</v>
      </c>
      <c r="L2358" t="n">
        <v>0.672</v>
      </c>
      <c r="M2358" t="n">
        <v>0.19</v>
      </c>
    </row>
    <row r="2359" spans="1:13">
      <c r="A2359" s="1">
        <f>HYPERLINK("http://www.twitter.com/NathanBLawrence/status/984680865572753408", "984680865572753408")</f>
        <v/>
      </c>
      <c r="B2359" s="2" t="n">
        <v>43203.27299768518</v>
      </c>
      <c r="C2359" t="n">
        <v>0</v>
      </c>
      <c r="D2359" t="n">
        <v>4</v>
      </c>
      <c r="E2359" t="s">
        <v>2325</v>
      </c>
      <c r="F2359" t="s"/>
      <c r="G2359" t="s"/>
      <c r="H2359" t="s"/>
      <c r="I2359" t="s"/>
      <c r="J2359" t="n">
        <v>0</v>
      </c>
      <c r="K2359" t="n">
        <v>0</v>
      </c>
      <c r="L2359" t="n">
        <v>1</v>
      </c>
      <c r="M2359" t="n">
        <v>0</v>
      </c>
    </row>
    <row r="2360" spans="1:13">
      <c r="A2360" s="1">
        <f>HYPERLINK("http://www.twitter.com/NathanBLawrence/status/984680839496785920", "984680839496785920")</f>
        <v/>
      </c>
      <c r="B2360" s="2" t="n">
        <v>43203.27292824074</v>
      </c>
      <c r="C2360" t="n">
        <v>1</v>
      </c>
      <c r="D2360" t="n">
        <v>1</v>
      </c>
      <c r="E2360" t="s">
        <v>2326</v>
      </c>
      <c r="F2360" t="s"/>
      <c r="G2360" t="s"/>
      <c r="H2360" t="s"/>
      <c r="I2360" t="s"/>
      <c r="J2360" t="n">
        <v>-0.4912</v>
      </c>
      <c r="K2360" t="n">
        <v>0.144</v>
      </c>
      <c r="L2360" t="n">
        <v>0.856</v>
      </c>
      <c r="M2360" t="n">
        <v>0</v>
      </c>
    </row>
    <row r="2361" spans="1:13">
      <c r="A2361" s="1">
        <f>HYPERLINK("http://www.twitter.com/NathanBLawrence/status/984680562643341312", "984680562643341312")</f>
        <v/>
      </c>
      <c r="B2361" s="2" t="n">
        <v>43203.27216435185</v>
      </c>
      <c r="C2361" t="n">
        <v>0</v>
      </c>
      <c r="D2361" t="n">
        <v>0</v>
      </c>
      <c r="E2361" t="s">
        <v>2327</v>
      </c>
      <c r="F2361" t="s"/>
      <c r="G2361" t="s"/>
      <c r="H2361" t="s"/>
      <c r="I2361" t="s"/>
      <c r="J2361" t="n">
        <v>0</v>
      </c>
      <c r="K2361" t="n">
        <v>0</v>
      </c>
      <c r="L2361" t="n">
        <v>1</v>
      </c>
      <c r="M2361" t="n">
        <v>0</v>
      </c>
    </row>
    <row r="2362" spans="1:13">
      <c r="A2362" s="1">
        <f>HYPERLINK("http://www.twitter.com/NathanBLawrence/status/984680530473095168", "984680530473095168")</f>
        <v/>
      </c>
      <c r="B2362" s="2" t="n">
        <v>43203.27207175926</v>
      </c>
      <c r="C2362" t="n">
        <v>0</v>
      </c>
      <c r="D2362" t="n">
        <v>1</v>
      </c>
      <c r="E2362" t="s">
        <v>2328</v>
      </c>
      <c r="F2362" t="s"/>
      <c r="G2362" t="s"/>
      <c r="H2362" t="s"/>
      <c r="I2362" t="s"/>
      <c r="J2362" t="n">
        <v>0.3129</v>
      </c>
      <c r="K2362" t="n">
        <v>0</v>
      </c>
      <c r="L2362" t="n">
        <v>0.91</v>
      </c>
      <c r="M2362" t="n">
        <v>0.09</v>
      </c>
    </row>
    <row r="2363" spans="1:13">
      <c r="A2363" s="1">
        <f>HYPERLINK("http://www.twitter.com/NathanBLawrence/status/984680466161815554", "984680466161815554")</f>
        <v/>
      </c>
      <c r="B2363" s="2" t="n">
        <v>43203.27189814814</v>
      </c>
      <c r="C2363" t="n">
        <v>0</v>
      </c>
      <c r="D2363" t="n">
        <v>4</v>
      </c>
      <c r="E2363" t="s">
        <v>2329</v>
      </c>
      <c r="F2363" t="s"/>
      <c r="G2363" t="s"/>
      <c r="H2363" t="s"/>
      <c r="I2363" t="s"/>
      <c r="J2363" t="n">
        <v>-0.3167</v>
      </c>
      <c r="K2363" t="n">
        <v>0.144</v>
      </c>
      <c r="L2363" t="n">
        <v>0.766</v>
      </c>
      <c r="M2363" t="n">
        <v>0.089</v>
      </c>
    </row>
    <row r="2364" spans="1:13">
      <c r="A2364" s="1">
        <f>HYPERLINK("http://www.twitter.com/NathanBLawrence/status/984680390827835392", "984680390827835392")</f>
        <v/>
      </c>
      <c r="B2364" s="2" t="n">
        <v>43203.27168981481</v>
      </c>
      <c r="C2364" t="n">
        <v>0</v>
      </c>
      <c r="D2364" t="n">
        <v>0</v>
      </c>
      <c r="E2364" t="s">
        <v>2330</v>
      </c>
      <c r="F2364" t="s"/>
      <c r="G2364" t="s"/>
      <c r="H2364" t="s"/>
      <c r="I2364" t="s"/>
      <c r="J2364" t="n">
        <v>0.4404</v>
      </c>
      <c r="K2364" t="n">
        <v>0</v>
      </c>
      <c r="L2364" t="n">
        <v>0.707</v>
      </c>
      <c r="M2364" t="n">
        <v>0.293</v>
      </c>
    </row>
    <row r="2365" spans="1:13">
      <c r="A2365" s="1">
        <f>HYPERLINK("http://www.twitter.com/NathanBLawrence/status/984680030801362944", "984680030801362944")</f>
        <v/>
      </c>
      <c r="B2365" s="2" t="n">
        <v>43203.27069444444</v>
      </c>
      <c r="C2365" t="n">
        <v>2</v>
      </c>
      <c r="D2365" t="n">
        <v>2</v>
      </c>
      <c r="E2365" t="s">
        <v>2331</v>
      </c>
      <c r="F2365" t="s"/>
      <c r="G2365" t="s"/>
      <c r="H2365" t="s"/>
      <c r="I2365" t="s"/>
      <c r="J2365" t="n">
        <v>0.2003</v>
      </c>
      <c r="K2365" t="n">
        <v>0.049</v>
      </c>
      <c r="L2365" t="n">
        <v>0.885</v>
      </c>
      <c r="M2365" t="n">
        <v>0.066</v>
      </c>
    </row>
    <row r="2366" spans="1:13">
      <c r="A2366" s="1">
        <f>HYPERLINK("http://www.twitter.com/NathanBLawrence/status/984679165155790848", "984679165155790848")</f>
        <v/>
      </c>
      <c r="B2366" s="2" t="n">
        <v>43203.26831018519</v>
      </c>
      <c r="C2366" t="n">
        <v>0</v>
      </c>
      <c r="D2366" t="n">
        <v>2159</v>
      </c>
      <c r="E2366" t="s">
        <v>2332</v>
      </c>
      <c r="F2366" t="s"/>
      <c r="G2366" t="s"/>
      <c r="H2366" t="s"/>
      <c r="I2366" t="s"/>
      <c r="J2366" t="n">
        <v>0.7579</v>
      </c>
      <c r="K2366" t="n">
        <v>0</v>
      </c>
      <c r="L2366" t="n">
        <v>0.694</v>
      </c>
      <c r="M2366" t="n">
        <v>0.306</v>
      </c>
    </row>
    <row r="2367" spans="1:13">
      <c r="A2367" s="1">
        <f>HYPERLINK("http://www.twitter.com/NathanBLawrence/status/984679134214410240", "984679134214410240")</f>
        <v/>
      </c>
      <c r="B2367" s="2" t="n">
        <v>43203.26821759259</v>
      </c>
      <c r="C2367" t="n">
        <v>0</v>
      </c>
      <c r="D2367" t="n">
        <v>3069</v>
      </c>
      <c r="E2367" t="s">
        <v>2333</v>
      </c>
      <c r="F2367" t="s"/>
      <c r="G2367" t="s"/>
      <c r="H2367" t="s"/>
      <c r="I2367" t="s"/>
      <c r="J2367" t="n">
        <v>-0.6956</v>
      </c>
      <c r="K2367" t="n">
        <v>0.207</v>
      </c>
      <c r="L2367" t="n">
        <v>0.793</v>
      </c>
      <c r="M2367" t="n">
        <v>0</v>
      </c>
    </row>
    <row r="2368" spans="1:13">
      <c r="A2368" s="1">
        <f>HYPERLINK("http://www.twitter.com/NathanBLawrence/status/984679074307215360", "984679074307215360")</f>
        <v/>
      </c>
      <c r="B2368" s="2" t="n">
        <v>43203.26805555556</v>
      </c>
      <c r="C2368" t="n">
        <v>0</v>
      </c>
      <c r="D2368" t="n">
        <v>2462</v>
      </c>
      <c r="E2368" t="s">
        <v>2334</v>
      </c>
      <c r="F2368">
        <f>HYPERLINK("http://pbs.twimg.com/media/DajGVyQV4AEwXlm.jpg", "http://pbs.twimg.com/media/DajGVyQV4AEwXlm.jpg")</f>
        <v/>
      </c>
      <c r="G2368" t="s"/>
      <c r="H2368" t="s"/>
      <c r="I2368" t="s"/>
      <c r="J2368" t="n">
        <v>0</v>
      </c>
      <c r="K2368" t="n">
        <v>0</v>
      </c>
      <c r="L2368" t="n">
        <v>1</v>
      </c>
      <c r="M2368" t="n">
        <v>0</v>
      </c>
    </row>
    <row r="2369" spans="1:13">
      <c r="A2369" s="1">
        <f>HYPERLINK("http://www.twitter.com/NathanBLawrence/status/984678970481405952", "984678970481405952")</f>
        <v/>
      </c>
      <c r="B2369" s="2" t="n">
        <v>43203.2677662037</v>
      </c>
      <c r="C2369" t="n">
        <v>0</v>
      </c>
      <c r="D2369" t="n">
        <v>927</v>
      </c>
      <c r="E2369" t="s">
        <v>2335</v>
      </c>
      <c r="F2369" t="s"/>
      <c r="G2369" t="s"/>
      <c r="H2369" t="s"/>
      <c r="I2369" t="s"/>
      <c r="J2369" t="n">
        <v>-0.4466</v>
      </c>
      <c r="K2369" t="n">
        <v>0.109</v>
      </c>
      <c r="L2369" t="n">
        <v>0.891</v>
      </c>
      <c r="M2369" t="n">
        <v>0</v>
      </c>
    </row>
    <row r="2370" spans="1:13">
      <c r="A2370" s="1">
        <f>HYPERLINK("http://www.twitter.com/NathanBLawrence/status/984678825710837761", "984678825710837761")</f>
        <v/>
      </c>
      <c r="B2370" s="2" t="n">
        <v>43203.26737268519</v>
      </c>
      <c r="C2370" t="n">
        <v>0</v>
      </c>
      <c r="D2370" t="n">
        <v>1040</v>
      </c>
      <c r="E2370" t="s">
        <v>2336</v>
      </c>
      <c r="F2370">
        <f>HYPERLINK("https://video.twimg.com/ext_tw_video/984587897142726656/pu/vid/1280x720/y22PQS6GQPtYRL4e.mp4?tag=2", "https://video.twimg.com/ext_tw_video/984587897142726656/pu/vid/1280x720/y22PQS6GQPtYRL4e.mp4?tag=2")</f>
        <v/>
      </c>
      <c r="G2370" t="s"/>
      <c r="H2370" t="s"/>
      <c r="I2370" t="s"/>
      <c r="J2370" t="n">
        <v>-0.4927</v>
      </c>
      <c r="K2370" t="n">
        <v>0.269</v>
      </c>
      <c r="L2370" t="n">
        <v>0.613</v>
      </c>
      <c r="M2370" t="n">
        <v>0.118</v>
      </c>
    </row>
    <row r="2371" spans="1:13">
      <c r="A2371" s="1">
        <f>HYPERLINK("http://www.twitter.com/NathanBLawrence/status/984678810812641280", "984678810812641280")</f>
        <v/>
      </c>
      <c r="B2371" s="2" t="n">
        <v>43203.26732638889</v>
      </c>
      <c r="C2371" t="n">
        <v>0</v>
      </c>
      <c r="D2371" t="n">
        <v>12052</v>
      </c>
      <c r="E2371" t="s">
        <v>2337</v>
      </c>
      <c r="F2371">
        <f>HYPERLINK("http://pbs.twimg.com/media/DanPM6CVAAACxNB.jpg", "http://pbs.twimg.com/media/DanPM6CVAAACxNB.jpg")</f>
        <v/>
      </c>
      <c r="G2371">
        <f>HYPERLINK("http://pbs.twimg.com/media/DanPM6DVwAAEtgn.jpg", "http://pbs.twimg.com/media/DanPM6DVwAAEtgn.jpg")</f>
        <v/>
      </c>
      <c r="H2371" t="s"/>
      <c r="I2371" t="s"/>
      <c r="J2371" t="n">
        <v>0.5719</v>
      </c>
      <c r="K2371" t="n">
        <v>0</v>
      </c>
      <c r="L2371" t="n">
        <v>0.866</v>
      </c>
      <c r="M2371" t="n">
        <v>0.134</v>
      </c>
    </row>
    <row r="2372" spans="1:13">
      <c r="A2372" s="1">
        <f>HYPERLINK("http://www.twitter.com/NathanBLawrence/status/984678544201613312", "984678544201613312")</f>
        <v/>
      </c>
      <c r="B2372" s="2" t="n">
        <v>43203.26659722222</v>
      </c>
      <c r="C2372" t="n">
        <v>0</v>
      </c>
      <c r="D2372" t="n">
        <v>0</v>
      </c>
      <c r="E2372" t="s">
        <v>2338</v>
      </c>
      <c r="F2372" t="s"/>
      <c r="G2372" t="s"/>
      <c r="H2372" t="s"/>
      <c r="I2372" t="s"/>
      <c r="J2372" t="n">
        <v>0</v>
      </c>
      <c r="K2372" t="n">
        <v>0</v>
      </c>
      <c r="L2372" t="n">
        <v>1</v>
      </c>
      <c r="M2372" t="n">
        <v>0</v>
      </c>
    </row>
    <row r="2373" spans="1:13">
      <c r="A2373" s="1">
        <f>HYPERLINK("http://www.twitter.com/NathanBLawrence/status/984678475087925248", "984678475087925248")</f>
        <v/>
      </c>
      <c r="B2373" s="2" t="n">
        <v>43203.26640046296</v>
      </c>
      <c r="C2373" t="n">
        <v>0</v>
      </c>
      <c r="D2373" t="n">
        <v>1240</v>
      </c>
      <c r="E2373" t="s">
        <v>2339</v>
      </c>
      <c r="F2373">
        <f>HYPERLINK("http://pbs.twimg.com/media/Dad399JWAAEcX7Y.jpg", "http://pbs.twimg.com/media/Dad399JWAAEcX7Y.jpg")</f>
        <v/>
      </c>
      <c r="G2373" t="s"/>
      <c r="H2373" t="s"/>
      <c r="I2373" t="s"/>
      <c r="J2373" t="n">
        <v>0</v>
      </c>
      <c r="K2373" t="n">
        <v>0</v>
      </c>
      <c r="L2373" t="n">
        <v>1</v>
      </c>
      <c r="M2373" t="n">
        <v>0</v>
      </c>
    </row>
    <row r="2374" spans="1:13">
      <c r="A2374" s="1">
        <f>HYPERLINK("http://www.twitter.com/NathanBLawrence/status/984678385464029184", "984678385464029184")</f>
        <v/>
      </c>
      <c r="B2374" s="2" t="n">
        <v>43203.26615740741</v>
      </c>
      <c r="C2374" t="n">
        <v>0</v>
      </c>
      <c r="D2374" t="n">
        <v>1</v>
      </c>
      <c r="E2374" t="s">
        <v>2340</v>
      </c>
      <c r="F2374">
        <f>HYPERLINK("http://pbs.twimg.com/media/DapHC7HVQAAeI2S.jpg", "http://pbs.twimg.com/media/DapHC7HVQAAeI2S.jpg")</f>
        <v/>
      </c>
      <c r="G2374" t="s"/>
      <c r="H2374" t="s"/>
      <c r="I2374" t="s"/>
      <c r="J2374" t="n">
        <v>-0.296</v>
      </c>
      <c r="K2374" t="n">
        <v>0.147</v>
      </c>
      <c r="L2374" t="n">
        <v>0.794</v>
      </c>
      <c r="M2374" t="n">
        <v>0.06</v>
      </c>
    </row>
    <row r="2375" spans="1:13">
      <c r="A2375" s="1">
        <f>HYPERLINK("http://www.twitter.com/NathanBLawrence/status/984678329776263169", "984678329776263169")</f>
        <v/>
      </c>
      <c r="B2375" s="2" t="n">
        <v>43203.26599537037</v>
      </c>
      <c r="C2375" t="n">
        <v>0</v>
      </c>
      <c r="D2375" t="n">
        <v>2</v>
      </c>
      <c r="E2375" t="s">
        <v>2341</v>
      </c>
      <c r="F2375">
        <f>HYPERLINK("http://pbs.twimg.com/media/Daoi2-GVwAACDwW.jpg", "http://pbs.twimg.com/media/Daoi2-GVwAACDwW.jpg")</f>
        <v/>
      </c>
      <c r="G2375" t="s"/>
      <c r="H2375" t="s"/>
      <c r="I2375" t="s"/>
      <c r="J2375" t="n">
        <v>0.4767</v>
      </c>
      <c r="K2375" t="n">
        <v>0</v>
      </c>
      <c r="L2375" t="n">
        <v>0.721</v>
      </c>
      <c r="M2375" t="n">
        <v>0.279</v>
      </c>
    </row>
    <row r="2376" spans="1:13">
      <c r="A2376" s="1">
        <f>HYPERLINK("http://www.twitter.com/NathanBLawrence/status/984678092437377024", "984678092437377024")</f>
        <v/>
      </c>
      <c r="B2376" s="2" t="n">
        <v>43203.26534722222</v>
      </c>
      <c r="C2376" t="n">
        <v>0</v>
      </c>
      <c r="D2376" t="n">
        <v>0</v>
      </c>
      <c r="E2376" t="s">
        <v>2342</v>
      </c>
      <c r="F2376" t="s"/>
      <c r="G2376" t="s"/>
      <c r="H2376" t="s"/>
      <c r="I2376" t="s"/>
      <c r="J2376" t="n">
        <v>0</v>
      </c>
      <c r="K2376" t="n">
        <v>0</v>
      </c>
      <c r="L2376" t="n">
        <v>1</v>
      </c>
      <c r="M2376" t="n">
        <v>0</v>
      </c>
    </row>
    <row r="2377" spans="1:13">
      <c r="A2377" s="1">
        <f>HYPERLINK("http://www.twitter.com/NathanBLawrence/status/984678000414396416", "984678000414396416")</f>
        <v/>
      </c>
      <c r="B2377" s="2" t="n">
        <v>43203.26509259259</v>
      </c>
      <c r="C2377" t="n">
        <v>0</v>
      </c>
      <c r="D2377" t="n">
        <v>4</v>
      </c>
      <c r="E2377" t="s">
        <v>2343</v>
      </c>
      <c r="F2377" t="s"/>
      <c r="G2377" t="s"/>
      <c r="H2377" t="s"/>
      <c r="I2377" t="s"/>
      <c r="J2377" t="n">
        <v>-0.3818</v>
      </c>
      <c r="K2377" t="n">
        <v>0.098</v>
      </c>
      <c r="L2377" t="n">
        <v>0.902</v>
      </c>
      <c r="M2377" t="n">
        <v>0</v>
      </c>
    </row>
    <row r="2378" spans="1:13">
      <c r="A2378" s="1">
        <f>HYPERLINK("http://www.twitter.com/NathanBLawrence/status/984677594883870720", "984677594883870720")</f>
        <v/>
      </c>
      <c r="B2378" s="2" t="n">
        <v>43203.26396990741</v>
      </c>
      <c r="C2378" t="n">
        <v>1</v>
      </c>
      <c r="D2378" t="n">
        <v>1</v>
      </c>
      <c r="E2378" t="s">
        <v>2344</v>
      </c>
      <c r="F2378">
        <f>HYPERLINK("http://pbs.twimg.com/media/DapHC7HVQAAeI2S.jpg", "http://pbs.twimg.com/media/DapHC7HVQAAeI2S.jpg")</f>
        <v/>
      </c>
      <c r="G2378" t="s"/>
      <c r="H2378" t="s"/>
      <c r="I2378" t="s"/>
      <c r="J2378" t="n">
        <v>-0.5013</v>
      </c>
      <c r="K2378" t="n">
        <v>0.149</v>
      </c>
      <c r="L2378" t="n">
        <v>0.761</v>
      </c>
      <c r="M2378" t="n">
        <v>0.089</v>
      </c>
    </row>
    <row r="2379" spans="1:13">
      <c r="A2379" s="1">
        <f>HYPERLINK("http://www.twitter.com/NathanBLawrence/status/984675681144594432", "984675681144594432")</f>
        <v/>
      </c>
      <c r="B2379" s="2" t="n">
        <v>43203.25869212963</v>
      </c>
      <c r="C2379" t="n">
        <v>0</v>
      </c>
      <c r="D2379" t="n">
        <v>1652</v>
      </c>
      <c r="E2379" t="s">
        <v>2345</v>
      </c>
      <c r="F2379">
        <f>HYPERLINK("https://video.twimg.com/ext_tw_video/969700649532207105/pu/vid/720x720/m6ROtkQOJpb_nGOw.mp4", "https://video.twimg.com/ext_tw_video/969700649532207105/pu/vid/720x720/m6ROtkQOJpb_nGOw.mp4")</f>
        <v/>
      </c>
      <c r="G2379" t="s"/>
      <c r="H2379" t="s"/>
      <c r="I2379" t="s"/>
      <c r="J2379" t="n">
        <v>-0.8126</v>
      </c>
      <c r="K2379" t="n">
        <v>0.372</v>
      </c>
      <c r="L2379" t="n">
        <v>0.507</v>
      </c>
      <c r="M2379" t="n">
        <v>0.122</v>
      </c>
    </row>
    <row r="2380" spans="1:13">
      <c r="A2380" s="1">
        <f>HYPERLINK("http://www.twitter.com/NathanBLawrence/status/984675649485930497", "984675649485930497")</f>
        <v/>
      </c>
      <c r="B2380" s="2" t="n">
        <v>43203.25859953704</v>
      </c>
      <c r="C2380" t="n">
        <v>0</v>
      </c>
      <c r="D2380" t="n">
        <v>15</v>
      </c>
      <c r="E2380" t="s">
        <v>2346</v>
      </c>
      <c r="F2380" t="s"/>
      <c r="G2380" t="s"/>
      <c r="H2380" t="s"/>
      <c r="I2380" t="s"/>
      <c r="J2380" t="n">
        <v>0</v>
      </c>
      <c r="K2380" t="n">
        <v>0</v>
      </c>
      <c r="L2380" t="n">
        <v>1</v>
      </c>
      <c r="M2380" t="n">
        <v>0</v>
      </c>
    </row>
    <row r="2381" spans="1:13">
      <c r="A2381" s="1">
        <f>HYPERLINK("http://www.twitter.com/NathanBLawrence/status/984675158282645504", "984675158282645504")</f>
        <v/>
      </c>
      <c r="B2381" s="2" t="n">
        <v>43203.25724537037</v>
      </c>
      <c r="C2381" t="n">
        <v>0</v>
      </c>
      <c r="D2381" t="n">
        <v>10</v>
      </c>
      <c r="E2381" t="s">
        <v>2347</v>
      </c>
      <c r="F2381">
        <f>HYPERLINK("http://pbs.twimg.com/media/DaoZtppVMAAAefm.jpg", "http://pbs.twimg.com/media/DaoZtppVMAAAefm.jpg")</f>
        <v/>
      </c>
      <c r="G2381" t="s"/>
      <c r="H2381" t="s"/>
      <c r="I2381" t="s"/>
      <c r="J2381" t="n">
        <v>0</v>
      </c>
      <c r="K2381" t="n">
        <v>0</v>
      </c>
      <c r="L2381" t="n">
        <v>1</v>
      </c>
      <c r="M2381" t="n">
        <v>0</v>
      </c>
    </row>
    <row r="2382" spans="1:13">
      <c r="A2382" s="1">
        <f>HYPERLINK("http://www.twitter.com/NathanBLawrence/status/984675136816238592", "984675136816238592")</f>
        <v/>
      </c>
      <c r="B2382" s="2" t="n">
        <v>43203.2571875</v>
      </c>
      <c r="C2382" t="n">
        <v>0</v>
      </c>
      <c r="D2382" t="n">
        <v>6</v>
      </c>
      <c r="E2382" t="s">
        <v>2348</v>
      </c>
      <c r="F2382" t="s"/>
      <c r="G2382" t="s"/>
      <c r="H2382" t="s"/>
      <c r="I2382" t="s"/>
      <c r="J2382" t="n">
        <v>0</v>
      </c>
      <c r="K2382" t="n">
        <v>0</v>
      </c>
      <c r="L2382" t="n">
        <v>1</v>
      </c>
      <c r="M2382" t="n">
        <v>0</v>
      </c>
    </row>
    <row r="2383" spans="1:13">
      <c r="A2383" s="1">
        <f>HYPERLINK("http://www.twitter.com/NathanBLawrence/status/984675123440562178", "984675123440562178")</f>
        <v/>
      </c>
      <c r="B2383" s="2" t="n">
        <v>43203.25715277778</v>
      </c>
      <c r="C2383" t="n">
        <v>0</v>
      </c>
      <c r="D2383" t="n">
        <v>18</v>
      </c>
      <c r="E2383" t="s">
        <v>2349</v>
      </c>
      <c r="F2383">
        <f>HYPERLINK("http://pbs.twimg.com/media/DajWKdJXUAA-KXg.jpg", "http://pbs.twimg.com/media/DajWKdJXUAA-KXg.jpg")</f>
        <v/>
      </c>
      <c r="G2383" t="s"/>
      <c r="H2383" t="s"/>
      <c r="I2383" t="s"/>
      <c r="J2383" t="n">
        <v>0</v>
      </c>
      <c r="K2383" t="n">
        <v>0</v>
      </c>
      <c r="L2383" t="n">
        <v>1</v>
      </c>
      <c r="M2383" t="n">
        <v>0</v>
      </c>
    </row>
    <row r="2384" spans="1:13">
      <c r="A2384" s="1">
        <f>HYPERLINK("http://www.twitter.com/NathanBLawrence/status/984653313366024192", "984653313366024192")</f>
        <v/>
      </c>
      <c r="B2384" s="2" t="n">
        <v>43203.19696759259</v>
      </c>
      <c r="C2384" t="n">
        <v>0</v>
      </c>
      <c r="D2384" t="n">
        <v>22</v>
      </c>
      <c r="E2384" t="s">
        <v>2350</v>
      </c>
      <c r="F2384">
        <f>HYPERLINK("https://video.twimg.com/amplify_video/984615371595534336/vid/1280x720/nS2mCeHsEaw7XkRw.mp4?tag=2", "https://video.twimg.com/amplify_video/984615371595534336/vid/1280x720/nS2mCeHsEaw7XkRw.mp4?tag=2")</f>
        <v/>
      </c>
      <c r="G2384" t="s"/>
      <c r="H2384" t="s"/>
      <c r="I2384" t="s"/>
      <c r="J2384" t="n">
        <v>0</v>
      </c>
      <c r="K2384" t="n">
        <v>0</v>
      </c>
      <c r="L2384" t="n">
        <v>1</v>
      </c>
      <c r="M2384" t="n">
        <v>0</v>
      </c>
    </row>
    <row r="2385" spans="1:13">
      <c r="A2385" s="1">
        <f>HYPERLINK("http://www.twitter.com/NathanBLawrence/status/984653227353403393", "984653227353403393")</f>
        <v/>
      </c>
      <c r="B2385" s="2" t="n">
        <v>43203.19673611111</v>
      </c>
      <c r="C2385" t="n">
        <v>0</v>
      </c>
      <c r="D2385" t="n">
        <v>0</v>
      </c>
      <c r="E2385" t="s">
        <v>2351</v>
      </c>
      <c r="F2385" t="s"/>
      <c r="G2385" t="s"/>
      <c r="H2385" t="s"/>
      <c r="I2385" t="s"/>
      <c r="J2385" t="n">
        <v>-0.0798</v>
      </c>
      <c r="K2385" t="n">
        <v>0.138</v>
      </c>
      <c r="L2385" t="n">
        <v>0.767</v>
      </c>
      <c r="M2385" t="n">
        <v>0.096</v>
      </c>
    </row>
    <row r="2386" spans="1:13">
      <c r="A2386" s="1">
        <f>HYPERLINK("http://www.twitter.com/NathanBLawrence/status/984652928945356800", "984652928945356800")</f>
        <v/>
      </c>
      <c r="B2386" s="2" t="n">
        <v>43203.19590277778</v>
      </c>
      <c r="C2386" t="n">
        <v>0</v>
      </c>
      <c r="D2386" t="n">
        <v>2203</v>
      </c>
      <c r="E2386" t="s">
        <v>2352</v>
      </c>
      <c r="F2386" t="s"/>
      <c r="G2386" t="s"/>
      <c r="H2386" t="s"/>
      <c r="I2386" t="s"/>
      <c r="J2386" t="n">
        <v>-0.2023</v>
      </c>
      <c r="K2386" t="n">
        <v>0.126</v>
      </c>
      <c r="L2386" t="n">
        <v>0.783</v>
      </c>
      <c r="M2386" t="n">
        <v>0.091</v>
      </c>
    </row>
    <row r="2387" spans="1:13">
      <c r="A2387" s="1">
        <f>HYPERLINK("http://www.twitter.com/NathanBLawrence/status/984652741594308608", "984652741594308608")</f>
        <v/>
      </c>
      <c r="B2387" s="2" t="n">
        <v>43203.19539351852</v>
      </c>
      <c r="C2387" t="n">
        <v>0</v>
      </c>
      <c r="D2387" t="n">
        <v>1580</v>
      </c>
      <c r="E2387" t="s">
        <v>2353</v>
      </c>
      <c r="F2387">
        <f>HYPERLINK("https://video.twimg.com/ext_tw_video/984575149109374976/pu/vid/720x720/eMNmZFuyZ1IyNszQ.mp4?tag=2", "https://video.twimg.com/ext_tw_video/984575149109374976/pu/vid/720x720/eMNmZFuyZ1IyNszQ.mp4?tag=2")</f>
        <v/>
      </c>
      <c r="G2387" t="s"/>
      <c r="H2387" t="s"/>
      <c r="I2387" t="s"/>
      <c r="J2387" t="n">
        <v>0</v>
      </c>
      <c r="K2387" t="n">
        <v>0</v>
      </c>
      <c r="L2387" t="n">
        <v>1</v>
      </c>
      <c r="M2387" t="n">
        <v>0</v>
      </c>
    </row>
    <row r="2388" spans="1:13">
      <c r="A2388" s="1">
        <f>HYPERLINK("http://www.twitter.com/NathanBLawrence/status/984652684341972993", "984652684341972993")</f>
        <v/>
      </c>
      <c r="B2388" s="2" t="n">
        <v>43203.19523148148</v>
      </c>
      <c r="C2388" t="n">
        <v>0</v>
      </c>
      <c r="D2388" t="n">
        <v>45</v>
      </c>
      <c r="E2388" t="s">
        <v>2354</v>
      </c>
      <c r="F2388">
        <f>HYPERLINK("http://pbs.twimg.com/media/DQ7wYXEUEAAtaCd.jpg", "http://pbs.twimg.com/media/DQ7wYXEUEAAtaCd.jpg")</f>
        <v/>
      </c>
      <c r="G2388" t="s"/>
      <c r="H2388" t="s"/>
      <c r="I2388" t="s"/>
      <c r="J2388" t="n">
        <v>-0.5719</v>
      </c>
      <c r="K2388" t="n">
        <v>0.19</v>
      </c>
      <c r="L2388" t="n">
        <v>0.8100000000000001</v>
      </c>
      <c r="M2388" t="n">
        <v>0</v>
      </c>
    </row>
    <row r="2389" spans="1:13">
      <c r="A2389" s="1">
        <f>HYPERLINK("http://www.twitter.com/NathanBLawrence/status/984652672795136000", "984652672795136000")</f>
        <v/>
      </c>
      <c r="B2389" s="2" t="n">
        <v>43203.19519675926</v>
      </c>
      <c r="C2389" t="n">
        <v>0</v>
      </c>
      <c r="D2389" t="n">
        <v>0</v>
      </c>
      <c r="E2389" t="s">
        <v>2355</v>
      </c>
      <c r="F2389" t="s"/>
      <c r="G2389" t="s"/>
      <c r="H2389" t="s"/>
      <c r="I2389" t="s"/>
      <c r="J2389" t="n">
        <v>0.594</v>
      </c>
      <c r="K2389" t="n">
        <v>0</v>
      </c>
      <c r="L2389" t="n">
        <v>0.896</v>
      </c>
      <c r="M2389" t="n">
        <v>0.104</v>
      </c>
    </row>
    <row r="2390" spans="1:13">
      <c r="A2390" s="1">
        <f>HYPERLINK("http://www.twitter.com/NathanBLawrence/status/984652107646107650", "984652107646107650")</f>
        <v/>
      </c>
      <c r="B2390" s="2" t="n">
        <v>43203.19364583334</v>
      </c>
      <c r="C2390" t="n">
        <v>0</v>
      </c>
      <c r="D2390" t="n">
        <v>0</v>
      </c>
      <c r="E2390" t="s">
        <v>2356</v>
      </c>
      <c r="F2390" t="s"/>
      <c r="G2390" t="s"/>
      <c r="H2390" t="s"/>
      <c r="I2390" t="s"/>
      <c r="J2390" t="n">
        <v>0</v>
      </c>
      <c r="K2390" t="n">
        <v>0</v>
      </c>
      <c r="L2390" t="n">
        <v>1</v>
      </c>
      <c r="M2390" t="n">
        <v>0</v>
      </c>
    </row>
    <row r="2391" spans="1:13">
      <c r="A2391" s="1">
        <f>HYPERLINK("http://www.twitter.com/NathanBLawrence/status/984651947352449024", "984651947352449024")</f>
        <v/>
      </c>
      <c r="B2391" s="2" t="n">
        <v>43203.19319444444</v>
      </c>
      <c r="C2391" t="n">
        <v>0</v>
      </c>
      <c r="D2391" t="n">
        <v>954</v>
      </c>
      <c r="E2391" t="s">
        <v>2357</v>
      </c>
      <c r="F2391" t="s"/>
      <c r="G2391" t="s"/>
      <c r="H2391" t="s"/>
      <c r="I2391" t="s"/>
      <c r="J2391" t="n">
        <v>-0.1531</v>
      </c>
      <c r="K2391" t="n">
        <v>0.132</v>
      </c>
      <c r="L2391" t="n">
        <v>0.76</v>
      </c>
      <c r="M2391" t="n">
        <v>0.108</v>
      </c>
    </row>
    <row r="2392" spans="1:13">
      <c r="A2392" s="1">
        <f>HYPERLINK("http://www.twitter.com/NathanBLawrence/status/984637799465979904", "984637799465979904")</f>
        <v/>
      </c>
      <c r="B2392" s="2" t="n">
        <v>43203.15415509259</v>
      </c>
      <c r="C2392" t="n">
        <v>3</v>
      </c>
      <c r="D2392" t="n">
        <v>2</v>
      </c>
      <c r="E2392" t="s">
        <v>2358</v>
      </c>
      <c r="F2392">
        <f>HYPERLINK("http://pbs.twimg.com/media/Daoi2-GVwAACDwW.jpg", "http://pbs.twimg.com/media/Daoi2-GVwAACDwW.jpg")</f>
        <v/>
      </c>
      <c r="G2392" t="s"/>
      <c r="H2392" t="s"/>
      <c r="I2392" t="s"/>
      <c r="J2392" t="n">
        <v>0.4767</v>
      </c>
      <c r="K2392" t="n">
        <v>0</v>
      </c>
      <c r="L2392" t="n">
        <v>0.659</v>
      </c>
      <c r="M2392" t="n">
        <v>0.341</v>
      </c>
    </row>
    <row r="2393" spans="1:13">
      <c r="A2393" s="1">
        <f>HYPERLINK("http://www.twitter.com/NathanBLawrence/status/984635634001293312", "984635634001293312")</f>
        <v/>
      </c>
      <c r="B2393" s="2" t="n">
        <v>43203.14818287037</v>
      </c>
      <c r="C2393" t="n">
        <v>0</v>
      </c>
      <c r="D2393" t="n">
        <v>9602</v>
      </c>
      <c r="E2393" t="s">
        <v>2359</v>
      </c>
      <c r="F2393" t="s"/>
      <c r="G2393" t="s"/>
      <c r="H2393" t="s"/>
      <c r="I2393" t="s"/>
      <c r="J2393" t="n">
        <v>-0.4939</v>
      </c>
      <c r="K2393" t="n">
        <v>0.138</v>
      </c>
      <c r="L2393" t="n">
        <v>0.862</v>
      </c>
      <c r="M2393" t="n">
        <v>0</v>
      </c>
    </row>
    <row r="2394" spans="1:13">
      <c r="A2394" s="1">
        <f>HYPERLINK("http://www.twitter.com/NathanBLawrence/status/984635605899464704", "984635605899464704")</f>
        <v/>
      </c>
      <c r="B2394" s="2" t="n">
        <v>43203.14810185185</v>
      </c>
      <c r="C2394" t="n">
        <v>0</v>
      </c>
      <c r="D2394" t="n">
        <v>35</v>
      </c>
      <c r="E2394" t="s">
        <v>2360</v>
      </c>
      <c r="F2394">
        <f>HYPERLINK("http://pbs.twimg.com/media/DaO9GOXVwAAlKjE.jpg", "http://pbs.twimg.com/media/DaO9GOXVwAAlKjE.jpg")</f>
        <v/>
      </c>
      <c r="G2394" t="s"/>
      <c r="H2394" t="s"/>
      <c r="I2394" t="s"/>
      <c r="J2394" t="n">
        <v>0</v>
      </c>
      <c r="K2394" t="n">
        <v>0</v>
      </c>
      <c r="L2394" t="n">
        <v>1</v>
      </c>
      <c r="M2394" t="n">
        <v>0</v>
      </c>
    </row>
    <row r="2395" spans="1:13">
      <c r="A2395" s="1">
        <f>HYPERLINK("http://www.twitter.com/NathanBLawrence/status/984635581354430465", "984635581354430465")</f>
        <v/>
      </c>
      <c r="B2395" s="2" t="n">
        <v>43203.14803240741</v>
      </c>
      <c r="C2395" t="n">
        <v>1</v>
      </c>
      <c r="D2395" t="n">
        <v>0</v>
      </c>
      <c r="E2395" t="s">
        <v>2361</v>
      </c>
      <c r="F2395" t="s"/>
      <c r="G2395" t="s"/>
      <c r="H2395" t="s"/>
      <c r="I2395" t="s"/>
      <c r="J2395" t="n">
        <v>-0.4404</v>
      </c>
      <c r="K2395" t="n">
        <v>0.367</v>
      </c>
      <c r="L2395" t="n">
        <v>0.633</v>
      </c>
      <c r="M2395" t="n">
        <v>0</v>
      </c>
    </row>
    <row r="2396" spans="1:13">
      <c r="A2396" s="1">
        <f>HYPERLINK("http://www.twitter.com/NathanBLawrence/status/984635488966467584", "984635488966467584")</f>
        <v/>
      </c>
      <c r="B2396" s="2" t="n">
        <v>43203.14777777778</v>
      </c>
      <c r="C2396" t="n">
        <v>0</v>
      </c>
      <c r="D2396" t="n">
        <v>51</v>
      </c>
      <c r="E2396" t="s">
        <v>2362</v>
      </c>
      <c r="F2396">
        <f>HYPERLINK("http://pbs.twimg.com/media/DaoDpUDVMAExf7U.jpg", "http://pbs.twimg.com/media/DaoDpUDVMAExf7U.jpg")</f>
        <v/>
      </c>
      <c r="G2396" t="s"/>
      <c r="H2396" t="s"/>
      <c r="I2396" t="s"/>
      <c r="J2396" t="n">
        <v>-0.3182</v>
      </c>
      <c r="K2396" t="n">
        <v>0.19</v>
      </c>
      <c r="L2396" t="n">
        <v>0.706</v>
      </c>
      <c r="M2396" t="n">
        <v>0.104</v>
      </c>
    </row>
    <row r="2397" spans="1:13">
      <c r="A2397" s="1">
        <f>HYPERLINK("http://www.twitter.com/NathanBLawrence/status/984635463859351552", "984635463859351552")</f>
        <v/>
      </c>
      <c r="B2397" s="2" t="n">
        <v>43203.14770833333</v>
      </c>
      <c r="C2397" t="n">
        <v>2</v>
      </c>
      <c r="D2397" t="n">
        <v>2</v>
      </c>
      <c r="E2397" t="s">
        <v>2363</v>
      </c>
      <c r="F2397" t="s"/>
      <c r="G2397" t="s"/>
      <c r="H2397" t="s"/>
      <c r="I2397" t="s"/>
      <c r="J2397" t="n">
        <v>0</v>
      </c>
      <c r="K2397" t="n">
        <v>0</v>
      </c>
      <c r="L2397" t="n">
        <v>1</v>
      </c>
      <c r="M2397" t="n">
        <v>0</v>
      </c>
    </row>
    <row r="2398" spans="1:13">
      <c r="A2398" s="1">
        <f>HYPERLINK("http://www.twitter.com/NathanBLawrence/status/984635445094027264", "984635445094027264")</f>
        <v/>
      </c>
      <c r="B2398" s="2" t="n">
        <v>43203.14766203704</v>
      </c>
      <c r="C2398" t="n">
        <v>0</v>
      </c>
      <c r="D2398" t="n">
        <v>31</v>
      </c>
      <c r="E2398" t="s">
        <v>2364</v>
      </c>
      <c r="F2398">
        <f>HYPERLINK("http://pbs.twimg.com/media/DaO8pMxUMAAt-7f.jpg", "http://pbs.twimg.com/media/DaO8pMxUMAAt-7f.jpg")</f>
        <v/>
      </c>
      <c r="G2398" t="s"/>
      <c r="H2398" t="s"/>
      <c r="I2398" t="s"/>
      <c r="J2398" t="n">
        <v>0</v>
      </c>
      <c r="K2398" t="n">
        <v>0</v>
      </c>
      <c r="L2398" t="n">
        <v>1</v>
      </c>
      <c r="M2398" t="n">
        <v>0</v>
      </c>
    </row>
    <row r="2399" spans="1:13">
      <c r="A2399" s="1">
        <f>HYPERLINK("http://www.twitter.com/NathanBLawrence/status/984635419349475328", "984635419349475328")</f>
        <v/>
      </c>
      <c r="B2399" s="2" t="n">
        <v>43203.14759259259</v>
      </c>
      <c r="C2399" t="n">
        <v>0</v>
      </c>
      <c r="D2399" t="n">
        <v>319</v>
      </c>
      <c r="E2399" t="s">
        <v>2365</v>
      </c>
      <c r="F2399">
        <f>HYPERLINK("http://pbs.twimg.com/media/DaO70tXUMAANyNY.jpg", "http://pbs.twimg.com/media/DaO70tXUMAANyNY.jpg")</f>
        <v/>
      </c>
      <c r="G2399" t="s"/>
      <c r="H2399" t="s"/>
      <c r="I2399" t="s"/>
      <c r="J2399" t="n">
        <v>0</v>
      </c>
      <c r="K2399" t="n">
        <v>0</v>
      </c>
      <c r="L2399" t="n">
        <v>1</v>
      </c>
      <c r="M2399" t="n">
        <v>0</v>
      </c>
    </row>
    <row r="2400" spans="1:13">
      <c r="A2400" s="1">
        <f>HYPERLINK("http://www.twitter.com/NathanBLawrence/status/984634499685371904", "984634499685371904")</f>
        <v/>
      </c>
      <c r="B2400" s="2" t="n">
        <v>43203.14505787037</v>
      </c>
      <c r="C2400" t="n">
        <v>0</v>
      </c>
      <c r="D2400" t="n">
        <v>844</v>
      </c>
      <c r="E2400" t="s">
        <v>2366</v>
      </c>
      <c r="F2400" t="s"/>
      <c r="G2400" t="s"/>
      <c r="H2400" t="s"/>
      <c r="I2400" t="s"/>
      <c r="J2400" t="n">
        <v>-0.25</v>
      </c>
      <c r="K2400" t="n">
        <v>0.143</v>
      </c>
      <c r="L2400" t="n">
        <v>0.756</v>
      </c>
      <c r="M2400" t="n">
        <v>0.101</v>
      </c>
    </row>
    <row r="2401" spans="1:13">
      <c r="A2401" s="1">
        <f>HYPERLINK("http://www.twitter.com/NathanBLawrence/status/984634441149579265", "984634441149579265")</f>
        <v/>
      </c>
      <c r="B2401" s="2" t="n">
        <v>43203.14489583333</v>
      </c>
      <c r="C2401" t="n">
        <v>0</v>
      </c>
      <c r="D2401" t="n">
        <v>579</v>
      </c>
      <c r="E2401" t="s">
        <v>2367</v>
      </c>
      <c r="F2401" t="s"/>
      <c r="G2401" t="s"/>
      <c r="H2401" t="s"/>
      <c r="I2401" t="s"/>
      <c r="J2401" t="n">
        <v>0</v>
      </c>
      <c r="K2401" t="n">
        <v>0</v>
      </c>
      <c r="L2401" t="n">
        <v>1</v>
      </c>
      <c r="M2401" t="n">
        <v>0</v>
      </c>
    </row>
    <row r="2402" spans="1:13">
      <c r="A2402" s="1">
        <f>HYPERLINK("http://www.twitter.com/NathanBLawrence/status/984634402033500160", "984634402033500160")</f>
        <v/>
      </c>
      <c r="B2402" s="2" t="n">
        <v>43203.1447800926</v>
      </c>
      <c r="C2402" t="n">
        <v>0</v>
      </c>
      <c r="D2402" t="n">
        <v>314</v>
      </c>
      <c r="E2402" t="s">
        <v>2368</v>
      </c>
      <c r="F2402" t="s"/>
      <c r="G2402" t="s"/>
      <c r="H2402" t="s"/>
      <c r="I2402" t="s"/>
      <c r="J2402" t="n">
        <v>0.5994</v>
      </c>
      <c r="K2402" t="n">
        <v>0</v>
      </c>
      <c r="L2402" t="n">
        <v>0.769</v>
      </c>
      <c r="M2402" t="n">
        <v>0.231</v>
      </c>
    </row>
    <row r="2403" spans="1:13">
      <c r="A2403" s="1">
        <f>HYPERLINK("http://www.twitter.com/NathanBLawrence/status/984634384501428225", "984634384501428225")</f>
        <v/>
      </c>
      <c r="B2403" s="2" t="n">
        <v>43203.1447337963</v>
      </c>
      <c r="C2403" t="n">
        <v>0</v>
      </c>
      <c r="D2403" t="n">
        <v>227</v>
      </c>
      <c r="E2403" t="s">
        <v>2369</v>
      </c>
      <c r="F2403" t="s"/>
      <c r="G2403" t="s"/>
      <c r="H2403" t="s"/>
      <c r="I2403" t="s"/>
      <c r="J2403" t="n">
        <v>0</v>
      </c>
      <c r="K2403" t="n">
        <v>0</v>
      </c>
      <c r="L2403" t="n">
        <v>1</v>
      </c>
      <c r="M2403" t="n">
        <v>0</v>
      </c>
    </row>
    <row r="2404" spans="1:13">
      <c r="A2404" s="1">
        <f>HYPERLINK("http://www.twitter.com/NathanBLawrence/status/984634355422199819", "984634355422199819")</f>
        <v/>
      </c>
      <c r="B2404" s="2" t="n">
        <v>43203.14465277778</v>
      </c>
      <c r="C2404" t="n">
        <v>0</v>
      </c>
      <c r="D2404" t="n">
        <v>445</v>
      </c>
      <c r="E2404" t="s">
        <v>2370</v>
      </c>
      <c r="F2404" t="s"/>
      <c r="G2404" t="s"/>
      <c r="H2404" t="s"/>
      <c r="I2404" t="s"/>
      <c r="J2404" t="n">
        <v>-0.2263</v>
      </c>
      <c r="K2404" t="n">
        <v>0.106</v>
      </c>
      <c r="L2404" t="n">
        <v>0.894</v>
      </c>
      <c r="M2404" t="n">
        <v>0</v>
      </c>
    </row>
    <row r="2405" spans="1:13">
      <c r="A2405" s="1">
        <f>HYPERLINK("http://www.twitter.com/NathanBLawrence/status/984634310186754049", "984634310186754049")</f>
        <v/>
      </c>
      <c r="B2405" s="2" t="n">
        <v>43203.14452546297</v>
      </c>
      <c r="C2405" t="n">
        <v>0</v>
      </c>
      <c r="D2405" t="n">
        <v>951</v>
      </c>
      <c r="E2405" t="s">
        <v>2371</v>
      </c>
      <c r="F2405" t="s"/>
      <c r="G2405" t="s"/>
      <c r="H2405" t="s"/>
      <c r="I2405" t="s"/>
      <c r="J2405" t="n">
        <v>0.4767</v>
      </c>
      <c r="K2405" t="n">
        <v>0</v>
      </c>
      <c r="L2405" t="n">
        <v>0.866</v>
      </c>
      <c r="M2405" t="n">
        <v>0.134</v>
      </c>
    </row>
    <row r="2406" spans="1:13">
      <c r="A2406" s="1">
        <f>HYPERLINK("http://www.twitter.com/NathanBLawrence/status/984628521011175424", "984628521011175424")</f>
        <v/>
      </c>
      <c r="B2406" s="2" t="n">
        <v>43203.12855324074</v>
      </c>
      <c r="C2406" t="n">
        <v>0</v>
      </c>
      <c r="D2406" t="n">
        <v>9</v>
      </c>
      <c r="E2406" t="s">
        <v>2372</v>
      </c>
      <c r="F2406" t="s"/>
      <c r="G2406" t="s"/>
      <c r="H2406" t="s"/>
      <c r="I2406" t="s"/>
      <c r="J2406" t="n">
        <v>0</v>
      </c>
      <c r="K2406" t="n">
        <v>0</v>
      </c>
      <c r="L2406" t="n">
        <v>1</v>
      </c>
      <c r="M2406" t="n">
        <v>0</v>
      </c>
    </row>
    <row r="2407" spans="1:13">
      <c r="A2407" s="1">
        <f>HYPERLINK("http://www.twitter.com/NathanBLawrence/status/984628433023053824", "984628433023053824")</f>
        <v/>
      </c>
      <c r="B2407" s="2" t="n">
        <v>43203.12831018519</v>
      </c>
      <c r="C2407" t="n">
        <v>0</v>
      </c>
      <c r="D2407" t="n">
        <v>9</v>
      </c>
      <c r="E2407" t="s">
        <v>2373</v>
      </c>
      <c r="F2407">
        <f>HYPERLINK("http://pbs.twimg.com/media/Dam-bFlVwAAiywB.jpg", "http://pbs.twimg.com/media/Dam-bFlVwAAiywB.jpg")</f>
        <v/>
      </c>
      <c r="G2407" t="s"/>
      <c r="H2407" t="s"/>
      <c r="I2407" t="s"/>
      <c r="J2407" t="n">
        <v>-0.34</v>
      </c>
      <c r="K2407" t="n">
        <v>0.124</v>
      </c>
      <c r="L2407" t="n">
        <v>0.876</v>
      </c>
      <c r="M2407" t="n">
        <v>0</v>
      </c>
    </row>
    <row r="2408" spans="1:13">
      <c r="A2408" s="1">
        <f>HYPERLINK("http://www.twitter.com/NathanBLawrence/status/984628401138012160", "984628401138012160")</f>
        <v/>
      </c>
      <c r="B2408" s="2" t="n">
        <v>43203.1282175926</v>
      </c>
      <c r="C2408" t="n">
        <v>0</v>
      </c>
      <c r="D2408" t="n">
        <v>5</v>
      </c>
      <c r="E2408" t="s">
        <v>2374</v>
      </c>
      <c r="F2408" t="s"/>
      <c r="G2408" t="s"/>
      <c r="H2408" t="s"/>
      <c r="I2408" t="s"/>
      <c r="J2408" t="n">
        <v>-0.5927</v>
      </c>
      <c r="K2408" t="n">
        <v>0.195</v>
      </c>
      <c r="L2408" t="n">
        <v>0.805</v>
      </c>
      <c r="M2408" t="n">
        <v>0</v>
      </c>
    </row>
    <row r="2409" spans="1:13">
      <c r="A2409" s="1">
        <f>HYPERLINK("http://www.twitter.com/NathanBLawrence/status/984628278999863296", "984628278999863296")</f>
        <v/>
      </c>
      <c r="B2409" s="2" t="n">
        <v>43203.12788194444</v>
      </c>
      <c r="C2409" t="n">
        <v>0</v>
      </c>
      <c r="D2409" t="n">
        <v>6</v>
      </c>
      <c r="E2409" t="s">
        <v>2375</v>
      </c>
      <c r="F2409" t="s"/>
      <c r="G2409" t="s"/>
      <c r="H2409" t="s"/>
      <c r="I2409" t="s"/>
      <c r="J2409" t="n">
        <v>-0.5719</v>
      </c>
      <c r="K2409" t="n">
        <v>0.239</v>
      </c>
      <c r="L2409" t="n">
        <v>0.761</v>
      </c>
      <c r="M2409" t="n">
        <v>0</v>
      </c>
    </row>
    <row r="2410" spans="1:13">
      <c r="A2410" s="1">
        <f>HYPERLINK("http://www.twitter.com/NathanBLawrence/status/984605396311691265", "984605396311691265")</f>
        <v/>
      </c>
      <c r="B2410" s="2" t="n">
        <v>43203.06474537037</v>
      </c>
      <c r="C2410" t="n">
        <v>0</v>
      </c>
      <c r="D2410" t="n">
        <v>1</v>
      </c>
      <c r="E2410" t="s">
        <v>2376</v>
      </c>
      <c r="F2410" t="s"/>
      <c r="G2410" t="s"/>
      <c r="H2410" t="s"/>
      <c r="I2410" t="s"/>
      <c r="J2410" t="n">
        <v>-0.1027</v>
      </c>
      <c r="K2410" t="n">
        <v>0.318</v>
      </c>
      <c r="L2410" t="n">
        <v>0.6820000000000001</v>
      </c>
      <c r="M2410" t="n">
        <v>0</v>
      </c>
    </row>
    <row r="2411" spans="1:13">
      <c r="A2411" s="1">
        <f>HYPERLINK("http://www.twitter.com/NathanBLawrence/status/984605073090252800", "984605073090252800")</f>
        <v/>
      </c>
      <c r="B2411" s="2" t="n">
        <v>43203.06385416666</v>
      </c>
      <c r="C2411" t="n">
        <v>2</v>
      </c>
      <c r="D2411" t="n">
        <v>0</v>
      </c>
      <c r="E2411" t="s">
        <v>2377</v>
      </c>
      <c r="F2411" t="s"/>
      <c r="G2411" t="s"/>
      <c r="H2411" t="s"/>
      <c r="I2411" t="s"/>
      <c r="J2411" t="n">
        <v>0.7964</v>
      </c>
      <c r="K2411" t="n">
        <v>0</v>
      </c>
      <c r="L2411" t="n">
        <v>0.458</v>
      </c>
      <c r="M2411" t="n">
        <v>0.542</v>
      </c>
    </row>
    <row r="2412" spans="1:13">
      <c r="A2412" s="1">
        <f>HYPERLINK("http://www.twitter.com/NathanBLawrence/status/984604939157688320", "984604939157688320")</f>
        <v/>
      </c>
      <c r="B2412" s="2" t="n">
        <v>43203.06348379629</v>
      </c>
      <c r="C2412" t="n">
        <v>0</v>
      </c>
      <c r="D2412" t="n">
        <v>4304</v>
      </c>
      <c r="E2412" t="s">
        <v>2378</v>
      </c>
      <c r="F2412">
        <f>HYPERLINK("http://pbs.twimg.com/media/DanU-STX0AIeimK.jpg", "http://pbs.twimg.com/media/DanU-STX0AIeimK.jpg")</f>
        <v/>
      </c>
      <c r="G2412" t="s"/>
      <c r="H2412" t="s"/>
      <c r="I2412" t="s"/>
      <c r="J2412" t="n">
        <v>0.3182</v>
      </c>
      <c r="K2412" t="n">
        <v>0</v>
      </c>
      <c r="L2412" t="n">
        <v>0.881</v>
      </c>
      <c r="M2412" t="n">
        <v>0.119</v>
      </c>
    </row>
    <row r="2413" spans="1:13">
      <c r="A2413" s="1">
        <f>HYPERLINK("http://www.twitter.com/NathanBLawrence/status/984604905792040960", "984604905792040960")</f>
        <v/>
      </c>
      <c r="B2413" s="2" t="n">
        <v>43203.0633912037</v>
      </c>
      <c r="C2413" t="n">
        <v>0</v>
      </c>
      <c r="D2413" t="n">
        <v>3107</v>
      </c>
      <c r="E2413" t="s">
        <v>2379</v>
      </c>
      <c r="F2413" t="s"/>
      <c r="G2413" t="s"/>
      <c r="H2413" t="s"/>
      <c r="I2413" t="s"/>
      <c r="J2413" t="n">
        <v>-0.25</v>
      </c>
      <c r="K2413" t="n">
        <v>0.08</v>
      </c>
      <c r="L2413" t="n">
        <v>0.92</v>
      </c>
      <c r="M2413" t="n">
        <v>0</v>
      </c>
    </row>
    <row r="2414" spans="1:13">
      <c r="A2414" s="1">
        <f>HYPERLINK("http://www.twitter.com/NathanBLawrence/status/984604883738398726", "984604883738398726")</f>
        <v/>
      </c>
      <c r="B2414" s="2" t="n">
        <v>43203.06333333333</v>
      </c>
      <c r="C2414" t="n">
        <v>0</v>
      </c>
      <c r="D2414" t="n">
        <v>3</v>
      </c>
      <c r="E2414" t="s">
        <v>2380</v>
      </c>
      <c r="F2414">
        <f>HYPERLINK("http://pbs.twimg.com/media/DaoDfmcUMAACoXN.jpg", "http://pbs.twimg.com/media/DaoDfmcUMAACoXN.jpg")</f>
        <v/>
      </c>
      <c r="G2414" t="s"/>
      <c r="H2414" t="s"/>
      <c r="I2414" t="s"/>
      <c r="J2414" t="n">
        <v>0</v>
      </c>
      <c r="K2414" t="n">
        <v>0</v>
      </c>
      <c r="L2414" t="n">
        <v>1</v>
      </c>
      <c r="M2414" t="n">
        <v>0</v>
      </c>
    </row>
    <row r="2415" spans="1:13">
      <c r="A2415" s="1">
        <f>HYPERLINK("http://www.twitter.com/NathanBLawrence/status/984604483186552833", "984604483186552833")</f>
        <v/>
      </c>
      <c r="B2415" s="2" t="n">
        <v>43203.06222222222</v>
      </c>
      <c r="C2415" t="n">
        <v>0</v>
      </c>
      <c r="D2415" t="n">
        <v>2424</v>
      </c>
      <c r="E2415" t="s">
        <v>2381</v>
      </c>
      <c r="F2415" t="s"/>
      <c r="G2415" t="s"/>
      <c r="H2415" t="s"/>
      <c r="I2415" t="s"/>
      <c r="J2415" t="n">
        <v>-0.7003</v>
      </c>
      <c r="K2415" t="n">
        <v>0.195</v>
      </c>
      <c r="L2415" t="n">
        <v>0.805</v>
      </c>
      <c r="M2415" t="n">
        <v>0</v>
      </c>
    </row>
    <row r="2416" spans="1:13">
      <c r="A2416" s="1">
        <f>HYPERLINK("http://www.twitter.com/NathanBLawrence/status/984604416979456001", "984604416979456001")</f>
        <v/>
      </c>
      <c r="B2416" s="2" t="n">
        <v>43203.06203703704</v>
      </c>
      <c r="C2416" t="n">
        <v>0</v>
      </c>
      <c r="D2416" t="n">
        <v>17068</v>
      </c>
      <c r="E2416" t="s">
        <v>2382</v>
      </c>
      <c r="F2416" t="s"/>
      <c r="G2416" t="s"/>
      <c r="H2416" t="s"/>
      <c r="I2416" t="s"/>
      <c r="J2416" t="n">
        <v>0.7783</v>
      </c>
      <c r="K2416" t="n">
        <v>0</v>
      </c>
      <c r="L2416" t="n">
        <v>0.672</v>
      </c>
      <c r="M2416" t="n">
        <v>0.328</v>
      </c>
    </row>
    <row r="2417" spans="1:13">
      <c r="A2417" s="1">
        <f>HYPERLINK("http://www.twitter.com/NathanBLawrence/status/984604384368709632", "984604384368709632")</f>
        <v/>
      </c>
      <c r="B2417" s="2" t="n">
        <v>43203.06194444445</v>
      </c>
      <c r="C2417" t="n">
        <v>0</v>
      </c>
      <c r="D2417" t="n">
        <v>552</v>
      </c>
      <c r="E2417" t="s">
        <v>2383</v>
      </c>
      <c r="F2417" t="s"/>
      <c r="G2417" t="s"/>
      <c r="H2417" t="s"/>
      <c r="I2417" t="s"/>
      <c r="J2417" t="n">
        <v>-0.5423</v>
      </c>
      <c r="K2417" t="n">
        <v>0.143</v>
      </c>
      <c r="L2417" t="n">
        <v>0.857</v>
      </c>
      <c r="M2417" t="n">
        <v>0</v>
      </c>
    </row>
    <row r="2418" spans="1:13">
      <c r="A2418" s="1">
        <f>HYPERLINK("http://www.twitter.com/NathanBLawrence/status/984604348952047616", "984604348952047616")</f>
        <v/>
      </c>
      <c r="B2418" s="2" t="n">
        <v>43203.06185185185</v>
      </c>
      <c r="C2418" t="n">
        <v>0</v>
      </c>
      <c r="D2418" t="n">
        <v>14</v>
      </c>
      <c r="E2418" t="s">
        <v>2384</v>
      </c>
      <c r="F2418" t="s"/>
      <c r="G2418" t="s"/>
      <c r="H2418" t="s"/>
      <c r="I2418" t="s"/>
      <c r="J2418" t="n">
        <v>0</v>
      </c>
      <c r="K2418" t="n">
        <v>0</v>
      </c>
      <c r="L2418" t="n">
        <v>1</v>
      </c>
      <c r="M2418" t="n">
        <v>0</v>
      </c>
    </row>
    <row r="2419" spans="1:13">
      <c r="A2419" s="1">
        <f>HYPERLINK("http://www.twitter.com/NathanBLawrence/status/984604295436873731", "984604295436873731")</f>
        <v/>
      </c>
      <c r="B2419" s="2" t="n">
        <v>43203.06170138889</v>
      </c>
      <c r="C2419" t="n">
        <v>0</v>
      </c>
      <c r="D2419" t="n">
        <v>7658</v>
      </c>
      <c r="E2419" t="s">
        <v>2385</v>
      </c>
      <c r="F2419" t="s"/>
      <c r="G2419" t="s"/>
      <c r="H2419" t="s"/>
      <c r="I2419" t="s"/>
      <c r="J2419" t="n">
        <v>0.6369</v>
      </c>
      <c r="K2419" t="n">
        <v>0</v>
      </c>
      <c r="L2419" t="n">
        <v>0.8090000000000001</v>
      </c>
      <c r="M2419" t="n">
        <v>0.191</v>
      </c>
    </row>
    <row r="2420" spans="1:13">
      <c r="A2420" s="1">
        <f>HYPERLINK("http://www.twitter.com/NathanBLawrence/status/984604212876251137", "984604212876251137")</f>
        <v/>
      </c>
      <c r="B2420" s="2" t="n">
        <v>43203.06148148148</v>
      </c>
      <c r="C2420" t="n">
        <v>1</v>
      </c>
      <c r="D2420" t="n">
        <v>0</v>
      </c>
      <c r="E2420" t="s">
        <v>2386</v>
      </c>
      <c r="F2420" t="s"/>
      <c r="G2420" t="s"/>
      <c r="H2420" t="s"/>
      <c r="I2420" t="s"/>
      <c r="J2420" t="n">
        <v>0.5983000000000001</v>
      </c>
      <c r="K2420" t="n">
        <v>0</v>
      </c>
      <c r="L2420" t="n">
        <v>0.698</v>
      </c>
      <c r="M2420" t="n">
        <v>0.302</v>
      </c>
    </row>
    <row r="2421" spans="1:13">
      <c r="A2421" s="1">
        <f>HYPERLINK("http://www.twitter.com/NathanBLawrence/status/984603868112834561", "984603868112834561")</f>
        <v/>
      </c>
      <c r="B2421" s="2" t="n">
        <v>43203.06052083334</v>
      </c>
      <c r="C2421" t="n">
        <v>0</v>
      </c>
      <c r="D2421" t="n">
        <v>0</v>
      </c>
      <c r="E2421" t="s">
        <v>2387</v>
      </c>
      <c r="F2421" t="s"/>
      <c r="G2421" t="s"/>
      <c r="H2421" t="s"/>
      <c r="I2421" t="s"/>
      <c r="J2421" t="n">
        <v>0</v>
      </c>
      <c r="K2421" t="n">
        <v>0.06900000000000001</v>
      </c>
      <c r="L2421" t="n">
        <v>0.861</v>
      </c>
      <c r="M2421" t="n">
        <v>0.06900000000000001</v>
      </c>
    </row>
    <row r="2422" spans="1:13">
      <c r="A2422" s="1">
        <f>HYPERLINK("http://www.twitter.com/NathanBLawrence/status/984603431104122882", "984603431104122882")</f>
        <v/>
      </c>
      <c r="B2422" s="2" t="n">
        <v>43203.05931712963</v>
      </c>
      <c r="C2422" t="n">
        <v>1</v>
      </c>
      <c r="D2422" t="n">
        <v>1</v>
      </c>
      <c r="E2422" t="s">
        <v>2388</v>
      </c>
      <c r="F2422" t="s"/>
      <c r="G2422" t="s"/>
      <c r="H2422" t="s"/>
      <c r="I2422" t="s"/>
      <c r="J2422" t="n">
        <v>0.5399</v>
      </c>
      <c r="K2422" t="n">
        <v>0</v>
      </c>
      <c r="L2422" t="n">
        <v>0.852</v>
      </c>
      <c r="M2422" t="n">
        <v>0.148</v>
      </c>
    </row>
    <row r="2423" spans="1:13">
      <c r="A2423" s="1">
        <f>HYPERLINK("http://www.twitter.com/NathanBLawrence/status/984602710124191744", "984602710124191744")</f>
        <v/>
      </c>
      <c r="B2423" s="2" t="n">
        <v>43203.05732638889</v>
      </c>
      <c r="C2423" t="n">
        <v>0</v>
      </c>
      <c r="D2423" t="n">
        <v>0</v>
      </c>
      <c r="E2423" t="s">
        <v>2389</v>
      </c>
      <c r="F2423" t="s"/>
      <c r="G2423" t="s"/>
      <c r="H2423" t="s"/>
      <c r="I2423" t="s"/>
      <c r="J2423" t="n">
        <v>0.1179</v>
      </c>
      <c r="K2423" t="n">
        <v>0.115</v>
      </c>
      <c r="L2423" t="n">
        <v>0.754</v>
      </c>
      <c r="M2423" t="n">
        <v>0.131</v>
      </c>
    </row>
    <row r="2424" spans="1:13">
      <c r="A2424" s="1">
        <f>HYPERLINK("http://www.twitter.com/NathanBLawrence/status/984587639155281920", "984587639155281920")</f>
        <v/>
      </c>
      <c r="B2424" s="2" t="n">
        <v>43203.01574074074</v>
      </c>
      <c r="C2424" t="n">
        <v>2</v>
      </c>
      <c r="D2424" t="n">
        <v>1</v>
      </c>
      <c r="E2424" t="s">
        <v>2390</v>
      </c>
      <c r="F2424" t="s"/>
      <c r="G2424" t="s"/>
      <c r="H2424" t="s"/>
      <c r="I2424" t="s"/>
      <c r="J2424" t="n">
        <v>-0.7040999999999999</v>
      </c>
      <c r="K2424" t="n">
        <v>0.25</v>
      </c>
      <c r="L2424" t="n">
        <v>0.578</v>
      </c>
      <c r="M2424" t="n">
        <v>0.172</v>
      </c>
    </row>
    <row r="2425" spans="1:13">
      <c r="A2425" s="1">
        <f>HYPERLINK("http://www.twitter.com/NathanBLawrence/status/984587100409552896", "984587100409552896")</f>
        <v/>
      </c>
      <c r="B2425" s="2" t="n">
        <v>43203.01425925926</v>
      </c>
      <c r="C2425" t="n">
        <v>0</v>
      </c>
      <c r="D2425" t="n">
        <v>1</v>
      </c>
      <c r="E2425" t="s">
        <v>2391</v>
      </c>
      <c r="F2425" t="s"/>
      <c r="G2425" t="s"/>
      <c r="H2425" t="s"/>
      <c r="I2425" t="s"/>
      <c r="J2425" t="n">
        <v>0</v>
      </c>
      <c r="K2425" t="n">
        <v>0</v>
      </c>
      <c r="L2425" t="n">
        <v>1</v>
      </c>
      <c r="M2425" t="n">
        <v>0</v>
      </c>
    </row>
    <row r="2426" spans="1:13">
      <c r="A2426" s="1">
        <f>HYPERLINK("http://www.twitter.com/NathanBLawrence/status/984586996264906754", "984586996264906754")</f>
        <v/>
      </c>
      <c r="B2426" s="2" t="n">
        <v>43203.01396990741</v>
      </c>
      <c r="C2426" t="n">
        <v>0</v>
      </c>
      <c r="D2426" t="n">
        <v>0</v>
      </c>
      <c r="E2426" t="s">
        <v>2392</v>
      </c>
      <c r="F2426" t="s"/>
      <c r="G2426" t="s"/>
      <c r="H2426" t="s"/>
      <c r="I2426" t="s"/>
      <c r="J2426" t="n">
        <v>0.887</v>
      </c>
      <c r="K2426" t="n">
        <v>0</v>
      </c>
      <c r="L2426" t="n">
        <v>0.633</v>
      </c>
      <c r="M2426" t="n">
        <v>0.367</v>
      </c>
    </row>
    <row r="2427" spans="1:13">
      <c r="A2427" s="1">
        <f>HYPERLINK("http://www.twitter.com/NathanBLawrence/status/984586839813214209", "984586839813214209")</f>
        <v/>
      </c>
      <c r="B2427" s="2" t="n">
        <v>43203.01354166667</v>
      </c>
      <c r="C2427" t="n">
        <v>0</v>
      </c>
      <c r="D2427" t="n">
        <v>0</v>
      </c>
      <c r="E2427" t="s">
        <v>2393</v>
      </c>
      <c r="F2427" t="s"/>
      <c r="G2427" t="s"/>
      <c r="H2427" t="s"/>
      <c r="I2427" t="s"/>
      <c r="J2427" t="n">
        <v>0</v>
      </c>
      <c r="K2427" t="n">
        <v>0.077</v>
      </c>
      <c r="L2427" t="n">
        <v>0.845</v>
      </c>
      <c r="M2427" t="n">
        <v>0.077</v>
      </c>
    </row>
    <row r="2428" spans="1:13">
      <c r="A2428" s="1">
        <f>HYPERLINK("http://www.twitter.com/NathanBLawrence/status/984586628630024193", "984586628630024193")</f>
        <v/>
      </c>
      <c r="B2428" s="2" t="n">
        <v>43203.01295138889</v>
      </c>
      <c r="C2428" t="n">
        <v>0</v>
      </c>
      <c r="D2428" t="n">
        <v>0</v>
      </c>
      <c r="E2428" t="s">
        <v>2394</v>
      </c>
      <c r="F2428" t="s"/>
      <c r="G2428" t="s"/>
      <c r="H2428" t="s"/>
      <c r="I2428" t="s"/>
      <c r="J2428" t="n">
        <v>-0.6435</v>
      </c>
      <c r="K2428" t="n">
        <v>0.134</v>
      </c>
      <c r="L2428" t="n">
        <v>0.866</v>
      </c>
      <c r="M2428" t="n">
        <v>0</v>
      </c>
    </row>
    <row r="2429" spans="1:13">
      <c r="A2429" s="1">
        <f>HYPERLINK("http://www.twitter.com/NathanBLawrence/status/984586352854478849", "984586352854478849")</f>
        <v/>
      </c>
      <c r="B2429" s="2" t="n">
        <v>43203.0121875</v>
      </c>
      <c r="C2429" t="n">
        <v>0</v>
      </c>
      <c r="D2429" t="n">
        <v>11</v>
      </c>
      <c r="E2429" t="s">
        <v>2395</v>
      </c>
      <c r="F2429">
        <f>HYPERLINK("http://pbs.twimg.com/media/DanxzxmW0AECNJM.jpg", "http://pbs.twimg.com/media/DanxzxmW0AECNJM.jpg")</f>
        <v/>
      </c>
      <c r="G2429" t="s"/>
      <c r="H2429" t="s"/>
      <c r="I2429" t="s"/>
      <c r="J2429" t="n">
        <v>-0.34</v>
      </c>
      <c r="K2429" t="n">
        <v>0.112</v>
      </c>
      <c r="L2429" t="n">
        <v>0.888</v>
      </c>
      <c r="M2429" t="n">
        <v>0</v>
      </c>
    </row>
    <row r="2430" spans="1:13">
      <c r="A2430" s="1">
        <f>HYPERLINK("http://www.twitter.com/NathanBLawrence/status/984586249821409280", "984586249821409280")</f>
        <v/>
      </c>
      <c r="B2430" s="2" t="n">
        <v>43203.01190972222</v>
      </c>
      <c r="C2430" t="n">
        <v>0</v>
      </c>
      <c r="D2430" t="n">
        <v>5</v>
      </c>
      <c r="E2430" t="s">
        <v>2396</v>
      </c>
      <c r="F2430" t="s"/>
      <c r="G2430" t="s"/>
      <c r="H2430" t="s"/>
      <c r="I2430" t="s"/>
      <c r="J2430" t="n">
        <v>-0.7111</v>
      </c>
      <c r="K2430" t="n">
        <v>0.278</v>
      </c>
      <c r="L2430" t="n">
        <v>0.64</v>
      </c>
      <c r="M2430" t="n">
        <v>0.081</v>
      </c>
    </row>
    <row r="2431" spans="1:13">
      <c r="A2431" s="1">
        <f>HYPERLINK("http://www.twitter.com/NathanBLawrence/status/984586190115438592", "984586190115438592")</f>
        <v/>
      </c>
      <c r="B2431" s="2" t="n">
        <v>43203.01174768519</v>
      </c>
      <c r="C2431" t="n">
        <v>0</v>
      </c>
      <c r="D2431" t="n">
        <v>23</v>
      </c>
      <c r="E2431" t="s">
        <v>2397</v>
      </c>
      <c r="F2431">
        <f>HYPERLINK("http://pbs.twimg.com/media/DamaWz0VAAAWVLo.jpg", "http://pbs.twimg.com/media/DamaWz0VAAAWVLo.jpg")</f>
        <v/>
      </c>
      <c r="G2431" t="s"/>
      <c r="H2431" t="s"/>
      <c r="I2431" t="s"/>
      <c r="J2431" t="n">
        <v>0</v>
      </c>
      <c r="K2431" t="n">
        <v>0</v>
      </c>
      <c r="L2431" t="n">
        <v>1</v>
      </c>
      <c r="M2431" t="n">
        <v>0</v>
      </c>
    </row>
    <row r="2432" spans="1:13">
      <c r="A2432" s="1">
        <f>HYPERLINK("http://www.twitter.com/NathanBLawrence/status/984586167109783553", "984586167109783553")</f>
        <v/>
      </c>
      <c r="B2432" s="2" t="n">
        <v>43203.01167824074</v>
      </c>
      <c r="C2432" t="n">
        <v>0</v>
      </c>
      <c r="D2432" t="n">
        <v>5</v>
      </c>
      <c r="E2432" t="s">
        <v>2398</v>
      </c>
      <c r="F2432">
        <f>HYPERLINK("http://pbs.twimg.com/media/DanU-u-WAAUuW62.jpg", "http://pbs.twimg.com/media/DanU-u-WAAUuW62.jpg")</f>
        <v/>
      </c>
      <c r="G2432" t="s"/>
      <c r="H2432" t="s"/>
      <c r="I2432" t="s"/>
      <c r="J2432" t="n">
        <v>0.5754</v>
      </c>
      <c r="K2432" t="n">
        <v>0</v>
      </c>
      <c r="L2432" t="n">
        <v>0.8110000000000001</v>
      </c>
      <c r="M2432" t="n">
        <v>0.189</v>
      </c>
    </row>
    <row r="2433" spans="1:13">
      <c r="A2433" s="1">
        <f>HYPERLINK("http://www.twitter.com/NathanBLawrence/status/984586134402592769", "984586134402592769")</f>
        <v/>
      </c>
      <c r="B2433" s="2" t="n">
        <v>43203.01158564815</v>
      </c>
      <c r="C2433" t="n">
        <v>1</v>
      </c>
      <c r="D2433" t="n">
        <v>2</v>
      </c>
      <c r="E2433" t="s">
        <v>2399</v>
      </c>
      <c r="F2433" t="s"/>
      <c r="G2433" t="s"/>
      <c r="H2433" t="s"/>
      <c r="I2433" t="s"/>
      <c r="J2433" t="n">
        <v>-0.1899</v>
      </c>
      <c r="K2433" t="n">
        <v>0.076</v>
      </c>
      <c r="L2433" t="n">
        <v>0.886</v>
      </c>
      <c r="M2433" t="n">
        <v>0.038</v>
      </c>
    </row>
    <row r="2434" spans="1:13">
      <c r="A2434" s="1">
        <f>HYPERLINK("http://www.twitter.com/NathanBLawrence/status/984579453346041856", "984579453346041856")</f>
        <v/>
      </c>
      <c r="B2434" s="2" t="n">
        <v>43202.99314814815</v>
      </c>
      <c r="C2434" t="n">
        <v>0</v>
      </c>
      <c r="D2434" t="n">
        <v>518</v>
      </c>
      <c r="E2434" t="s">
        <v>2400</v>
      </c>
      <c r="F2434">
        <f>HYPERLINK("http://pbs.twimg.com/media/DanKGFIVQAAiYde.jpg", "http://pbs.twimg.com/media/DanKGFIVQAAiYde.jpg")</f>
        <v/>
      </c>
      <c r="G2434" t="s"/>
      <c r="H2434" t="s"/>
      <c r="I2434" t="s"/>
      <c r="J2434" t="n">
        <v>-0.4019</v>
      </c>
      <c r="K2434" t="n">
        <v>0.163</v>
      </c>
      <c r="L2434" t="n">
        <v>0.837</v>
      </c>
      <c r="M2434" t="n">
        <v>0</v>
      </c>
    </row>
    <row r="2435" spans="1:13">
      <c r="A2435" s="1">
        <f>HYPERLINK("http://www.twitter.com/NathanBLawrence/status/984550990140592128", "984550990140592128")</f>
        <v/>
      </c>
      <c r="B2435" s="2" t="n">
        <v>43202.91460648148</v>
      </c>
      <c r="C2435" t="n">
        <v>0</v>
      </c>
      <c r="D2435" t="n">
        <v>1</v>
      </c>
      <c r="E2435" t="s">
        <v>2401</v>
      </c>
      <c r="F2435" t="s"/>
      <c r="G2435" t="s"/>
      <c r="H2435" t="s"/>
      <c r="I2435" t="s"/>
      <c r="J2435" t="n">
        <v>0.4019</v>
      </c>
      <c r="K2435" t="n">
        <v>0</v>
      </c>
      <c r="L2435" t="n">
        <v>0.876</v>
      </c>
      <c r="M2435" t="n">
        <v>0.124</v>
      </c>
    </row>
    <row r="2436" spans="1:13">
      <c r="A2436" s="1">
        <f>HYPERLINK("http://www.twitter.com/NathanBLawrence/status/984550916664778752", "984550916664778752")</f>
        <v/>
      </c>
      <c r="B2436" s="2" t="n">
        <v>43202.91440972222</v>
      </c>
      <c r="C2436" t="n">
        <v>0</v>
      </c>
      <c r="D2436" t="n">
        <v>0</v>
      </c>
      <c r="E2436" t="s">
        <v>2402</v>
      </c>
      <c r="F2436" t="s"/>
      <c r="G2436" t="s"/>
      <c r="H2436" t="s"/>
      <c r="I2436" t="s"/>
      <c r="J2436" t="n">
        <v>0</v>
      </c>
      <c r="K2436" t="n">
        <v>0</v>
      </c>
      <c r="L2436" t="n">
        <v>1</v>
      </c>
      <c r="M2436" t="n">
        <v>0</v>
      </c>
    </row>
    <row r="2437" spans="1:13">
      <c r="A2437" s="1">
        <f>HYPERLINK("http://www.twitter.com/NathanBLawrence/status/984532983582519296", "984532983582519296")</f>
        <v/>
      </c>
      <c r="B2437" s="2" t="n">
        <v>43202.86491898148</v>
      </c>
      <c r="C2437" t="n">
        <v>0</v>
      </c>
      <c r="D2437" t="n">
        <v>0</v>
      </c>
      <c r="E2437" t="s">
        <v>2403</v>
      </c>
      <c r="F2437" t="s"/>
      <c r="G2437" t="s"/>
      <c r="H2437" t="s"/>
      <c r="I2437" t="s"/>
      <c r="J2437" t="n">
        <v>-0.1027</v>
      </c>
      <c r="K2437" t="n">
        <v>0.08699999999999999</v>
      </c>
      <c r="L2437" t="n">
        <v>0.839</v>
      </c>
      <c r="M2437" t="n">
        <v>0.075</v>
      </c>
    </row>
    <row r="2438" spans="1:13">
      <c r="A2438" s="1">
        <f>HYPERLINK("http://www.twitter.com/NathanBLawrence/status/984532442018172928", "984532442018172928")</f>
        <v/>
      </c>
      <c r="B2438" s="2" t="n">
        <v>43202.86342592593</v>
      </c>
      <c r="C2438" t="n">
        <v>0</v>
      </c>
      <c r="D2438" t="n">
        <v>0</v>
      </c>
      <c r="E2438" t="s">
        <v>2404</v>
      </c>
      <c r="F2438" t="s"/>
      <c r="G2438" t="s"/>
      <c r="H2438" t="s"/>
      <c r="I2438" t="s"/>
      <c r="J2438" t="n">
        <v>0</v>
      </c>
      <c r="K2438" t="n">
        <v>0</v>
      </c>
      <c r="L2438" t="n">
        <v>1</v>
      </c>
      <c r="M2438" t="n">
        <v>0</v>
      </c>
    </row>
    <row r="2439" spans="1:13">
      <c r="A2439" s="1">
        <f>HYPERLINK("http://www.twitter.com/NathanBLawrence/status/984532239882047489", "984532239882047489")</f>
        <v/>
      </c>
      <c r="B2439" s="2" t="n">
        <v>43202.86287037037</v>
      </c>
      <c r="C2439" t="n">
        <v>0</v>
      </c>
      <c r="D2439" t="n">
        <v>4</v>
      </c>
      <c r="E2439" t="s">
        <v>2405</v>
      </c>
      <c r="F2439" t="s"/>
      <c r="G2439" t="s"/>
      <c r="H2439" t="s"/>
      <c r="I2439" t="s"/>
      <c r="J2439" t="n">
        <v>-0.1027</v>
      </c>
      <c r="K2439" t="n">
        <v>0.133</v>
      </c>
      <c r="L2439" t="n">
        <v>0.752</v>
      </c>
      <c r="M2439" t="n">
        <v>0.115</v>
      </c>
    </row>
    <row r="2440" spans="1:13">
      <c r="A2440" s="1">
        <f>HYPERLINK("http://www.twitter.com/NathanBLawrence/status/984532082046242816", "984532082046242816")</f>
        <v/>
      </c>
      <c r="B2440" s="2" t="n">
        <v>43202.86243055556</v>
      </c>
      <c r="C2440" t="n">
        <v>0</v>
      </c>
      <c r="D2440" t="n">
        <v>14</v>
      </c>
      <c r="E2440" t="s">
        <v>2406</v>
      </c>
      <c r="F2440" t="s"/>
      <c r="G2440" t="s"/>
      <c r="H2440" t="s"/>
      <c r="I2440" t="s"/>
      <c r="J2440" t="n">
        <v>-0.2023</v>
      </c>
      <c r="K2440" t="n">
        <v>0.159</v>
      </c>
      <c r="L2440" t="n">
        <v>0.721</v>
      </c>
      <c r="M2440" t="n">
        <v>0.12</v>
      </c>
    </row>
    <row r="2441" spans="1:13">
      <c r="A2441" s="1">
        <f>HYPERLINK("http://www.twitter.com/NathanBLawrence/status/984532020884856840", "984532020884856840")</f>
        <v/>
      </c>
      <c r="B2441" s="2" t="n">
        <v>43202.86226851852</v>
      </c>
      <c r="C2441" t="n">
        <v>0</v>
      </c>
      <c r="D2441" t="n">
        <v>3</v>
      </c>
      <c r="E2441" t="s">
        <v>2407</v>
      </c>
      <c r="F2441" t="s"/>
      <c r="G2441" t="s"/>
      <c r="H2441" t="s"/>
      <c r="I2441" t="s"/>
      <c r="J2441" t="n">
        <v>-0.0387</v>
      </c>
      <c r="K2441" t="n">
        <v>0.076</v>
      </c>
      <c r="L2441" t="n">
        <v>0.924</v>
      </c>
      <c r="M2441" t="n">
        <v>0</v>
      </c>
    </row>
    <row r="2442" spans="1:13">
      <c r="A2442" s="1">
        <f>HYPERLINK("http://www.twitter.com/NathanBLawrence/status/984531867968921601", "984531867968921601")</f>
        <v/>
      </c>
      <c r="B2442" s="2" t="n">
        <v>43202.86184027778</v>
      </c>
      <c r="C2442" t="n">
        <v>0</v>
      </c>
      <c r="D2442" t="n">
        <v>2</v>
      </c>
      <c r="E2442" t="s">
        <v>2408</v>
      </c>
      <c r="F2442" t="s"/>
      <c r="G2442" t="s"/>
      <c r="H2442" t="s"/>
      <c r="I2442" t="s"/>
      <c r="J2442" t="n">
        <v>0.0258</v>
      </c>
      <c r="K2442" t="n">
        <v>0.189</v>
      </c>
      <c r="L2442" t="n">
        <v>0.618</v>
      </c>
      <c r="M2442" t="n">
        <v>0.193</v>
      </c>
    </row>
    <row r="2443" spans="1:13">
      <c r="A2443" s="1">
        <f>HYPERLINK("http://www.twitter.com/NathanBLawrence/status/984531645989638149", "984531645989638149")</f>
        <v/>
      </c>
      <c r="B2443" s="2" t="n">
        <v>43202.86122685186</v>
      </c>
      <c r="C2443" t="n">
        <v>0</v>
      </c>
      <c r="D2443" t="n">
        <v>0</v>
      </c>
      <c r="E2443" t="s">
        <v>2409</v>
      </c>
      <c r="F2443" t="s"/>
      <c r="G2443" t="s"/>
      <c r="H2443" t="s"/>
      <c r="I2443" t="s"/>
      <c r="J2443" t="n">
        <v>0</v>
      </c>
      <c r="K2443" t="n">
        <v>0</v>
      </c>
      <c r="L2443" t="n">
        <v>1</v>
      </c>
      <c r="M2443" t="n">
        <v>0</v>
      </c>
    </row>
    <row r="2444" spans="1:13">
      <c r="A2444" s="1">
        <f>HYPERLINK("http://www.twitter.com/NathanBLawrence/status/984531618303012864", "984531618303012864")</f>
        <v/>
      </c>
      <c r="B2444" s="2" t="n">
        <v>43202.86115740741</v>
      </c>
      <c r="C2444" t="n">
        <v>0</v>
      </c>
      <c r="D2444" t="n">
        <v>1</v>
      </c>
      <c r="E2444" t="s">
        <v>2410</v>
      </c>
      <c r="F2444" t="s"/>
      <c r="G2444" t="s"/>
      <c r="H2444" t="s"/>
      <c r="I2444" t="s"/>
      <c r="J2444" t="n">
        <v>0.34</v>
      </c>
      <c r="K2444" t="n">
        <v>0</v>
      </c>
      <c r="L2444" t="n">
        <v>0.888</v>
      </c>
      <c r="M2444" t="n">
        <v>0.112</v>
      </c>
    </row>
    <row r="2445" spans="1:13">
      <c r="A2445" s="1">
        <f>HYPERLINK("http://www.twitter.com/NathanBLawrence/status/984524454750490624", "984524454750490624")</f>
        <v/>
      </c>
      <c r="B2445" s="2" t="n">
        <v>43202.84138888889</v>
      </c>
      <c r="C2445" t="n">
        <v>1</v>
      </c>
      <c r="D2445" t="n">
        <v>1</v>
      </c>
      <c r="E2445" t="s">
        <v>2411</v>
      </c>
      <c r="F2445" t="s"/>
      <c r="G2445" t="s"/>
      <c r="H2445" t="s"/>
      <c r="I2445" t="s"/>
      <c r="J2445" t="n">
        <v>0</v>
      </c>
      <c r="K2445" t="n">
        <v>0</v>
      </c>
      <c r="L2445" t="n">
        <v>1</v>
      </c>
      <c r="M2445" t="n">
        <v>0</v>
      </c>
    </row>
    <row r="2446" spans="1:13">
      <c r="A2446" s="1">
        <f>HYPERLINK("http://www.twitter.com/NathanBLawrence/status/984501044389478401", "984501044389478401")</f>
        <v/>
      </c>
      <c r="B2446" s="2" t="n">
        <v>43202.77678240741</v>
      </c>
      <c r="C2446" t="n">
        <v>0</v>
      </c>
      <c r="D2446" t="n">
        <v>1331</v>
      </c>
      <c r="E2446" t="s">
        <v>2412</v>
      </c>
      <c r="F2446">
        <f>HYPERLINK("https://video.twimg.com/ext_tw_video/984494259356123136/pu/vid/720x720/LF0IJxPORK3EMsQg.mp4?tag=2", "https://video.twimg.com/ext_tw_video/984494259356123136/pu/vid/720x720/LF0IJxPORK3EMsQg.mp4?tag=2")</f>
        <v/>
      </c>
      <c r="G2446" t="s"/>
      <c r="H2446" t="s"/>
      <c r="I2446" t="s"/>
      <c r="J2446" t="n">
        <v>0</v>
      </c>
      <c r="K2446" t="n">
        <v>0</v>
      </c>
      <c r="L2446" t="n">
        <v>1</v>
      </c>
      <c r="M2446" t="n">
        <v>0</v>
      </c>
    </row>
    <row r="2447" spans="1:13">
      <c r="A2447" s="1">
        <f>HYPERLINK("http://www.twitter.com/NathanBLawrence/status/984500678239203328", "984500678239203328")</f>
        <v/>
      </c>
      <c r="B2447" s="2" t="n">
        <v>43202.77577546296</v>
      </c>
      <c r="C2447" t="n">
        <v>2</v>
      </c>
      <c r="D2447" t="n">
        <v>0</v>
      </c>
      <c r="E2447" t="s">
        <v>2413</v>
      </c>
      <c r="F2447" t="s"/>
      <c r="G2447" t="s"/>
      <c r="H2447" t="s"/>
      <c r="I2447" t="s"/>
      <c r="J2447" t="n">
        <v>0.296</v>
      </c>
      <c r="K2447" t="n">
        <v>0.032</v>
      </c>
      <c r="L2447" t="n">
        <v>0.907</v>
      </c>
      <c r="M2447" t="n">
        <v>0.061</v>
      </c>
    </row>
    <row r="2448" spans="1:13">
      <c r="A2448" s="1">
        <f>HYPERLINK("http://www.twitter.com/NathanBLawrence/status/984500498173657088", "984500498173657088")</f>
        <v/>
      </c>
      <c r="B2448" s="2" t="n">
        <v>43202.77527777778</v>
      </c>
      <c r="C2448" t="n">
        <v>4</v>
      </c>
      <c r="D2448" t="n">
        <v>2</v>
      </c>
      <c r="E2448" t="s">
        <v>2414</v>
      </c>
      <c r="F2448" t="s"/>
      <c r="G2448" t="s"/>
      <c r="H2448" t="s"/>
      <c r="I2448" t="s"/>
      <c r="J2448" t="n">
        <v>0.0258</v>
      </c>
      <c r="K2448" t="n">
        <v>0.132</v>
      </c>
      <c r="L2448" t="n">
        <v>0.734</v>
      </c>
      <c r="M2448" t="n">
        <v>0.134</v>
      </c>
    </row>
    <row r="2449" spans="1:13">
      <c r="A2449" s="1">
        <f>HYPERLINK("http://www.twitter.com/NathanBLawrence/status/984500125480480770", "984500125480480770")</f>
        <v/>
      </c>
      <c r="B2449" s="2" t="n">
        <v>43202.77424768519</v>
      </c>
      <c r="C2449" t="n">
        <v>0</v>
      </c>
      <c r="D2449" t="n">
        <v>0</v>
      </c>
      <c r="E2449" t="s">
        <v>2415</v>
      </c>
      <c r="F2449" t="s"/>
      <c r="G2449" t="s"/>
      <c r="H2449" t="s"/>
      <c r="I2449" t="s"/>
      <c r="J2449" t="n">
        <v>0.1027</v>
      </c>
      <c r="K2449" t="n">
        <v>0.078</v>
      </c>
      <c r="L2449" t="n">
        <v>0.833</v>
      </c>
      <c r="M2449" t="n">
        <v>0.089</v>
      </c>
    </row>
    <row r="2450" spans="1:13">
      <c r="A2450" s="1">
        <f>HYPERLINK("http://www.twitter.com/NathanBLawrence/status/984499821548572672", "984499821548572672")</f>
        <v/>
      </c>
      <c r="B2450" s="2" t="n">
        <v>43202.77341435185</v>
      </c>
      <c r="C2450" t="n">
        <v>4</v>
      </c>
      <c r="D2450" t="n">
        <v>1</v>
      </c>
      <c r="E2450" t="s">
        <v>2416</v>
      </c>
      <c r="F2450" t="s"/>
      <c r="G2450" t="s"/>
      <c r="H2450" t="s"/>
      <c r="I2450" t="s"/>
      <c r="J2450" t="n">
        <v>-0.128</v>
      </c>
      <c r="K2450" t="n">
        <v>0.096</v>
      </c>
      <c r="L2450" t="n">
        <v>0.843</v>
      </c>
      <c r="M2450" t="n">
        <v>0.062</v>
      </c>
    </row>
    <row r="2451" spans="1:13">
      <c r="A2451" s="1">
        <f>HYPERLINK("http://www.twitter.com/NathanBLawrence/status/984499600190033922", "984499600190033922")</f>
        <v/>
      </c>
      <c r="B2451" s="2" t="n">
        <v>43202.77280092592</v>
      </c>
      <c r="C2451" t="n">
        <v>2</v>
      </c>
      <c r="D2451" t="n">
        <v>0</v>
      </c>
      <c r="E2451" t="s">
        <v>2417</v>
      </c>
      <c r="F2451" t="s"/>
      <c r="G2451" t="s"/>
      <c r="H2451" t="s"/>
      <c r="I2451" t="s"/>
      <c r="J2451" t="n">
        <v>0.91</v>
      </c>
      <c r="K2451" t="n">
        <v>0</v>
      </c>
      <c r="L2451" t="n">
        <v>0.716</v>
      </c>
      <c r="M2451" t="n">
        <v>0.284</v>
      </c>
    </row>
    <row r="2452" spans="1:13">
      <c r="A2452" s="1">
        <f>HYPERLINK("http://www.twitter.com/NathanBLawrence/status/984499196274225152", "984499196274225152")</f>
        <v/>
      </c>
      <c r="B2452" s="2" t="n">
        <v>43202.77168981481</v>
      </c>
      <c r="C2452" t="n">
        <v>2</v>
      </c>
      <c r="D2452" t="n">
        <v>1</v>
      </c>
      <c r="E2452" t="s">
        <v>2418</v>
      </c>
      <c r="F2452" t="s"/>
      <c r="G2452" t="s"/>
      <c r="H2452" t="s"/>
      <c r="I2452" t="s"/>
      <c r="J2452" t="n">
        <v>-0.3818</v>
      </c>
      <c r="K2452" t="n">
        <v>0.158</v>
      </c>
      <c r="L2452" t="n">
        <v>0.775</v>
      </c>
      <c r="M2452" t="n">
        <v>0.068</v>
      </c>
    </row>
    <row r="2453" spans="1:13">
      <c r="A2453" s="1">
        <f>HYPERLINK("http://www.twitter.com/NathanBLawrence/status/984498680056053760", "984498680056053760")</f>
        <v/>
      </c>
      <c r="B2453" s="2" t="n">
        <v>43202.7702662037</v>
      </c>
      <c r="C2453" t="n">
        <v>2</v>
      </c>
      <c r="D2453" t="n">
        <v>0</v>
      </c>
      <c r="E2453" t="s">
        <v>2419</v>
      </c>
      <c r="F2453" t="s"/>
      <c r="G2453" t="s"/>
      <c r="H2453" t="s"/>
      <c r="I2453" t="s"/>
      <c r="J2453" t="n">
        <v>-0.891</v>
      </c>
      <c r="K2453" t="n">
        <v>0.263</v>
      </c>
      <c r="L2453" t="n">
        <v>0.6899999999999999</v>
      </c>
      <c r="M2453" t="n">
        <v>0.047</v>
      </c>
    </row>
    <row r="2454" spans="1:13">
      <c r="A2454" s="1">
        <f>HYPERLINK("http://www.twitter.com/NathanBLawrence/status/984498212756180992", "984498212756180992")</f>
        <v/>
      </c>
      <c r="B2454" s="2" t="n">
        <v>43202.76896990741</v>
      </c>
      <c r="C2454" t="n">
        <v>0</v>
      </c>
      <c r="D2454" t="n">
        <v>0</v>
      </c>
      <c r="E2454" t="s">
        <v>2420</v>
      </c>
      <c r="F2454" t="s"/>
      <c r="G2454" t="s"/>
      <c r="H2454" t="s"/>
      <c r="I2454" t="s"/>
      <c r="J2454" t="n">
        <v>0.7783</v>
      </c>
      <c r="K2454" t="n">
        <v>0</v>
      </c>
      <c r="L2454" t="n">
        <v>0.825</v>
      </c>
      <c r="M2454" t="n">
        <v>0.175</v>
      </c>
    </row>
    <row r="2455" spans="1:13">
      <c r="A2455" s="1">
        <f>HYPERLINK("http://www.twitter.com/NathanBLawrence/status/984497855544135683", "984497855544135683")</f>
        <v/>
      </c>
      <c r="B2455" s="2" t="n">
        <v>43202.76798611111</v>
      </c>
      <c r="C2455" t="n">
        <v>0</v>
      </c>
      <c r="D2455" t="n">
        <v>0</v>
      </c>
      <c r="E2455" t="s">
        <v>2421</v>
      </c>
      <c r="F2455" t="s"/>
      <c r="G2455" t="s"/>
      <c r="H2455" t="s"/>
      <c r="I2455" t="s"/>
      <c r="J2455" t="n">
        <v>-0.6402</v>
      </c>
      <c r="K2455" t="n">
        <v>0.272</v>
      </c>
      <c r="L2455" t="n">
        <v>0.728</v>
      </c>
      <c r="M2455" t="n">
        <v>0</v>
      </c>
    </row>
    <row r="2456" spans="1:13">
      <c r="A2456" s="1">
        <f>HYPERLINK("http://www.twitter.com/NathanBLawrence/status/984496901725696000", "984496901725696000")</f>
        <v/>
      </c>
      <c r="B2456" s="2" t="n">
        <v>43202.7653587963</v>
      </c>
      <c r="C2456" t="n">
        <v>0</v>
      </c>
      <c r="D2456" t="n">
        <v>5</v>
      </c>
      <c r="E2456" t="s">
        <v>2422</v>
      </c>
      <c r="F2456" t="s"/>
      <c r="G2456" t="s"/>
      <c r="H2456" t="s"/>
      <c r="I2456" t="s"/>
      <c r="J2456" t="n">
        <v>0</v>
      </c>
      <c r="K2456" t="n">
        <v>0</v>
      </c>
      <c r="L2456" t="n">
        <v>1</v>
      </c>
      <c r="M2456" t="n">
        <v>0</v>
      </c>
    </row>
    <row r="2457" spans="1:13">
      <c r="A2457" s="1">
        <f>HYPERLINK("http://www.twitter.com/NathanBLawrence/status/984496864488763392", "984496864488763392")</f>
        <v/>
      </c>
      <c r="B2457" s="2" t="n">
        <v>43202.76525462963</v>
      </c>
      <c r="C2457" t="n">
        <v>1</v>
      </c>
      <c r="D2457" t="n">
        <v>0</v>
      </c>
      <c r="E2457" t="s">
        <v>2423</v>
      </c>
      <c r="F2457" t="s"/>
      <c r="G2457" t="s"/>
      <c r="H2457" t="s"/>
      <c r="I2457" t="s"/>
      <c r="J2457" t="n">
        <v>0</v>
      </c>
      <c r="K2457" t="n">
        <v>0</v>
      </c>
      <c r="L2457" t="n">
        <v>1</v>
      </c>
      <c r="M2457" t="n">
        <v>0</v>
      </c>
    </row>
    <row r="2458" spans="1:13">
      <c r="A2458" s="1">
        <f>HYPERLINK("http://www.twitter.com/NathanBLawrence/status/984496741314592769", "984496741314592769")</f>
        <v/>
      </c>
      <c r="B2458" s="2" t="n">
        <v>43202.76490740741</v>
      </c>
      <c r="C2458" t="n">
        <v>0</v>
      </c>
      <c r="D2458" t="n">
        <v>2</v>
      </c>
      <c r="E2458" t="s">
        <v>2424</v>
      </c>
      <c r="F2458">
        <f>HYPERLINK("http://pbs.twimg.com/media/DamgeX9VAAADID3.jpg", "http://pbs.twimg.com/media/DamgeX9VAAADID3.jpg")</f>
        <v/>
      </c>
      <c r="G2458" t="s"/>
      <c r="H2458" t="s"/>
      <c r="I2458" t="s"/>
      <c r="J2458" t="n">
        <v>-0.0772</v>
      </c>
      <c r="K2458" t="n">
        <v>0.098</v>
      </c>
      <c r="L2458" t="n">
        <v>0.902</v>
      </c>
      <c r="M2458" t="n">
        <v>0</v>
      </c>
    </row>
    <row r="2459" spans="1:13">
      <c r="A2459" s="1">
        <f>HYPERLINK("http://www.twitter.com/NathanBLawrence/status/984496617020588032", "984496617020588032")</f>
        <v/>
      </c>
      <c r="B2459" s="2" t="n">
        <v>43202.76457175926</v>
      </c>
      <c r="C2459" t="n">
        <v>0</v>
      </c>
      <c r="D2459" t="n">
        <v>0</v>
      </c>
      <c r="E2459" t="s">
        <v>2425</v>
      </c>
      <c r="F2459" t="s"/>
      <c r="G2459" t="s"/>
      <c r="H2459" t="s"/>
      <c r="I2459" t="s"/>
      <c r="J2459" t="n">
        <v>0.7717000000000001</v>
      </c>
      <c r="K2459" t="n">
        <v>0</v>
      </c>
      <c r="L2459" t="n">
        <v>0.749</v>
      </c>
      <c r="M2459" t="n">
        <v>0.251</v>
      </c>
    </row>
    <row r="2460" spans="1:13">
      <c r="A2460" s="1">
        <f>HYPERLINK("http://www.twitter.com/NathanBLawrence/status/984496297897062400", "984496297897062400")</f>
        <v/>
      </c>
      <c r="B2460" s="2" t="n">
        <v>43202.76369212963</v>
      </c>
      <c r="C2460" t="n">
        <v>1</v>
      </c>
      <c r="D2460" t="n">
        <v>1</v>
      </c>
      <c r="E2460" t="s">
        <v>2426</v>
      </c>
      <c r="F2460" t="s"/>
      <c r="G2460" t="s"/>
      <c r="H2460" t="s"/>
      <c r="I2460" t="s"/>
      <c r="J2460" t="n">
        <v>-0.3863</v>
      </c>
      <c r="K2460" t="n">
        <v>0.141</v>
      </c>
      <c r="L2460" t="n">
        <v>0.859</v>
      </c>
      <c r="M2460" t="n">
        <v>0</v>
      </c>
    </row>
    <row r="2461" spans="1:13">
      <c r="A2461" s="1">
        <f>HYPERLINK("http://www.twitter.com/NathanBLawrence/status/984496072713277440", "984496072713277440")</f>
        <v/>
      </c>
      <c r="B2461" s="2" t="n">
        <v>43202.76306712963</v>
      </c>
      <c r="C2461" t="n">
        <v>3</v>
      </c>
      <c r="D2461" t="n">
        <v>0</v>
      </c>
      <c r="E2461" t="s">
        <v>2427</v>
      </c>
      <c r="F2461" t="s"/>
      <c r="G2461" t="s"/>
      <c r="H2461" t="s"/>
      <c r="I2461" t="s"/>
      <c r="J2461" t="n">
        <v>0.1195</v>
      </c>
      <c r="K2461" t="n">
        <v>0.149</v>
      </c>
      <c r="L2461" t="n">
        <v>0.671</v>
      </c>
      <c r="M2461" t="n">
        <v>0.181</v>
      </c>
    </row>
    <row r="2462" spans="1:13">
      <c r="A2462" s="1">
        <f>HYPERLINK("http://www.twitter.com/NathanBLawrence/status/984495340148723712", "984495340148723712")</f>
        <v/>
      </c>
      <c r="B2462" s="2" t="n">
        <v>43202.76104166666</v>
      </c>
      <c r="C2462" t="n">
        <v>0</v>
      </c>
      <c r="D2462" t="n">
        <v>8</v>
      </c>
      <c r="E2462" t="s">
        <v>2428</v>
      </c>
      <c r="F2462" t="s"/>
      <c r="G2462" t="s"/>
      <c r="H2462" t="s"/>
      <c r="I2462" t="s"/>
      <c r="J2462" t="n">
        <v>0.6597</v>
      </c>
      <c r="K2462" t="n">
        <v>0</v>
      </c>
      <c r="L2462" t="n">
        <v>0.759</v>
      </c>
      <c r="M2462" t="n">
        <v>0.241</v>
      </c>
    </row>
    <row r="2463" spans="1:13">
      <c r="A2463" s="1">
        <f>HYPERLINK("http://www.twitter.com/NathanBLawrence/status/984495289141784576", "984495289141784576")</f>
        <v/>
      </c>
      <c r="B2463" s="2" t="n">
        <v>43202.76090277778</v>
      </c>
      <c r="C2463" t="n">
        <v>0</v>
      </c>
      <c r="D2463" t="n">
        <v>48</v>
      </c>
      <c r="E2463" t="s">
        <v>2429</v>
      </c>
      <c r="F2463">
        <f>HYPERLINK("http://pbs.twimg.com/media/DamZNw0WAAIm8Kv.jpg", "http://pbs.twimg.com/media/DamZNw0WAAIm8Kv.jpg")</f>
        <v/>
      </c>
      <c r="G2463" t="s"/>
      <c r="H2463" t="s"/>
      <c r="I2463" t="s"/>
      <c r="J2463" t="n">
        <v>-0.7717000000000001</v>
      </c>
      <c r="K2463" t="n">
        <v>0.325</v>
      </c>
      <c r="L2463" t="n">
        <v>0.675</v>
      </c>
      <c r="M2463" t="n">
        <v>0</v>
      </c>
    </row>
    <row r="2464" spans="1:13">
      <c r="A2464" s="1">
        <f>HYPERLINK("http://www.twitter.com/NathanBLawrence/status/984495105104138242", "984495105104138242")</f>
        <v/>
      </c>
      <c r="B2464" s="2" t="n">
        <v>43202.76039351852</v>
      </c>
      <c r="C2464" t="n">
        <v>0</v>
      </c>
      <c r="D2464" t="n">
        <v>0</v>
      </c>
      <c r="E2464" t="s">
        <v>2430</v>
      </c>
      <c r="F2464" t="s"/>
      <c r="G2464" t="s"/>
      <c r="H2464" t="s"/>
      <c r="I2464" t="s"/>
      <c r="J2464" t="n">
        <v>0</v>
      </c>
      <c r="K2464" t="n">
        <v>0</v>
      </c>
      <c r="L2464" t="n">
        <v>1</v>
      </c>
      <c r="M2464" t="n">
        <v>0</v>
      </c>
    </row>
    <row r="2465" spans="1:13">
      <c r="A2465" s="1">
        <f>HYPERLINK("http://www.twitter.com/NathanBLawrence/status/984495064964530177", "984495064964530177")</f>
        <v/>
      </c>
      <c r="B2465" s="2" t="n">
        <v>43202.76028935185</v>
      </c>
      <c r="C2465" t="n">
        <v>0</v>
      </c>
      <c r="D2465" t="n">
        <v>0</v>
      </c>
      <c r="E2465" t="s">
        <v>2431</v>
      </c>
      <c r="F2465" t="s"/>
      <c r="G2465" t="s"/>
      <c r="H2465" t="s"/>
      <c r="I2465" t="s"/>
      <c r="J2465" t="n">
        <v>-0.001</v>
      </c>
      <c r="K2465" t="n">
        <v>0.109</v>
      </c>
      <c r="L2465" t="n">
        <v>0.782</v>
      </c>
      <c r="M2465" t="n">
        <v>0.109</v>
      </c>
    </row>
    <row r="2466" spans="1:13">
      <c r="A2466" s="1">
        <f>HYPERLINK("http://www.twitter.com/NathanBLawrence/status/984494745702555651", "984494745702555651")</f>
        <v/>
      </c>
      <c r="B2466" s="2" t="n">
        <v>43202.75940972222</v>
      </c>
      <c r="C2466" t="n">
        <v>0</v>
      </c>
      <c r="D2466" t="n">
        <v>0</v>
      </c>
      <c r="E2466" t="s">
        <v>2432</v>
      </c>
      <c r="F2466">
        <f>HYPERLINK("http://pbs.twimg.com/media/DamgvtvU8AAX_6u.jpg", "http://pbs.twimg.com/media/DamgvtvU8AAX_6u.jpg")</f>
        <v/>
      </c>
      <c r="G2466" t="s"/>
      <c r="H2466" t="s"/>
      <c r="I2466" t="s"/>
      <c r="J2466" t="n">
        <v>0</v>
      </c>
      <c r="K2466" t="n">
        <v>0</v>
      </c>
      <c r="L2466" t="n">
        <v>1</v>
      </c>
      <c r="M2466" t="n">
        <v>0</v>
      </c>
    </row>
    <row r="2467" spans="1:13">
      <c r="A2467" s="1">
        <f>HYPERLINK("http://www.twitter.com/NathanBLawrence/status/984494542895374336", "984494542895374336")</f>
        <v/>
      </c>
      <c r="B2467" s="2" t="n">
        <v>43202.75884259259</v>
      </c>
      <c r="C2467" t="n">
        <v>0</v>
      </c>
      <c r="D2467" t="n">
        <v>0</v>
      </c>
      <c r="E2467" t="s">
        <v>2433</v>
      </c>
      <c r="F2467" t="s"/>
      <c r="G2467" t="s"/>
      <c r="H2467" t="s"/>
      <c r="I2467" t="s"/>
      <c r="J2467" t="n">
        <v>-0.3612</v>
      </c>
      <c r="K2467" t="n">
        <v>0.2</v>
      </c>
      <c r="L2467" t="n">
        <v>0.8</v>
      </c>
      <c r="M2467" t="n">
        <v>0</v>
      </c>
    </row>
    <row r="2468" spans="1:13">
      <c r="A2468" s="1">
        <f>HYPERLINK("http://www.twitter.com/NathanBLawrence/status/984494447063982080", "984494447063982080")</f>
        <v/>
      </c>
      <c r="B2468" s="2" t="n">
        <v>43202.75857638889</v>
      </c>
      <c r="C2468" t="n">
        <v>3</v>
      </c>
      <c r="D2468" t="n">
        <v>2</v>
      </c>
      <c r="E2468" t="s">
        <v>2434</v>
      </c>
      <c r="F2468">
        <f>HYPERLINK("http://pbs.twimg.com/media/DamgeX9VAAADID3.jpg", "http://pbs.twimg.com/media/DamgeX9VAAADID3.jpg")</f>
        <v/>
      </c>
      <c r="G2468" t="s"/>
      <c r="H2468" t="s"/>
      <c r="I2468" t="s"/>
      <c r="J2468" t="n">
        <v>-0.3939</v>
      </c>
      <c r="K2468" t="n">
        <v>0.115</v>
      </c>
      <c r="L2468" t="n">
        <v>0.832</v>
      </c>
      <c r="M2468" t="n">
        <v>0.053</v>
      </c>
    </row>
    <row r="2469" spans="1:13">
      <c r="A2469" s="1">
        <f>HYPERLINK("http://www.twitter.com/NathanBLawrence/status/984482828334321665", "984482828334321665")</f>
        <v/>
      </c>
      <c r="B2469" s="2" t="n">
        <v>43202.7265162037</v>
      </c>
      <c r="C2469" t="n">
        <v>0</v>
      </c>
      <c r="D2469" t="n">
        <v>5</v>
      </c>
      <c r="E2469" t="s">
        <v>2435</v>
      </c>
      <c r="F2469" t="s"/>
      <c r="G2469" t="s"/>
      <c r="H2469" t="s"/>
      <c r="I2469" t="s"/>
      <c r="J2469" t="n">
        <v>0.0516</v>
      </c>
      <c r="K2469" t="n">
        <v>0.06900000000000001</v>
      </c>
      <c r="L2469" t="n">
        <v>0.851</v>
      </c>
      <c r="M2469" t="n">
        <v>0.08</v>
      </c>
    </row>
    <row r="2470" spans="1:13">
      <c r="A2470" s="1">
        <f>HYPERLINK("http://www.twitter.com/NathanBLawrence/status/984478822371340289", "984478822371340289")</f>
        <v/>
      </c>
      <c r="B2470" s="2" t="n">
        <v>43202.71546296297</v>
      </c>
      <c r="C2470" t="n">
        <v>0</v>
      </c>
      <c r="D2470" t="n">
        <v>0</v>
      </c>
      <c r="E2470" t="s">
        <v>2436</v>
      </c>
      <c r="F2470" t="s"/>
      <c r="G2470" t="s"/>
      <c r="H2470" t="s"/>
      <c r="I2470" t="s"/>
      <c r="J2470" t="n">
        <v>-0.1027</v>
      </c>
      <c r="K2470" t="n">
        <v>0.341</v>
      </c>
      <c r="L2470" t="n">
        <v>0.366</v>
      </c>
      <c r="M2470" t="n">
        <v>0.293</v>
      </c>
    </row>
    <row r="2471" spans="1:13">
      <c r="A2471" s="1">
        <f>HYPERLINK("http://www.twitter.com/NathanBLawrence/status/984478754020974592", "984478754020974592")</f>
        <v/>
      </c>
      <c r="B2471" s="2" t="n">
        <v>43202.71527777778</v>
      </c>
      <c r="C2471" t="n">
        <v>0</v>
      </c>
      <c r="D2471" t="n">
        <v>1</v>
      </c>
      <c r="E2471" t="s">
        <v>2437</v>
      </c>
      <c r="F2471">
        <f>HYPERLINK("http://pbs.twimg.com/media/DamRgfrWkAUswiL.jpg", "http://pbs.twimg.com/media/DamRgfrWkAUswiL.jpg")</f>
        <v/>
      </c>
      <c r="G2471" t="s"/>
      <c r="H2471" t="s"/>
      <c r="I2471" t="s"/>
      <c r="J2471" t="n">
        <v>0</v>
      </c>
      <c r="K2471" t="n">
        <v>0</v>
      </c>
      <c r="L2471" t="n">
        <v>1</v>
      </c>
      <c r="M2471" t="n">
        <v>0</v>
      </c>
    </row>
    <row r="2472" spans="1:13">
      <c r="A2472" s="1">
        <f>HYPERLINK("http://www.twitter.com/NathanBLawrence/status/984478178184978433", "984478178184978433")</f>
        <v/>
      </c>
      <c r="B2472" s="2" t="n">
        <v>43202.71369212963</v>
      </c>
      <c r="C2472" t="n">
        <v>0</v>
      </c>
      <c r="D2472" t="n">
        <v>0</v>
      </c>
      <c r="E2472" t="s">
        <v>2438</v>
      </c>
      <c r="F2472" t="s"/>
      <c r="G2472" t="s"/>
      <c r="H2472" t="s"/>
      <c r="I2472" t="s"/>
      <c r="J2472" t="n">
        <v>0.4526</v>
      </c>
      <c r="K2472" t="n">
        <v>0.07000000000000001</v>
      </c>
      <c r="L2472" t="n">
        <v>0.782</v>
      </c>
      <c r="M2472" t="n">
        <v>0.148</v>
      </c>
    </row>
    <row r="2473" spans="1:13">
      <c r="A2473" s="1">
        <f>HYPERLINK("http://www.twitter.com/NathanBLawrence/status/984477983921631232", "984477983921631232")</f>
        <v/>
      </c>
      <c r="B2473" s="2" t="n">
        <v>43202.71314814815</v>
      </c>
      <c r="C2473" t="n">
        <v>1</v>
      </c>
      <c r="D2473" t="n">
        <v>1</v>
      </c>
      <c r="E2473" t="s">
        <v>2439</v>
      </c>
      <c r="F2473">
        <f>HYPERLINK("http://pbs.twimg.com/media/DamRgfrWkAUswiL.jpg", "http://pbs.twimg.com/media/DamRgfrWkAUswiL.jpg")</f>
        <v/>
      </c>
      <c r="G2473" t="s"/>
      <c r="H2473" t="s"/>
      <c r="I2473" t="s"/>
      <c r="J2473" t="n">
        <v>-0.0772</v>
      </c>
      <c r="K2473" t="n">
        <v>0.04</v>
      </c>
      <c r="L2473" t="n">
        <v>0.96</v>
      </c>
      <c r="M2473" t="n">
        <v>0</v>
      </c>
    </row>
    <row r="2474" spans="1:13">
      <c r="A2474" s="1">
        <f>HYPERLINK("http://www.twitter.com/NathanBLawrence/status/984477500570062848", "984477500570062848")</f>
        <v/>
      </c>
      <c r="B2474" s="2" t="n">
        <v>43202.71181712963</v>
      </c>
      <c r="C2474" t="n">
        <v>1</v>
      </c>
      <c r="D2474" t="n">
        <v>0</v>
      </c>
      <c r="E2474" t="s">
        <v>2440</v>
      </c>
      <c r="F2474" t="s"/>
      <c r="G2474" t="s"/>
      <c r="H2474" t="s"/>
      <c r="I2474" t="s"/>
      <c r="J2474" t="n">
        <v>0.8442</v>
      </c>
      <c r="K2474" t="n">
        <v>0</v>
      </c>
      <c r="L2474" t="n">
        <v>0.8149999999999999</v>
      </c>
      <c r="M2474" t="n">
        <v>0.185</v>
      </c>
    </row>
    <row r="2475" spans="1:13">
      <c r="A2475" s="1">
        <f>HYPERLINK("http://www.twitter.com/NathanBLawrence/status/984477260982968327", "984477260982968327")</f>
        <v/>
      </c>
      <c r="B2475" s="2" t="n">
        <v>43202.71115740741</v>
      </c>
      <c r="C2475" t="n">
        <v>0</v>
      </c>
      <c r="D2475" t="n">
        <v>0</v>
      </c>
      <c r="E2475" t="s">
        <v>2441</v>
      </c>
      <c r="F2475" t="s"/>
      <c r="G2475" t="s"/>
      <c r="H2475" t="s"/>
      <c r="I2475" t="s"/>
      <c r="J2475" t="n">
        <v>-0.7637</v>
      </c>
      <c r="K2475" t="n">
        <v>0.165</v>
      </c>
      <c r="L2475" t="n">
        <v>0.776</v>
      </c>
      <c r="M2475" t="n">
        <v>0.059</v>
      </c>
    </row>
    <row r="2476" spans="1:13">
      <c r="A2476" s="1">
        <f>HYPERLINK("http://www.twitter.com/NathanBLawrence/status/984476959039283200", "984476959039283200")</f>
        <v/>
      </c>
      <c r="B2476" s="2" t="n">
        <v>43202.71032407408</v>
      </c>
      <c r="C2476" t="n">
        <v>0</v>
      </c>
      <c r="D2476" t="n">
        <v>0</v>
      </c>
      <c r="E2476" t="s">
        <v>2442</v>
      </c>
      <c r="F2476" t="s"/>
      <c r="G2476" t="s"/>
      <c r="H2476" t="s"/>
      <c r="I2476" t="s"/>
      <c r="J2476" t="n">
        <v>0.9554</v>
      </c>
      <c r="K2476" t="n">
        <v>0.067</v>
      </c>
      <c r="L2476" t="n">
        <v>0.596</v>
      </c>
      <c r="M2476" t="n">
        <v>0.337</v>
      </c>
    </row>
    <row r="2477" spans="1:13">
      <c r="A2477" s="1">
        <f>HYPERLINK("http://www.twitter.com/NathanBLawrence/status/984476394104246272", "984476394104246272")</f>
        <v/>
      </c>
      <c r="B2477" s="2" t="n">
        <v>43202.70876157407</v>
      </c>
      <c r="C2477" t="n">
        <v>0</v>
      </c>
      <c r="D2477" t="n">
        <v>0</v>
      </c>
      <c r="E2477" t="s">
        <v>2443</v>
      </c>
      <c r="F2477" t="s"/>
      <c r="G2477" t="s"/>
      <c r="H2477" t="s"/>
      <c r="I2477" t="s"/>
      <c r="J2477" t="n">
        <v>0.3818</v>
      </c>
      <c r="K2477" t="n">
        <v>0</v>
      </c>
      <c r="L2477" t="n">
        <v>0.729</v>
      </c>
      <c r="M2477" t="n">
        <v>0.271</v>
      </c>
    </row>
    <row r="2478" spans="1:13">
      <c r="A2478" s="1">
        <f>HYPERLINK("http://www.twitter.com/NathanBLawrence/status/984476333190283269", "984476333190283269")</f>
        <v/>
      </c>
      <c r="B2478" s="2" t="n">
        <v>43202.70859953704</v>
      </c>
      <c r="C2478" t="n">
        <v>0</v>
      </c>
      <c r="D2478" t="n">
        <v>5</v>
      </c>
      <c r="E2478" t="s">
        <v>2444</v>
      </c>
      <c r="F2478" t="s"/>
      <c r="G2478" t="s"/>
      <c r="H2478" t="s"/>
      <c r="I2478" t="s"/>
      <c r="J2478" t="n">
        <v>0.0516</v>
      </c>
      <c r="K2478" t="n">
        <v>0.055</v>
      </c>
      <c r="L2478" t="n">
        <v>0.882</v>
      </c>
      <c r="M2478" t="n">
        <v>0.063</v>
      </c>
    </row>
    <row r="2479" spans="1:13">
      <c r="A2479" s="1">
        <f>HYPERLINK("http://www.twitter.com/NathanBLawrence/status/984475529171668993", "984475529171668993")</f>
        <v/>
      </c>
      <c r="B2479" s="2" t="n">
        <v>43202.70637731482</v>
      </c>
      <c r="C2479" t="n">
        <v>0</v>
      </c>
      <c r="D2479" t="n">
        <v>0</v>
      </c>
      <c r="E2479" t="s">
        <v>2445</v>
      </c>
      <c r="F2479" t="s"/>
      <c r="G2479" t="s"/>
      <c r="H2479" t="s"/>
      <c r="I2479" t="s"/>
      <c r="J2479" t="n">
        <v>0</v>
      </c>
      <c r="K2479" t="n">
        <v>0</v>
      </c>
      <c r="L2479" t="n">
        <v>1</v>
      </c>
      <c r="M2479" t="n">
        <v>0</v>
      </c>
    </row>
    <row r="2480" spans="1:13">
      <c r="A2480" s="1">
        <f>HYPERLINK("http://www.twitter.com/NathanBLawrence/status/984475379988684801", "984475379988684801")</f>
        <v/>
      </c>
      <c r="B2480" s="2" t="n">
        <v>43202.70596064815</v>
      </c>
      <c r="C2480" t="n">
        <v>0</v>
      </c>
      <c r="D2480" t="n">
        <v>0</v>
      </c>
      <c r="E2480" t="s">
        <v>2446</v>
      </c>
      <c r="F2480" t="s"/>
      <c r="G2480" t="s"/>
      <c r="H2480" t="s"/>
      <c r="I2480" t="s"/>
      <c r="J2480" t="n">
        <v>-0.7469</v>
      </c>
      <c r="K2480" t="n">
        <v>0.25</v>
      </c>
      <c r="L2480" t="n">
        <v>0.704</v>
      </c>
      <c r="M2480" t="n">
        <v>0.046</v>
      </c>
    </row>
    <row r="2481" spans="1:13">
      <c r="A2481" s="1">
        <f>HYPERLINK("http://www.twitter.com/NathanBLawrence/status/984475071837327360", "984475071837327360")</f>
        <v/>
      </c>
      <c r="B2481" s="2" t="n">
        <v>43202.70511574074</v>
      </c>
      <c r="C2481" t="n">
        <v>0</v>
      </c>
      <c r="D2481" t="n">
        <v>0</v>
      </c>
      <c r="E2481" t="s">
        <v>2447</v>
      </c>
      <c r="F2481" t="s"/>
      <c r="G2481" t="s"/>
      <c r="H2481" t="s"/>
      <c r="I2481" t="s"/>
      <c r="J2481" t="n">
        <v>0.8126</v>
      </c>
      <c r="K2481" t="n">
        <v>0</v>
      </c>
      <c r="L2481" t="n">
        <v>0.323</v>
      </c>
      <c r="M2481" t="n">
        <v>0.677</v>
      </c>
    </row>
    <row r="2482" spans="1:13">
      <c r="A2482" s="1">
        <f>HYPERLINK("http://www.twitter.com/NathanBLawrence/status/984474965209579521", "984474965209579521")</f>
        <v/>
      </c>
      <c r="B2482" s="2" t="n">
        <v>43202.70482638889</v>
      </c>
      <c r="C2482" t="n">
        <v>0</v>
      </c>
      <c r="D2482" t="n">
        <v>0</v>
      </c>
      <c r="E2482" t="s">
        <v>2448</v>
      </c>
      <c r="F2482" t="s"/>
      <c r="G2482" t="s"/>
      <c r="H2482" t="s"/>
      <c r="I2482" t="s"/>
      <c r="J2482" t="n">
        <v>-0.6124000000000001</v>
      </c>
      <c r="K2482" t="n">
        <v>0.093</v>
      </c>
      <c r="L2482" t="n">
        <v>0.907</v>
      </c>
      <c r="M2482" t="n">
        <v>0</v>
      </c>
    </row>
    <row r="2483" spans="1:13">
      <c r="A2483" s="1">
        <f>HYPERLINK("http://www.twitter.com/NathanBLawrence/status/984474789766189057", "984474789766189057")</f>
        <v/>
      </c>
      <c r="B2483" s="2" t="n">
        <v>43202.70434027778</v>
      </c>
      <c r="C2483" t="n">
        <v>0</v>
      </c>
      <c r="D2483" t="n">
        <v>0</v>
      </c>
      <c r="E2483" t="s">
        <v>2449</v>
      </c>
      <c r="F2483" t="s"/>
      <c r="G2483" t="s"/>
      <c r="H2483" t="s"/>
      <c r="I2483" t="s"/>
      <c r="J2483" t="n">
        <v>-0.7003</v>
      </c>
      <c r="K2483" t="n">
        <v>0.195</v>
      </c>
      <c r="L2483" t="n">
        <v>0.805</v>
      </c>
      <c r="M2483" t="n">
        <v>0</v>
      </c>
    </row>
    <row r="2484" spans="1:13">
      <c r="A2484" s="1">
        <f>HYPERLINK("http://www.twitter.com/NathanBLawrence/status/984474622472179712", "984474622472179712")</f>
        <v/>
      </c>
      <c r="B2484" s="2" t="n">
        <v>43202.70387731482</v>
      </c>
      <c r="C2484" t="n">
        <v>0</v>
      </c>
      <c r="D2484" t="n">
        <v>0</v>
      </c>
      <c r="E2484" t="s">
        <v>2450</v>
      </c>
      <c r="F2484" t="s"/>
      <c r="G2484" t="s"/>
      <c r="H2484" t="s"/>
      <c r="I2484" t="s"/>
      <c r="J2484" t="n">
        <v>0.0028</v>
      </c>
      <c r="K2484" t="n">
        <v>0.064</v>
      </c>
      <c r="L2484" t="n">
        <v>0.872</v>
      </c>
      <c r="M2484" t="n">
        <v>0.064</v>
      </c>
    </row>
    <row r="2485" spans="1:13">
      <c r="A2485" s="1">
        <f>HYPERLINK("http://www.twitter.com/NathanBLawrence/status/984472072373055489", "984472072373055489")</f>
        <v/>
      </c>
      <c r="B2485" s="2" t="n">
        <v>43202.69684027778</v>
      </c>
      <c r="C2485" t="n">
        <v>0</v>
      </c>
      <c r="D2485" t="n">
        <v>0</v>
      </c>
      <c r="E2485" t="s">
        <v>2451</v>
      </c>
      <c r="F2485" t="s"/>
      <c r="G2485" t="s"/>
      <c r="H2485" t="s"/>
      <c r="I2485" t="s"/>
      <c r="J2485" t="n">
        <v>0</v>
      </c>
      <c r="K2485" t="n">
        <v>0</v>
      </c>
      <c r="L2485" t="n">
        <v>1</v>
      </c>
      <c r="M2485" t="n">
        <v>0</v>
      </c>
    </row>
    <row r="2486" spans="1:13">
      <c r="A2486" s="1">
        <f>HYPERLINK("http://www.twitter.com/NathanBLawrence/status/984471976348708865", "984471976348708865")</f>
        <v/>
      </c>
      <c r="B2486" s="2" t="n">
        <v>43202.69657407407</v>
      </c>
      <c r="C2486" t="n">
        <v>0</v>
      </c>
      <c r="D2486" t="n">
        <v>0</v>
      </c>
      <c r="E2486" t="s">
        <v>2452</v>
      </c>
      <c r="F2486" t="s"/>
      <c r="G2486" t="s"/>
      <c r="H2486" t="s"/>
      <c r="I2486" t="s"/>
      <c r="J2486" t="n">
        <v>0.608</v>
      </c>
      <c r="K2486" t="n">
        <v>0.078</v>
      </c>
      <c r="L2486" t="n">
        <v>0.785</v>
      </c>
      <c r="M2486" t="n">
        <v>0.137</v>
      </c>
    </row>
    <row r="2487" spans="1:13">
      <c r="A2487" s="1">
        <f>HYPERLINK("http://www.twitter.com/NathanBLawrence/status/984471313837326336", "984471313837326336")</f>
        <v/>
      </c>
      <c r="B2487" s="2" t="n">
        <v>43202.69474537037</v>
      </c>
      <c r="C2487" t="n">
        <v>0</v>
      </c>
      <c r="D2487" t="n">
        <v>0</v>
      </c>
      <c r="E2487" t="s">
        <v>2453</v>
      </c>
      <c r="F2487" t="s"/>
      <c r="G2487" t="s"/>
      <c r="H2487" t="s"/>
      <c r="I2487" t="s"/>
      <c r="J2487" t="n">
        <v>0.4019</v>
      </c>
      <c r="K2487" t="n">
        <v>0</v>
      </c>
      <c r="L2487" t="n">
        <v>0.948</v>
      </c>
      <c r="M2487" t="n">
        <v>0.052</v>
      </c>
    </row>
    <row r="2488" spans="1:13">
      <c r="A2488" s="1">
        <f>HYPERLINK("http://www.twitter.com/NathanBLawrence/status/984470905660297223", "984470905660297223")</f>
        <v/>
      </c>
      <c r="B2488" s="2" t="n">
        <v>43202.69362268518</v>
      </c>
      <c r="C2488" t="n">
        <v>0</v>
      </c>
      <c r="D2488" t="n">
        <v>0</v>
      </c>
      <c r="E2488" t="s">
        <v>2454</v>
      </c>
      <c r="F2488" t="s"/>
      <c r="G2488" t="s"/>
      <c r="H2488" t="s"/>
      <c r="I2488" t="s"/>
      <c r="J2488" t="n">
        <v>0.3595</v>
      </c>
      <c r="K2488" t="n">
        <v>0</v>
      </c>
      <c r="L2488" t="n">
        <v>0.8149999999999999</v>
      </c>
      <c r="M2488" t="n">
        <v>0.185</v>
      </c>
    </row>
    <row r="2489" spans="1:13">
      <c r="A2489" s="1">
        <f>HYPERLINK("http://www.twitter.com/NathanBLawrence/status/984470532707012609", "984470532707012609")</f>
        <v/>
      </c>
      <c r="B2489" s="2" t="n">
        <v>43202.69259259259</v>
      </c>
      <c r="C2489" t="n">
        <v>0</v>
      </c>
      <c r="D2489" t="n">
        <v>0</v>
      </c>
      <c r="E2489" t="s">
        <v>2455</v>
      </c>
      <c r="F2489">
        <f>HYPERLINK("http://pbs.twimg.com/media/DamKuggW0AAKto2.jpg", "http://pbs.twimg.com/media/DamKuggW0AAKto2.jpg")</f>
        <v/>
      </c>
      <c r="G2489" t="s"/>
      <c r="H2489" t="s"/>
      <c r="I2489" t="s"/>
      <c r="J2489" t="n">
        <v>0</v>
      </c>
      <c r="K2489" t="n">
        <v>0</v>
      </c>
      <c r="L2489" t="n">
        <v>1</v>
      </c>
      <c r="M2489" t="n">
        <v>0</v>
      </c>
    </row>
    <row r="2490" spans="1:13">
      <c r="A2490" s="1">
        <f>HYPERLINK("http://www.twitter.com/NathanBLawrence/status/984470323969101824", "984470323969101824")</f>
        <v/>
      </c>
      <c r="B2490" s="2" t="n">
        <v>43202.69201388889</v>
      </c>
      <c r="C2490" t="n">
        <v>0</v>
      </c>
      <c r="D2490" t="n">
        <v>0</v>
      </c>
      <c r="E2490" t="s">
        <v>2456</v>
      </c>
      <c r="F2490" t="s"/>
      <c r="G2490" t="s"/>
      <c r="H2490" t="s"/>
      <c r="I2490" t="s"/>
      <c r="J2490" t="n">
        <v>-0.2755</v>
      </c>
      <c r="K2490" t="n">
        <v>0.131</v>
      </c>
      <c r="L2490" t="n">
        <v>0.869</v>
      </c>
      <c r="M2490" t="n">
        <v>0</v>
      </c>
    </row>
    <row r="2491" spans="1:13">
      <c r="A2491" s="1">
        <f>HYPERLINK("http://www.twitter.com/NathanBLawrence/status/984470197951135744", "984470197951135744")</f>
        <v/>
      </c>
      <c r="B2491" s="2" t="n">
        <v>43202.69166666667</v>
      </c>
      <c r="C2491" t="n">
        <v>0</v>
      </c>
      <c r="D2491" t="n">
        <v>1</v>
      </c>
      <c r="E2491" t="s">
        <v>2457</v>
      </c>
      <c r="F2491" t="s"/>
      <c r="G2491" t="s"/>
      <c r="H2491" t="s"/>
      <c r="I2491" t="s"/>
      <c r="J2491" t="n">
        <v>0.34</v>
      </c>
      <c r="K2491" t="n">
        <v>0</v>
      </c>
      <c r="L2491" t="n">
        <v>0.888</v>
      </c>
      <c r="M2491" t="n">
        <v>0.112</v>
      </c>
    </row>
    <row r="2492" spans="1:13">
      <c r="A2492" s="1">
        <f>HYPERLINK("http://www.twitter.com/NathanBLawrence/status/984470169111220224", "984470169111220224")</f>
        <v/>
      </c>
      <c r="B2492" s="2" t="n">
        <v>43202.69158564815</v>
      </c>
      <c r="C2492" t="n">
        <v>0</v>
      </c>
      <c r="D2492" t="n">
        <v>0</v>
      </c>
      <c r="E2492" t="s">
        <v>2458</v>
      </c>
      <c r="F2492" t="s"/>
      <c r="G2492" t="s"/>
      <c r="H2492" t="s"/>
      <c r="I2492" t="s"/>
      <c r="J2492" t="n">
        <v>0.8442</v>
      </c>
      <c r="K2492" t="n">
        <v>0.029</v>
      </c>
      <c r="L2492" t="n">
        <v>0.724</v>
      </c>
      <c r="M2492" t="n">
        <v>0.247</v>
      </c>
    </row>
    <row r="2493" spans="1:13">
      <c r="A2493" s="1">
        <f>HYPERLINK("http://www.twitter.com/NathanBLawrence/status/984469971265900544", "984469971265900544")</f>
        <v/>
      </c>
      <c r="B2493" s="2" t="n">
        <v>43202.69104166667</v>
      </c>
      <c r="C2493" t="n">
        <v>1</v>
      </c>
      <c r="D2493" t="n">
        <v>0</v>
      </c>
      <c r="E2493" t="s">
        <v>2459</v>
      </c>
      <c r="F2493" t="s"/>
      <c r="G2493" t="s"/>
      <c r="H2493" t="s"/>
      <c r="I2493" t="s"/>
      <c r="J2493" t="n">
        <v>-0.0772</v>
      </c>
      <c r="K2493" t="n">
        <v>0.027</v>
      </c>
      <c r="L2493" t="n">
        <v>0.973</v>
      </c>
      <c r="M2493" t="n">
        <v>0</v>
      </c>
    </row>
    <row r="2494" spans="1:13">
      <c r="A2494" s="1">
        <f>HYPERLINK("http://www.twitter.com/NathanBLawrence/status/984468611111837696", "984468611111837696")</f>
        <v/>
      </c>
      <c r="B2494" s="2" t="n">
        <v>43202.68729166667</v>
      </c>
      <c r="C2494" t="n">
        <v>0</v>
      </c>
      <c r="D2494" t="n">
        <v>0</v>
      </c>
      <c r="E2494" t="s">
        <v>2460</v>
      </c>
      <c r="F2494" t="s"/>
      <c r="G2494" t="s"/>
      <c r="H2494" t="s"/>
      <c r="I2494" t="s"/>
      <c r="J2494" t="n">
        <v>0</v>
      </c>
      <c r="K2494" t="n">
        <v>0</v>
      </c>
      <c r="L2494" t="n">
        <v>1</v>
      </c>
      <c r="M2494" t="n">
        <v>0</v>
      </c>
    </row>
    <row r="2495" spans="1:13">
      <c r="A2495" s="1">
        <f>HYPERLINK("http://www.twitter.com/NathanBLawrence/status/984468449975001088", "984468449975001088")</f>
        <v/>
      </c>
      <c r="B2495" s="2" t="n">
        <v>43202.68684027778</v>
      </c>
      <c r="C2495" t="n">
        <v>1</v>
      </c>
      <c r="D2495" t="n">
        <v>0</v>
      </c>
      <c r="E2495" t="s">
        <v>2461</v>
      </c>
      <c r="F2495" t="s"/>
      <c r="G2495" t="s"/>
      <c r="H2495" t="s"/>
      <c r="I2495" t="s"/>
      <c r="J2495" t="n">
        <v>0</v>
      </c>
      <c r="K2495" t="n">
        <v>0</v>
      </c>
      <c r="L2495" t="n">
        <v>1</v>
      </c>
      <c r="M2495" t="n">
        <v>0</v>
      </c>
    </row>
    <row r="2496" spans="1:13">
      <c r="A2496" s="1">
        <f>HYPERLINK("http://www.twitter.com/NathanBLawrence/status/984468303333687297", "984468303333687297")</f>
        <v/>
      </c>
      <c r="B2496" s="2" t="n">
        <v>43202.68643518518</v>
      </c>
      <c r="C2496" t="n">
        <v>0</v>
      </c>
      <c r="D2496" t="n">
        <v>2</v>
      </c>
      <c r="E2496" t="s">
        <v>2462</v>
      </c>
      <c r="F2496" t="s"/>
      <c r="G2496" t="s"/>
      <c r="H2496" t="s"/>
      <c r="I2496" t="s"/>
      <c r="J2496" t="n">
        <v>0.7096</v>
      </c>
      <c r="K2496" t="n">
        <v>0</v>
      </c>
      <c r="L2496" t="n">
        <v>0.718</v>
      </c>
      <c r="M2496" t="n">
        <v>0.282</v>
      </c>
    </row>
    <row r="2497" spans="1:13">
      <c r="A2497" s="1">
        <f>HYPERLINK("http://www.twitter.com/NathanBLawrence/status/984468284568473601", "984468284568473601")</f>
        <v/>
      </c>
      <c r="B2497" s="2" t="n">
        <v>43202.68638888889</v>
      </c>
      <c r="C2497" t="n">
        <v>0</v>
      </c>
      <c r="D2497" t="n">
        <v>1</v>
      </c>
      <c r="E2497" t="s">
        <v>2463</v>
      </c>
      <c r="F2497" t="s"/>
      <c r="G2497" t="s"/>
      <c r="H2497" t="s"/>
      <c r="I2497" t="s"/>
      <c r="J2497" t="n">
        <v>-0.8122</v>
      </c>
      <c r="K2497" t="n">
        <v>0.181</v>
      </c>
      <c r="L2497" t="n">
        <v>0.819</v>
      </c>
      <c r="M2497" t="n">
        <v>0</v>
      </c>
    </row>
    <row r="2498" spans="1:13">
      <c r="A2498" s="1">
        <f>HYPERLINK("http://www.twitter.com/NathanBLawrence/status/984467928732045313", "984467928732045313")</f>
        <v/>
      </c>
      <c r="B2498" s="2" t="n">
        <v>43202.68540509259</v>
      </c>
      <c r="C2498" t="n">
        <v>0</v>
      </c>
      <c r="D2498" t="n">
        <v>3</v>
      </c>
      <c r="E2498" t="s">
        <v>2464</v>
      </c>
      <c r="F2498" t="s"/>
      <c r="G2498" t="s"/>
      <c r="H2498" t="s"/>
      <c r="I2498" t="s"/>
      <c r="J2498" t="n">
        <v>0</v>
      </c>
      <c r="K2498" t="n">
        <v>0</v>
      </c>
      <c r="L2498" t="n">
        <v>1</v>
      </c>
      <c r="M2498" t="n">
        <v>0</v>
      </c>
    </row>
    <row r="2499" spans="1:13">
      <c r="A2499" s="1">
        <f>HYPERLINK("http://www.twitter.com/NathanBLawrence/status/984466344157511680", "984466344157511680")</f>
        <v/>
      </c>
      <c r="B2499" s="2" t="n">
        <v>43202.68103009259</v>
      </c>
      <c r="C2499" t="n">
        <v>0</v>
      </c>
      <c r="D2499" t="n">
        <v>0</v>
      </c>
      <c r="E2499" t="s">
        <v>2465</v>
      </c>
      <c r="F2499" t="s"/>
      <c r="G2499" t="s"/>
      <c r="H2499" t="s"/>
      <c r="I2499" t="s"/>
      <c r="J2499" t="n">
        <v>0</v>
      </c>
      <c r="K2499" t="n">
        <v>0</v>
      </c>
      <c r="L2499" t="n">
        <v>1</v>
      </c>
      <c r="M2499" t="n">
        <v>0</v>
      </c>
    </row>
    <row r="2500" spans="1:13">
      <c r="A2500" s="1">
        <f>HYPERLINK("http://www.twitter.com/NathanBLawrence/status/984466252109316097", "984466252109316097")</f>
        <v/>
      </c>
      <c r="B2500" s="2" t="n">
        <v>43202.68077546296</v>
      </c>
      <c r="C2500" t="n">
        <v>0</v>
      </c>
      <c r="D2500" t="n">
        <v>0</v>
      </c>
      <c r="E2500" t="s">
        <v>2466</v>
      </c>
      <c r="F2500" t="s"/>
      <c r="G2500" t="s"/>
      <c r="H2500" t="s"/>
      <c r="I2500" t="s"/>
      <c r="J2500" t="n">
        <v>-0.0258</v>
      </c>
      <c r="K2500" t="n">
        <v>0.073</v>
      </c>
      <c r="L2500" t="n">
        <v>0.857</v>
      </c>
      <c r="M2500" t="n">
        <v>0.07000000000000001</v>
      </c>
    </row>
    <row r="2501" spans="1:13">
      <c r="A2501" s="1">
        <f>HYPERLINK("http://www.twitter.com/NathanBLawrence/status/984465904179269632", "984465904179269632")</f>
        <v/>
      </c>
      <c r="B2501" s="2" t="n">
        <v>43202.67981481482</v>
      </c>
      <c r="C2501" t="n">
        <v>0</v>
      </c>
      <c r="D2501" t="n">
        <v>2</v>
      </c>
      <c r="E2501" t="s">
        <v>2467</v>
      </c>
      <c r="F2501" t="s"/>
      <c r="G2501" t="s"/>
      <c r="H2501" t="s"/>
      <c r="I2501" t="s"/>
      <c r="J2501" t="n">
        <v>0</v>
      </c>
      <c r="K2501" t="n">
        <v>0</v>
      </c>
      <c r="L2501" t="n">
        <v>1</v>
      </c>
      <c r="M2501" t="n">
        <v>0</v>
      </c>
    </row>
    <row r="2502" spans="1:13">
      <c r="A2502" s="1">
        <f>HYPERLINK("http://www.twitter.com/NathanBLawrence/status/984465829147430912", "984465829147430912")</f>
        <v/>
      </c>
      <c r="B2502" s="2" t="n">
        <v>43202.67960648148</v>
      </c>
      <c r="C2502" t="n">
        <v>0</v>
      </c>
      <c r="D2502" t="n">
        <v>0</v>
      </c>
      <c r="E2502" t="s">
        <v>2468</v>
      </c>
      <c r="F2502" t="s"/>
      <c r="G2502" t="s"/>
      <c r="H2502" t="s"/>
      <c r="I2502" t="s"/>
      <c r="J2502" t="n">
        <v>-0.1408</v>
      </c>
      <c r="K2502" t="n">
        <v>0.148</v>
      </c>
      <c r="L2502" t="n">
        <v>0.715</v>
      </c>
      <c r="M2502" t="n">
        <v>0.137</v>
      </c>
    </row>
    <row r="2503" spans="1:13">
      <c r="A2503" s="1">
        <f>HYPERLINK("http://www.twitter.com/NathanBLawrence/status/984465543527895040", "984465543527895040")</f>
        <v/>
      </c>
      <c r="B2503" s="2" t="n">
        <v>43202.67881944445</v>
      </c>
      <c r="C2503" t="n">
        <v>1</v>
      </c>
      <c r="D2503" t="n">
        <v>0</v>
      </c>
      <c r="E2503" t="s">
        <v>2469</v>
      </c>
      <c r="F2503" t="s"/>
      <c r="G2503" t="s"/>
      <c r="H2503" t="s"/>
      <c r="I2503" t="s"/>
      <c r="J2503" t="n">
        <v>0.4199</v>
      </c>
      <c r="K2503" t="n">
        <v>0</v>
      </c>
      <c r="L2503" t="n">
        <v>0.883</v>
      </c>
      <c r="M2503" t="n">
        <v>0.117</v>
      </c>
    </row>
    <row r="2504" spans="1:13">
      <c r="A2504" s="1">
        <f>HYPERLINK("http://www.twitter.com/NathanBLawrence/status/984465381703155713", "984465381703155713")</f>
        <v/>
      </c>
      <c r="B2504" s="2" t="n">
        <v>43202.67837962963</v>
      </c>
      <c r="C2504" t="n">
        <v>1</v>
      </c>
      <c r="D2504" t="n">
        <v>0</v>
      </c>
      <c r="E2504" t="s">
        <v>2470</v>
      </c>
      <c r="F2504" t="s"/>
      <c r="G2504" t="s"/>
      <c r="H2504" t="s"/>
      <c r="I2504" t="s"/>
      <c r="J2504" t="n">
        <v>0</v>
      </c>
      <c r="K2504" t="n">
        <v>0</v>
      </c>
      <c r="L2504" t="n">
        <v>1</v>
      </c>
      <c r="M2504" t="n">
        <v>0</v>
      </c>
    </row>
    <row r="2505" spans="1:13">
      <c r="A2505" s="1">
        <f>HYPERLINK("http://www.twitter.com/NathanBLawrence/status/984465140144836608", "984465140144836608")</f>
        <v/>
      </c>
      <c r="B2505" s="2" t="n">
        <v>43202.67770833334</v>
      </c>
      <c r="C2505" t="n">
        <v>0</v>
      </c>
      <c r="D2505" t="n">
        <v>0</v>
      </c>
      <c r="E2505" t="s">
        <v>2471</v>
      </c>
      <c r="F2505" t="s"/>
      <c r="G2505" t="s"/>
      <c r="H2505" t="s"/>
      <c r="I2505" t="s"/>
      <c r="J2505" t="n">
        <v>-0.7895</v>
      </c>
      <c r="K2505" t="n">
        <v>0.189</v>
      </c>
      <c r="L2505" t="n">
        <v>0.768</v>
      </c>
      <c r="M2505" t="n">
        <v>0.044</v>
      </c>
    </row>
    <row r="2506" spans="1:13">
      <c r="A2506" s="1">
        <f>HYPERLINK("http://www.twitter.com/NathanBLawrence/status/984464686702891008", "984464686702891008")</f>
        <v/>
      </c>
      <c r="B2506" s="2" t="n">
        <v>43202.67645833334</v>
      </c>
      <c r="C2506" t="n">
        <v>0</v>
      </c>
      <c r="D2506" t="n">
        <v>1</v>
      </c>
      <c r="E2506" t="s">
        <v>2472</v>
      </c>
      <c r="F2506" t="s"/>
      <c r="G2506" t="s"/>
      <c r="H2506" t="s"/>
      <c r="I2506" t="s"/>
      <c r="J2506" t="n">
        <v>0.6616</v>
      </c>
      <c r="K2506" t="n">
        <v>0.047</v>
      </c>
      <c r="L2506" t="n">
        <v>0.754</v>
      </c>
      <c r="M2506" t="n">
        <v>0.199</v>
      </c>
    </row>
    <row r="2507" spans="1:13">
      <c r="A2507" s="1">
        <f>HYPERLINK("http://www.twitter.com/NathanBLawrence/status/984464633888231424", "984464633888231424")</f>
        <v/>
      </c>
      <c r="B2507" s="2" t="n">
        <v>43202.67630787037</v>
      </c>
      <c r="C2507" t="n">
        <v>1</v>
      </c>
      <c r="D2507" t="n">
        <v>0</v>
      </c>
      <c r="E2507" t="s">
        <v>2473</v>
      </c>
      <c r="F2507" t="s"/>
      <c r="G2507" t="s"/>
      <c r="H2507" t="s"/>
      <c r="I2507" t="s"/>
      <c r="J2507" t="n">
        <v>0.1431</v>
      </c>
      <c r="K2507" t="n">
        <v>0.124</v>
      </c>
      <c r="L2507" t="n">
        <v>0.742</v>
      </c>
      <c r="M2507" t="n">
        <v>0.134</v>
      </c>
    </row>
    <row r="2508" spans="1:13">
      <c r="A2508" s="1">
        <f>HYPERLINK("http://www.twitter.com/NathanBLawrence/status/984464234678452224", "984464234678452224")</f>
        <v/>
      </c>
      <c r="B2508" s="2" t="n">
        <v>43202.67520833333</v>
      </c>
      <c r="C2508" t="n">
        <v>4</v>
      </c>
      <c r="D2508" t="n">
        <v>2</v>
      </c>
      <c r="E2508" t="s">
        <v>2474</v>
      </c>
      <c r="F2508" t="s"/>
      <c r="G2508" t="s"/>
      <c r="H2508" t="s"/>
      <c r="I2508" t="s"/>
      <c r="J2508" t="n">
        <v>-0.4767</v>
      </c>
      <c r="K2508" t="n">
        <v>0.061</v>
      </c>
      <c r="L2508" t="n">
        <v>0.916</v>
      </c>
      <c r="M2508" t="n">
        <v>0.023</v>
      </c>
    </row>
    <row r="2509" spans="1:13">
      <c r="A2509" s="1">
        <f>HYPERLINK("http://www.twitter.com/NathanBLawrence/status/984463471512240128", "984463471512240128")</f>
        <v/>
      </c>
      <c r="B2509" s="2" t="n">
        <v>43202.67310185185</v>
      </c>
      <c r="C2509" t="n">
        <v>0</v>
      </c>
      <c r="D2509" t="n">
        <v>0</v>
      </c>
      <c r="E2509" t="s">
        <v>2475</v>
      </c>
      <c r="F2509" t="s"/>
      <c r="G2509" t="s"/>
      <c r="H2509" t="s"/>
      <c r="I2509" t="s"/>
      <c r="J2509" t="n">
        <v>0.7845</v>
      </c>
      <c r="K2509" t="n">
        <v>0</v>
      </c>
      <c r="L2509" t="n">
        <v>0.5659999999999999</v>
      </c>
      <c r="M2509" t="n">
        <v>0.434</v>
      </c>
    </row>
    <row r="2510" spans="1:13">
      <c r="A2510" s="1">
        <f>HYPERLINK("http://www.twitter.com/NathanBLawrence/status/984463401685483525", "984463401685483525")</f>
        <v/>
      </c>
      <c r="B2510" s="2" t="n">
        <v>43202.67291666667</v>
      </c>
      <c r="C2510" t="n">
        <v>0</v>
      </c>
      <c r="D2510" t="n">
        <v>0</v>
      </c>
      <c r="E2510" t="s">
        <v>2476</v>
      </c>
      <c r="F2510" t="s"/>
      <c r="G2510" t="s"/>
      <c r="H2510" t="s"/>
      <c r="I2510" t="s"/>
      <c r="J2510" t="n">
        <v>0.5667</v>
      </c>
      <c r="K2510" t="n">
        <v>0</v>
      </c>
      <c r="L2510" t="n">
        <v>0.837</v>
      </c>
      <c r="M2510" t="n">
        <v>0.163</v>
      </c>
    </row>
    <row r="2511" spans="1:13">
      <c r="A2511" s="1">
        <f>HYPERLINK("http://www.twitter.com/NathanBLawrence/status/984463070138421249", "984463070138421249")</f>
        <v/>
      </c>
      <c r="B2511" s="2" t="n">
        <v>43202.67200231482</v>
      </c>
      <c r="C2511" t="n">
        <v>1</v>
      </c>
      <c r="D2511" t="n">
        <v>0</v>
      </c>
      <c r="E2511" t="s">
        <v>2477</v>
      </c>
      <c r="F2511" t="s"/>
      <c r="G2511" t="s"/>
      <c r="H2511" t="s"/>
      <c r="I2511" t="s"/>
      <c r="J2511" t="n">
        <v>0</v>
      </c>
      <c r="K2511" t="n">
        <v>0</v>
      </c>
      <c r="L2511" t="n">
        <v>1</v>
      </c>
      <c r="M2511" t="n">
        <v>0</v>
      </c>
    </row>
    <row r="2512" spans="1:13">
      <c r="A2512" s="1">
        <f>HYPERLINK("http://www.twitter.com/NathanBLawrence/status/984462952148488192", "984462952148488192")</f>
        <v/>
      </c>
      <c r="B2512" s="2" t="n">
        <v>43202.67166666667</v>
      </c>
      <c r="C2512" t="n">
        <v>0</v>
      </c>
      <c r="D2512" t="n">
        <v>1</v>
      </c>
      <c r="E2512" t="s">
        <v>2478</v>
      </c>
      <c r="F2512" t="s"/>
      <c r="G2512" t="s"/>
      <c r="H2512" t="s"/>
      <c r="I2512" t="s"/>
      <c r="J2512" t="n">
        <v>-0.5266999999999999</v>
      </c>
      <c r="K2512" t="n">
        <v>0.152</v>
      </c>
      <c r="L2512" t="n">
        <v>0.848</v>
      </c>
      <c r="M2512" t="n">
        <v>0</v>
      </c>
    </row>
    <row r="2513" spans="1:13">
      <c r="A2513" s="1">
        <f>HYPERLINK("http://www.twitter.com/NathanBLawrence/status/984462884464943104", "984462884464943104")</f>
        <v/>
      </c>
      <c r="B2513" s="2" t="n">
        <v>43202.67148148148</v>
      </c>
      <c r="C2513" t="n">
        <v>0</v>
      </c>
      <c r="D2513" t="n">
        <v>0</v>
      </c>
      <c r="E2513" t="s">
        <v>2479</v>
      </c>
      <c r="F2513" t="s"/>
      <c r="G2513" t="s"/>
      <c r="H2513" t="s"/>
      <c r="I2513" t="s"/>
      <c r="J2513" t="n">
        <v>-0.5266999999999999</v>
      </c>
      <c r="K2513" t="n">
        <v>0.115</v>
      </c>
      <c r="L2513" t="n">
        <v>0.885</v>
      </c>
      <c r="M2513" t="n">
        <v>0</v>
      </c>
    </row>
    <row r="2514" spans="1:13">
      <c r="A2514" s="1">
        <f>HYPERLINK("http://www.twitter.com/NathanBLawrence/status/984462643846139904", "984462643846139904")</f>
        <v/>
      </c>
      <c r="B2514" s="2" t="n">
        <v>43202.67082175926</v>
      </c>
      <c r="C2514" t="n">
        <v>3</v>
      </c>
      <c r="D2514" t="n">
        <v>1</v>
      </c>
      <c r="E2514" t="s">
        <v>2480</v>
      </c>
      <c r="F2514" t="s"/>
      <c r="G2514" t="s"/>
      <c r="H2514" t="s"/>
      <c r="I2514" t="s"/>
      <c r="J2514" t="n">
        <v>0.863</v>
      </c>
      <c r="K2514" t="n">
        <v>0.038</v>
      </c>
      <c r="L2514" t="n">
        <v>0.6870000000000001</v>
      </c>
      <c r="M2514" t="n">
        <v>0.275</v>
      </c>
    </row>
    <row r="2515" spans="1:13">
      <c r="A2515" s="1">
        <f>HYPERLINK("http://www.twitter.com/NathanBLawrence/status/984456314519719938", "984456314519719938")</f>
        <v/>
      </c>
      <c r="B2515" s="2" t="n">
        <v>43202.65335648148</v>
      </c>
      <c r="C2515" t="n">
        <v>1</v>
      </c>
      <c r="D2515" t="n">
        <v>0</v>
      </c>
      <c r="E2515" t="s">
        <v>2481</v>
      </c>
      <c r="F2515" t="s"/>
      <c r="G2515" t="s"/>
      <c r="H2515" t="s"/>
      <c r="I2515" t="s"/>
      <c r="J2515" t="n">
        <v>-0.0387</v>
      </c>
      <c r="K2515" t="n">
        <v>0.08699999999999999</v>
      </c>
      <c r="L2515" t="n">
        <v>0.913</v>
      </c>
      <c r="M2515" t="n">
        <v>0</v>
      </c>
    </row>
    <row r="2516" spans="1:13">
      <c r="A2516" s="1">
        <f>HYPERLINK("http://www.twitter.com/NathanBLawrence/status/984456187629404160", "984456187629404160")</f>
        <v/>
      </c>
      <c r="B2516" s="2" t="n">
        <v>43202.65300925926</v>
      </c>
      <c r="C2516" t="n">
        <v>1</v>
      </c>
      <c r="D2516" t="n">
        <v>0</v>
      </c>
      <c r="E2516" t="s">
        <v>2482</v>
      </c>
      <c r="F2516" t="s"/>
      <c r="G2516" t="s"/>
      <c r="H2516" t="s"/>
      <c r="I2516" t="s"/>
      <c r="J2516" t="n">
        <v>-0.4588</v>
      </c>
      <c r="K2516" t="n">
        <v>0.333</v>
      </c>
      <c r="L2516" t="n">
        <v>0.667</v>
      </c>
      <c r="M2516" t="n">
        <v>0</v>
      </c>
    </row>
    <row r="2517" spans="1:13">
      <c r="A2517" s="1">
        <f>HYPERLINK("http://www.twitter.com/NathanBLawrence/status/984453302422245376", "984453302422245376")</f>
        <v/>
      </c>
      <c r="B2517" s="2" t="n">
        <v>43202.6450462963</v>
      </c>
      <c r="C2517" t="n">
        <v>0</v>
      </c>
      <c r="D2517" t="n">
        <v>3</v>
      </c>
      <c r="E2517" t="s">
        <v>2483</v>
      </c>
      <c r="F2517" t="s"/>
      <c r="G2517" t="s"/>
      <c r="H2517" t="s"/>
      <c r="I2517" t="s"/>
      <c r="J2517" t="n">
        <v>0.7845</v>
      </c>
      <c r="K2517" t="n">
        <v>0</v>
      </c>
      <c r="L2517" t="n">
        <v>0.761</v>
      </c>
      <c r="M2517" t="n">
        <v>0.239</v>
      </c>
    </row>
    <row r="2518" spans="1:13">
      <c r="A2518" s="1">
        <f>HYPERLINK("http://www.twitter.com/NathanBLawrence/status/984453271988375552", "984453271988375552")</f>
        <v/>
      </c>
      <c r="B2518" s="2" t="n">
        <v>43202.6449537037</v>
      </c>
      <c r="C2518" t="n">
        <v>0</v>
      </c>
      <c r="D2518" t="n">
        <v>0</v>
      </c>
      <c r="E2518" t="s">
        <v>2484</v>
      </c>
      <c r="F2518" t="s"/>
      <c r="G2518" t="s"/>
      <c r="H2518" t="s"/>
      <c r="I2518" t="s"/>
      <c r="J2518" t="n">
        <v>0</v>
      </c>
      <c r="K2518" t="n">
        <v>0</v>
      </c>
      <c r="L2518" t="n">
        <v>1</v>
      </c>
      <c r="M2518" t="n">
        <v>0</v>
      </c>
    </row>
    <row r="2519" spans="1:13">
      <c r="A2519" s="1">
        <f>HYPERLINK("http://www.twitter.com/NathanBLawrence/status/984449297625346055", "984449297625346055")</f>
        <v/>
      </c>
      <c r="B2519" s="2" t="n">
        <v>43202.63399305556</v>
      </c>
      <c r="C2519" t="n">
        <v>6</v>
      </c>
      <c r="D2519" t="n">
        <v>3</v>
      </c>
      <c r="E2519" t="s">
        <v>2485</v>
      </c>
      <c r="F2519" t="s"/>
      <c r="G2519" t="s"/>
      <c r="H2519" t="s"/>
      <c r="I2519" t="s"/>
      <c r="J2519" t="n">
        <v>0.865</v>
      </c>
      <c r="K2519" t="n">
        <v>0</v>
      </c>
      <c r="L2519" t="n">
        <v>0.826</v>
      </c>
      <c r="M2519" t="n">
        <v>0.174</v>
      </c>
    </row>
    <row r="2520" spans="1:13">
      <c r="A2520" s="1">
        <f>HYPERLINK("http://www.twitter.com/NathanBLawrence/status/984448878027124737", "984448878027124737")</f>
        <v/>
      </c>
      <c r="B2520" s="2" t="n">
        <v>43202.63283564815</v>
      </c>
      <c r="C2520" t="n">
        <v>0</v>
      </c>
      <c r="D2520" t="n">
        <v>4</v>
      </c>
      <c r="E2520" t="s">
        <v>2486</v>
      </c>
      <c r="F2520" t="s"/>
      <c r="G2520" t="s"/>
      <c r="H2520" t="s"/>
      <c r="I2520" t="s"/>
      <c r="J2520" t="n">
        <v>0</v>
      </c>
      <c r="K2520" t="n">
        <v>0</v>
      </c>
      <c r="L2520" t="n">
        <v>1</v>
      </c>
      <c r="M2520" t="n">
        <v>0</v>
      </c>
    </row>
    <row r="2521" spans="1:13">
      <c r="A2521" s="1">
        <f>HYPERLINK("http://www.twitter.com/NathanBLawrence/status/984448117813727232", "984448117813727232")</f>
        <v/>
      </c>
      <c r="B2521" s="2" t="n">
        <v>43202.63074074074</v>
      </c>
      <c r="C2521" t="n">
        <v>0</v>
      </c>
      <c r="D2521" t="n">
        <v>0</v>
      </c>
      <c r="E2521" t="s">
        <v>2487</v>
      </c>
      <c r="F2521">
        <f>HYPERLINK("http://pbs.twimg.com/media/Dal2WBNUwAELke5.jpg", "http://pbs.twimg.com/media/Dal2WBNUwAELke5.jpg")</f>
        <v/>
      </c>
      <c r="G2521" t="s"/>
      <c r="H2521" t="s"/>
      <c r="I2521" t="s"/>
      <c r="J2521" t="n">
        <v>0</v>
      </c>
      <c r="K2521" t="n">
        <v>0</v>
      </c>
      <c r="L2521" t="n">
        <v>1</v>
      </c>
      <c r="M2521" t="n">
        <v>0</v>
      </c>
    </row>
    <row r="2522" spans="1:13">
      <c r="A2522" s="1">
        <f>HYPERLINK("http://www.twitter.com/NathanBLawrence/status/984448049555570690", "984448049555570690")</f>
        <v/>
      </c>
      <c r="B2522" s="2" t="n">
        <v>43202.63054398148</v>
      </c>
      <c r="C2522" t="n">
        <v>0</v>
      </c>
      <c r="D2522" t="n">
        <v>0</v>
      </c>
      <c r="E2522" t="s">
        <v>2488</v>
      </c>
      <c r="F2522" t="s"/>
      <c r="G2522" t="s"/>
      <c r="H2522" t="s"/>
      <c r="I2522" t="s"/>
      <c r="J2522" t="n">
        <v>0.431</v>
      </c>
      <c r="K2522" t="n">
        <v>0</v>
      </c>
      <c r="L2522" t="n">
        <v>0.637</v>
      </c>
      <c r="M2522" t="n">
        <v>0.363</v>
      </c>
    </row>
    <row r="2523" spans="1:13">
      <c r="A2523" s="1">
        <f>HYPERLINK("http://www.twitter.com/NathanBLawrence/status/984447833867718656", "984447833867718656")</f>
        <v/>
      </c>
      <c r="B2523" s="2" t="n">
        <v>43202.6299537037</v>
      </c>
      <c r="C2523" t="n">
        <v>0</v>
      </c>
      <c r="D2523" t="n">
        <v>2</v>
      </c>
      <c r="E2523" t="s">
        <v>2489</v>
      </c>
      <c r="F2523" t="s"/>
      <c r="G2523" t="s"/>
      <c r="H2523" t="s"/>
      <c r="I2523" t="s"/>
      <c r="J2523" t="n">
        <v>-0.5583</v>
      </c>
      <c r="K2523" t="n">
        <v>0.195</v>
      </c>
      <c r="L2523" t="n">
        <v>0.805</v>
      </c>
      <c r="M2523" t="n">
        <v>0</v>
      </c>
    </row>
    <row r="2524" spans="1:13">
      <c r="A2524" s="1">
        <f>HYPERLINK("http://www.twitter.com/NathanBLawrence/status/984447734009749504", "984447734009749504")</f>
        <v/>
      </c>
      <c r="B2524" s="2" t="n">
        <v>43202.62967592593</v>
      </c>
      <c r="C2524" t="n">
        <v>0</v>
      </c>
      <c r="D2524" t="n">
        <v>0</v>
      </c>
      <c r="E2524" t="s">
        <v>2490</v>
      </c>
      <c r="F2524" t="s"/>
      <c r="G2524" t="s"/>
      <c r="H2524" t="s"/>
      <c r="I2524" t="s"/>
      <c r="J2524" t="n">
        <v>0.8807</v>
      </c>
      <c r="K2524" t="n">
        <v>0.045</v>
      </c>
      <c r="L2524" t="n">
        <v>0.588</v>
      </c>
      <c r="M2524" t="n">
        <v>0.367</v>
      </c>
    </row>
    <row r="2525" spans="1:13">
      <c r="A2525" s="1">
        <f>HYPERLINK("http://www.twitter.com/NathanBLawrence/status/984447607819898880", "984447607819898880")</f>
        <v/>
      </c>
      <c r="B2525" s="2" t="n">
        <v>43202.6293287037</v>
      </c>
      <c r="C2525" t="n">
        <v>0</v>
      </c>
      <c r="D2525" t="n">
        <v>0</v>
      </c>
      <c r="E2525" t="s">
        <v>2491</v>
      </c>
      <c r="F2525" t="s"/>
      <c r="G2525" t="s"/>
      <c r="H2525" t="s"/>
      <c r="I2525" t="s"/>
      <c r="J2525" t="n">
        <v>0</v>
      </c>
      <c r="K2525" t="n">
        <v>0</v>
      </c>
      <c r="L2525" t="n">
        <v>1</v>
      </c>
      <c r="M2525" t="n">
        <v>0</v>
      </c>
    </row>
    <row r="2526" spans="1:13">
      <c r="A2526" s="1">
        <f>HYPERLINK("http://www.twitter.com/NathanBLawrence/status/984447521467625479", "984447521467625479")</f>
        <v/>
      </c>
      <c r="B2526" s="2" t="n">
        <v>43202.62908564815</v>
      </c>
      <c r="C2526" t="n">
        <v>0</v>
      </c>
      <c r="D2526" t="n">
        <v>1</v>
      </c>
      <c r="E2526" t="s">
        <v>2492</v>
      </c>
      <c r="F2526" t="s"/>
      <c r="G2526" t="s"/>
      <c r="H2526" t="s"/>
      <c r="I2526" t="s"/>
      <c r="J2526" t="n">
        <v>0.6802</v>
      </c>
      <c r="K2526" t="n">
        <v>0.046</v>
      </c>
      <c r="L2526" t="n">
        <v>0.745</v>
      </c>
      <c r="M2526" t="n">
        <v>0.209</v>
      </c>
    </row>
    <row r="2527" spans="1:13">
      <c r="A2527" s="1">
        <f>HYPERLINK("http://www.twitter.com/NathanBLawrence/status/984447483991547905", "984447483991547905")</f>
        <v/>
      </c>
      <c r="B2527" s="2" t="n">
        <v>43202.62898148148</v>
      </c>
      <c r="C2527" t="n">
        <v>4</v>
      </c>
      <c r="D2527" t="n">
        <v>2</v>
      </c>
      <c r="E2527" t="s">
        <v>2493</v>
      </c>
      <c r="F2527" t="s"/>
      <c r="G2527" t="s"/>
      <c r="H2527" t="s"/>
      <c r="I2527" t="s"/>
      <c r="J2527" t="n">
        <v>-0.5583</v>
      </c>
      <c r="K2527" t="n">
        <v>0.213</v>
      </c>
      <c r="L2527" t="n">
        <v>0.787</v>
      </c>
      <c r="M2527" t="n">
        <v>0</v>
      </c>
    </row>
    <row r="2528" spans="1:13">
      <c r="A2528" s="1">
        <f>HYPERLINK("http://www.twitter.com/NathanBLawrence/status/984447300616577024", "984447300616577024")</f>
        <v/>
      </c>
      <c r="B2528" s="2" t="n">
        <v>43202.6284837963</v>
      </c>
      <c r="C2528" t="n">
        <v>0</v>
      </c>
      <c r="D2528" t="n">
        <v>1</v>
      </c>
      <c r="E2528" t="s">
        <v>2494</v>
      </c>
      <c r="F2528" t="s"/>
      <c r="G2528" t="s"/>
      <c r="H2528" t="s"/>
      <c r="I2528" t="s"/>
      <c r="J2528" t="n">
        <v>-0.4926</v>
      </c>
      <c r="K2528" t="n">
        <v>0.138</v>
      </c>
      <c r="L2528" t="n">
        <v>0.862</v>
      </c>
      <c r="M2528" t="n">
        <v>0</v>
      </c>
    </row>
    <row r="2529" spans="1:13">
      <c r="A2529" s="1">
        <f>HYPERLINK("http://www.twitter.com/NathanBLawrence/status/984447260019871745", "984447260019871745")</f>
        <v/>
      </c>
      <c r="B2529" s="2" t="n">
        <v>43202.62836805556</v>
      </c>
      <c r="C2529" t="n">
        <v>0</v>
      </c>
      <c r="D2529" t="n">
        <v>1</v>
      </c>
      <c r="E2529" t="s">
        <v>2495</v>
      </c>
      <c r="F2529" t="s"/>
      <c r="G2529" t="s"/>
      <c r="H2529" t="s"/>
      <c r="I2529" t="s"/>
      <c r="J2529" t="n">
        <v>0</v>
      </c>
      <c r="K2529" t="n">
        <v>0</v>
      </c>
      <c r="L2529" t="n">
        <v>1</v>
      </c>
      <c r="M2529" t="n">
        <v>0</v>
      </c>
    </row>
    <row r="2530" spans="1:13">
      <c r="A2530" s="1">
        <f>HYPERLINK("http://www.twitter.com/NathanBLawrence/status/984447214188662789", "984447214188662789")</f>
        <v/>
      </c>
      <c r="B2530" s="2" t="n">
        <v>43202.62824074074</v>
      </c>
      <c r="C2530" t="n">
        <v>0</v>
      </c>
      <c r="D2530" t="n">
        <v>2</v>
      </c>
      <c r="E2530" t="s">
        <v>2496</v>
      </c>
      <c r="F2530" t="s"/>
      <c r="G2530" t="s"/>
      <c r="H2530" t="s"/>
      <c r="I2530" t="s"/>
      <c r="J2530" t="n">
        <v>0</v>
      </c>
      <c r="K2530" t="n">
        <v>0</v>
      </c>
      <c r="L2530" t="n">
        <v>1</v>
      </c>
      <c r="M2530" t="n">
        <v>0</v>
      </c>
    </row>
    <row r="2531" spans="1:13">
      <c r="A2531" s="1">
        <f>HYPERLINK("http://www.twitter.com/NathanBLawrence/status/984447183310204928", "984447183310204928")</f>
        <v/>
      </c>
      <c r="B2531" s="2" t="n">
        <v>43202.62815972222</v>
      </c>
      <c r="C2531" t="n">
        <v>0</v>
      </c>
      <c r="D2531" t="n">
        <v>3</v>
      </c>
      <c r="E2531" t="s">
        <v>2497</v>
      </c>
      <c r="F2531" t="s"/>
      <c r="G2531" t="s"/>
      <c r="H2531" t="s"/>
      <c r="I2531" t="s"/>
      <c r="J2531" t="n">
        <v>-0.5719</v>
      </c>
      <c r="K2531" t="n">
        <v>0.139</v>
      </c>
      <c r="L2531" t="n">
        <v>0.861</v>
      </c>
      <c r="M2531" t="n">
        <v>0</v>
      </c>
    </row>
    <row r="2532" spans="1:13">
      <c r="A2532" s="1">
        <f>HYPERLINK("http://www.twitter.com/NathanBLawrence/status/984447140066930688", "984447140066930688")</f>
        <v/>
      </c>
      <c r="B2532" s="2" t="n">
        <v>43202.62803240741</v>
      </c>
      <c r="C2532" t="n">
        <v>1</v>
      </c>
      <c r="D2532" t="n">
        <v>1</v>
      </c>
      <c r="E2532" t="s">
        <v>2498</v>
      </c>
      <c r="F2532" t="s"/>
      <c r="G2532" t="s"/>
      <c r="H2532" t="s"/>
      <c r="I2532" t="s"/>
      <c r="J2532" t="n">
        <v>0.5252</v>
      </c>
      <c r="K2532" t="n">
        <v>0</v>
      </c>
      <c r="L2532" t="n">
        <v>0.928</v>
      </c>
      <c r="M2532" t="n">
        <v>0.07199999999999999</v>
      </c>
    </row>
    <row r="2533" spans="1:13">
      <c r="A2533" s="1">
        <f>HYPERLINK("http://www.twitter.com/NathanBLawrence/status/984446526054420480", "984446526054420480")</f>
        <v/>
      </c>
      <c r="B2533" s="2" t="n">
        <v>43202.62634259259</v>
      </c>
      <c r="C2533" t="n">
        <v>0</v>
      </c>
      <c r="D2533" t="n">
        <v>1</v>
      </c>
      <c r="E2533" t="s">
        <v>2499</v>
      </c>
      <c r="F2533" t="s"/>
      <c r="G2533" t="s"/>
      <c r="H2533" t="s"/>
      <c r="I2533" t="s"/>
      <c r="J2533" t="n">
        <v>-0.3818</v>
      </c>
      <c r="K2533" t="n">
        <v>0.106</v>
      </c>
      <c r="L2533" t="n">
        <v>0.894</v>
      </c>
      <c r="M2533" t="n">
        <v>0</v>
      </c>
    </row>
    <row r="2534" spans="1:13">
      <c r="A2534" s="1">
        <f>HYPERLINK("http://www.twitter.com/NathanBLawrence/status/984446510401310720", "984446510401310720")</f>
        <v/>
      </c>
      <c r="B2534" s="2" t="n">
        <v>43202.62629629629</v>
      </c>
      <c r="C2534" t="n">
        <v>0</v>
      </c>
      <c r="D2534" t="n">
        <v>1</v>
      </c>
      <c r="E2534" t="s">
        <v>2500</v>
      </c>
      <c r="F2534" t="s"/>
      <c r="G2534" t="s"/>
      <c r="H2534" t="s"/>
      <c r="I2534" t="s"/>
      <c r="J2534" t="n">
        <v>-0.4239</v>
      </c>
      <c r="K2534" t="n">
        <v>0.202</v>
      </c>
      <c r="L2534" t="n">
        <v>0.798</v>
      </c>
      <c r="M2534" t="n">
        <v>0</v>
      </c>
    </row>
    <row r="2535" spans="1:13">
      <c r="A2535" s="1">
        <f>HYPERLINK("http://www.twitter.com/NathanBLawrence/status/984446461772431361", "984446461772431361")</f>
        <v/>
      </c>
      <c r="B2535" s="2" t="n">
        <v>43202.62616898148</v>
      </c>
      <c r="C2535" t="n">
        <v>0</v>
      </c>
      <c r="D2535" t="n">
        <v>0</v>
      </c>
      <c r="E2535" t="s">
        <v>2501</v>
      </c>
      <c r="F2535" t="s"/>
      <c r="G2535" t="s"/>
      <c r="H2535" t="s"/>
      <c r="I2535" t="s"/>
      <c r="J2535" t="n">
        <v>0</v>
      </c>
      <c r="K2535" t="n">
        <v>0</v>
      </c>
      <c r="L2535" t="n">
        <v>1</v>
      </c>
      <c r="M2535" t="n">
        <v>0</v>
      </c>
    </row>
    <row r="2536" spans="1:13">
      <c r="A2536" s="1">
        <f>HYPERLINK("http://www.twitter.com/NathanBLawrence/status/984446359460827138", "984446359460827138")</f>
        <v/>
      </c>
      <c r="B2536" s="2" t="n">
        <v>43202.62587962963</v>
      </c>
      <c r="C2536" t="n">
        <v>0</v>
      </c>
      <c r="D2536" t="n">
        <v>4</v>
      </c>
      <c r="E2536" t="s">
        <v>2502</v>
      </c>
      <c r="F2536" t="s"/>
      <c r="G2536" t="s"/>
      <c r="H2536" t="s"/>
      <c r="I2536" t="s"/>
      <c r="J2536" t="n">
        <v>-0.5448</v>
      </c>
      <c r="K2536" t="n">
        <v>0.177</v>
      </c>
      <c r="L2536" t="n">
        <v>0.823</v>
      </c>
      <c r="M2536" t="n">
        <v>0</v>
      </c>
    </row>
    <row r="2537" spans="1:13">
      <c r="A2537" s="1">
        <f>HYPERLINK("http://www.twitter.com/NathanBLawrence/status/984446317190696961", "984446317190696961")</f>
        <v/>
      </c>
      <c r="B2537" s="2" t="n">
        <v>43202.62576388889</v>
      </c>
      <c r="C2537" t="n">
        <v>0</v>
      </c>
      <c r="D2537" t="n">
        <v>4</v>
      </c>
      <c r="E2537" t="s">
        <v>2503</v>
      </c>
      <c r="F2537">
        <f>HYPERLINK("http://pbs.twimg.com/media/Dal0PdtUMAAyALP.jpg", "http://pbs.twimg.com/media/Dal0PdtUMAAyALP.jpg")</f>
        <v/>
      </c>
      <c r="G2537" t="s"/>
      <c r="H2537" t="s"/>
      <c r="I2537" t="s"/>
      <c r="J2537" t="n">
        <v>0.2732</v>
      </c>
      <c r="K2537" t="n">
        <v>0</v>
      </c>
      <c r="L2537" t="n">
        <v>0.896</v>
      </c>
      <c r="M2537" t="n">
        <v>0.104</v>
      </c>
    </row>
    <row r="2538" spans="1:13">
      <c r="A2538" s="1">
        <f>HYPERLINK("http://www.twitter.com/NathanBLawrence/status/984445902537543680", "984445902537543680")</f>
        <v/>
      </c>
      <c r="B2538" s="2" t="n">
        <v>43202.62461805555</v>
      </c>
      <c r="C2538" t="n">
        <v>0</v>
      </c>
      <c r="D2538" t="n">
        <v>6</v>
      </c>
      <c r="E2538" t="s">
        <v>2504</v>
      </c>
      <c r="F2538" t="s"/>
      <c r="G2538" t="s"/>
      <c r="H2538" t="s"/>
      <c r="I2538" t="s"/>
      <c r="J2538" t="n">
        <v>-0.4678</v>
      </c>
      <c r="K2538" t="n">
        <v>0.164</v>
      </c>
      <c r="L2538" t="n">
        <v>0.792</v>
      </c>
      <c r="M2538" t="n">
        <v>0.044</v>
      </c>
    </row>
    <row r="2539" spans="1:13">
      <c r="A2539" s="1">
        <f>HYPERLINK("http://www.twitter.com/NathanBLawrence/status/984445867376676864", "984445867376676864")</f>
        <v/>
      </c>
      <c r="B2539" s="2" t="n">
        <v>43202.62452546296</v>
      </c>
      <c r="C2539" t="n">
        <v>0</v>
      </c>
      <c r="D2539" t="n">
        <v>0</v>
      </c>
      <c r="E2539" t="s">
        <v>2505</v>
      </c>
      <c r="F2539" t="s"/>
      <c r="G2539" t="s"/>
      <c r="H2539" t="s"/>
      <c r="I2539" t="s"/>
      <c r="J2539" t="n">
        <v>-0.4019</v>
      </c>
      <c r="K2539" t="n">
        <v>0.31</v>
      </c>
      <c r="L2539" t="n">
        <v>0.6899999999999999</v>
      </c>
      <c r="M2539" t="n">
        <v>0</v>
      </c>
    </row>
    <row r="2540" spans="1:13">
      <c r="A2540" s="1">
        <f>HYPERLINK("http://www.twitter.com/NathanBLawrence/status/984445691148886017", "984445691148886017")</f>
        <v/>
      </c>
      <c r="B2540" s="2" t="n">
        <v>43202.62403935185</v>
      </c>
      <c r="C2540" t="n">
        <v>2</v>
      </c>
      <c r="D2540" t="n">
        <v>0</v>
      </c>
      <c r="E2540" t="s">
        <v>2506</v>
      </c>
      <c r="F2540" t="s"/>
      <c r="G2540" t="s"/>
      <c r="H2540" t="s"/>
      <c r="I2540" t="s"/>
      <c r="J2540" t="n">
        <v>0</v>
      </c>
      <c r="K2540" t="n">
        <v>0</v>
      </c>
      <c r="L2540" t="n">
        <v>1</v>
      </c>
      <c r="M2540" t="n">
        <v>0</v>
      </c>
    </row>
    <row r="2541" spans="1:13">
      <c r="A2541" s="1">
        <f>HYPERLINK("http://www.twitter.com/NathanBLawrence/status/984445096191053825", "984445096191053825")</f>
        <v/>
      </c>
      <c r="B2541" s="2" t="n">
        <v>43202.62239583334</v>
      </c>
      <c r="C2541" t="n">
        <v>0</v>
      </c>
      <c r="D2541" t="n">
        <v>0</v>
      </c>
      <c r="E2541" t="s">
        <v>2507</v>
      </c>
      <c r="F2541" t="s"/>
      <c r="G2541" t="s"/>
      <c r="H2541" t="s"/>
      <c r="I2541" t="s"/>
      <c r="J2541" t="n">
        <v>0.7506</v>
      </c>
      <c r="K2541" t="n">
        <v>0.035</v>
      </c>
      <c r="L2541" t="n">
        <v>0.784</v>
      </c>
      <c r="M2541" t="n">
        <v>0.181</v>
      </c>
    </row>
    <row r="2542" spans="1:13">
      <c r="A2542" s="1">
        <f>HYPERLINK("http://www.twitter.com/NathanBLawrence/status/984444919690473473", "984444919690473473")</f>
        <v/>
      </c>
      <c r="B2542" s="2" t="n">
        <v>43202.62190972222</v>
      </c>
      <c r="C2542" t="n">
        <v>0</v>
      </c>
      <c r="D2542" t="n">
        <v>4</v>
      </c>
      <c r="E2542" t="s">
        <v>2508</v>
      </c>
      <c r="F2542">
        <f>HYPERLINK("http://pbs.twimg.com/media/DalwsYPUwAEvZdG.jpg", "http://pbs.twimg.com/media/DalwsYPUwAEvZdG.jpg")</f>
        <v/>
      </c>
      <c r="G2542" t="s"/>
      <c r="H2542" t="s"/>
      <c r="I2542" t="s"/>
      <c r="J2542" t="n">
        <v>0.4404</v>
      </c>
      <c r="K2542" t="n">
        <v>0</v>
      </c>
      <c r="L2542" t="n">
        <v>0.879</v>
      </c>
      <c r="M2542" t="n">
        <v>0.121</v>
      </c>
    </row>
    <row r="2543" spans="1:13">
      <c r="A2543" s="1">
        <f>HYPERLINK("http://www.twitter.com/NathanBLawrence/status/984444774332674048", "984444774332674048")</f>
        <v/>
      </c>
      <c r="B2543" s="2" t="n">
        <v>43202.62150462963</v>
      </c>
      <c r="C2543" t="n">
        <v>8</v>
      </c>
      <c r="D2543" t="n">
        <v>4</v>
      </c>
      <c r="E2543" t="s">
        <v>2509</v>
      </c>
      <c r="F2543" t="s"/>
      <c r="G2543" t="s"/>
      <c r="H2543" t="s"/>
      <c r="I2543" t="s"/>
      <c r="J2543" t="n">
        <v>0.0237</v>
      </c>
      <c r="K2543" t="n">
        <v>0.107</v>
      </c>
      <c r="L2543" t="n">
        <v>0.838</v>
      </c>
      <c r="M2543" t="n">
        <v>0.055</v>
      </c>
    </row>
    <row r="2544" spans="1:13">
      <c r="A2544" s="1">
        <f>HYPERLINK("http://www.twitter.com/NathanBLawrence/status/984444217262051328", "984444217262051328")</f>
        <v/>
      </c>
      <c r="B2544" s="2" t="n">
        <v>43202.61997685185</v>
      </c>
      <c r="C2544" t="n">
        <v>0</v>
      </c>
      <c r="D2544" t="n">
        <v>0</v>
      </c>
      <c r="E2544" t="s">
        <v>2510</v>
      </c>
      <c r="F2544" t="s"/>
      <c r="G2544" t="s"/>
      <c r="H2544" t="s"/>
      <c r="I2544" t="s"/>
      <c r="J2544" t="n">
        <v>-0.4497</v>
      </c>
      <c r="K2544" t="n">
        <v>0.198</v>
      </c>
      <c r="L2544" t="n">
        <v>0.802</v>
      </c>
      <c r="M2544" t="n">
        <v>0</v>
      </c>
    </row>
    <row r="2545" spans="1:13">
      <c r="A2545" s="1">
        <f>HYPERLINK("http://www.twitter.com/NathanBLawrence/status/984443922364674049", "984443922364674049")</f>
        <v/>
      </c>
      <c r="B2545" s="2" t="n">
        <v>43202.61915509259</v>
      </c>
      <c r="C2545" t="n">
        <v>0</v>
      </c>
      <c r="D2545" t="n">
        <v>0</v>
      </c>
      <c r="E2545" t="s">
        <v>2511</v>
      </c>
      <c r="F2545" t="s"/>
      <c r="G2545" t="s"/>
      <c r="H2545" t="s"/>
      <c r="I2545" t="s"/>
      <c r="J2545" t="n">
        <v>0</v>
      </c>
      <c r="K2545" t="n">
        <v>0</v>
      </c>
      <c r="L2545" t="n">
        <v>1</v>
      </c>
      <c r="M2545" t="n">
        <v>0</v>
      </c>
    </row>
    <row r="2546" spans="1:13">
      <c r="A2546" s="1">
        <f>HYPERLINK("http://www.twitter.com/NathanBLawrence/status/984443787702407174", "984443787702407174")</f>
        <v/>
      </c>
      <c r="B2546" s="2" t="n">
        <v>43202.61878472222</v>
      </c>
      <c r="C2546" t="n">
        <v>0</v>
      </c>
      <c r="D2546" t="n">
        <v>0</v>
      </c>
      <c r="E2546" t="s">
        <v>2512</v>
      </c>
      <c r="F2546" t="s"/>
      <c r="G2546" t="s"/>
      <c r="H2546" t="s"/>
      <c r="I2546" t="s"/>
      <c r="J2546" t="n">
        <v>-0.296</v>
      </c>
      <c r="K2546" t="n">
        <v>0.121</v>
      </c>
      <c r="L2546" t="n">
        <v>0.879</v>
      </c>
      <c r="M2546" t="n">
        <v>0</v>
      </c>
    </row>
    <row r="2547" spans="1:13">
      <c r="A2547" s="1">
        <f>HYPERLINK("http://www.twitter.com/NathanBLawrence/status/984443611738771456", "984443611738771456")</f>
        <v/>
      </c>
      <c r="B2547" s="2" t="n">
        <v>43202.61829861111</v>
      </c>
      <c r="C2547" t="n">
        <v>1</v>
      </c>
      <c r="D2547" t="n">
        <v>0</v>
      </c>
      <c r="E2547" t="s">
        <v>2513</v>
      </c>
      <c r="F2547" t="s"/>
      <c r="G2547" t="s"/>
      <c r="H2547" t="s"/>
      <c r="I2547" t="s"/>
      <c r="J2547" t="n">
        <v>-0.0387</v>
      </c>
      <c r="K2547" t="n">
        <v>0.06</v>
      </c>
      <c r="L2547" t="n">
        <v>0.9399999999999999</v>
      </c>
      <c r="M2547" t="n">
        <v>0</v>
      </c>
    </row>
    <row r="2548" spans="1:13">
      <c r="A2548" s="1">
        <f>HYPERLINK("http://www.twitter.com/NathanBLawrence/status/984443483661447168", "984443483661447168")</f>
        <v/>
      </c>
      <c r="B2548" s="2" t="n">
        <v>43202.61795138889</v>
      </c>
      <c r="C2548" t="n">
        <v>2</v>
      </c>
      <c r="D2548" t="n">
        <v>1</v>
      </c>
      <c r="E2548" t="s">
        <v>2514</v>
      </c>
      <c r="F2548" t="s"/>
      <c r="G2548" t="s"/>
      <c r="H2548" t="s"/>
      <c r="I2548" t="s"/>
      <c r="J2548" t="n">
        <v>0.6802</v>
      </c>
      <c r="K2548" t="n">
        <v>0.042</v>
      </c>
      <c r="L2548" t="n">
        <v>0.769</v>
      </c>
      <c r="M2548" t="n">
        <v>0.189</v>
      </c>
    </row>
    <row r="2549" spans="1:13">
      <c r="A2549" s="1">
        <f>HYPERLINK("http://www.twitter.com/NathanBLawrence/status/984443204660531201", "984443204660531201")</f>
        <v/>
      </c>
      <c r="B2549" s="2" t="n">
        <v>43202.61717592592</v>
      </c>
      <c r="C2549" t="n">
        <v>0</v>
      </c>
      <c r="D2549" t="n">
        <v>0</v>
      </c>
      <c r="E2549" t="s">
        <v>2515</v>
      </c>
      <c r="F2549" t="s"/>
      <c r="G2549" t="s"/>
      <c r="H2549" t="s"/>
      <c r="I2549" t="s"/>
      <c r="J2549" t="n">
        <v>-0.0387</v>
      </c>
      <c r="K2549" t="n">
        <v>0.052</v>
      </c>
      <c r="L2549" t="n">
        <v>0.948</v>
      </c>
      <c r="M2549" t="n">
        <v>0</v>
      </c>
    </row>
    <row r="2550" spans="1:13">
      <c r="A2550" s="1">
        <f>HYPERLINK("http://www.twitter.com/NathanBLawrence/status/984443029519065090", "984443029519065090")</f>
        <v/>
      </c>
      <c r="B2550" s="2" t="n">
        <v>43202.61668981481</v>
      </c>
      <c r="C2550" t="n">
        <v>2</v>
      </c>
      <c r="D2550" t="n">
        <v>1</v>
      </c>
      <c r="E2550" t="s">
        <v>2516</v>
      </c>
      <c r="F2550" t="s"/>
      <c r="G2550" t="s"/>
      <c r="H2550" t="s"/>
      <c r="I2550" t="s"/>
      <c r="J2550" t="n">
        <v>-0.5518</v>
      </c>
      <c r="K2550" t="n">
        <v>0.154</v>
      </c>
      <c r="L2550" t="n">
        <v>0.846</v>
      </c>
      <c r="M2550" t="n">
        <v>0</v>
      </c>
    </row>
    <row r="2551" spans="1:13">
      <c r="A2551" s="1">
        <f>HYPERLINK("http://www.twitter.com/NathanBLawrence/status/984442610474536960", "984442610474536960")</f>
        <v/>
      </c>
      <c r="B2551" s="2" t="n">
        <v>43202.61554398148</v>
      </c>
      <c r="C2551" t="n">
        <v>1</v>
      </c>
      <c r="D2551" t="n">
        <v>1</v>
      </c>
      <c r="E2551" t="s">
        <v>2517</v>
      </c>
      <c r="F2551" t="s"/>
      <c r="G2551" t="s"/>
      <c r="H2551" t="s"/>
      <c r="I2551" t="s"/>
      <c r="J2551" t="n">
        <v>-0.3818</v>
      </c>
      <c r="K2551" t="n">
        <v>0.049</v>
      </c>
      <c r="L2551" t="n">
        <v>0.951</v>
      </c>
      <c r="M2551" t="n">
        <v>0</v>
      </c>
    </row>
    <row r="2552" spans="1:13">
      <c r="A2552" s="1">
        <f>HYPERLINK("http://www.twitter.com/NathanBLawrence/status/984441904711561217", "984441904711561217")</f>
        <v/>
      </c>
      <c r="B2552" s="2" t="n">
        <v>43202.61358796297</v>
      </c>
      <c r="C2552" t="n">
        <v>4</v>
      </c>
      <c r="D2552" t="n">
        <v>4</v>
      </c>
      <c r="E2552" t="s">
        <v>2518</v>
      </c>
      <c r="F2552">
        <f>HYPERLINK("http://pbs.twimg.com/media/DalwsYPUwAEvZdG.jpg", "http://pbs.twimg.com/media/DalwsYPUwAEvZdG.jpg")</f>
        <v/>
      </c>
      <c r="G2552" t="s"/>
      <c r="H2552" t="s"/>
      <c r="I2552" t="s"/>
      <c r="J2552" t="n">
        <v>0.4404</v>
      </c>
      <c r="K2552" t="n">
        <v>0</v>
      </c>
      <c r="L2552" t="n">
        <v>0.9429999999999999</v>
      </c>
      <c r="M2552" t="n">
        <v>0.057</v>
      </c>
    </row>
    <row r="2553" spans="1:13">
      <c r="A2553" s="1">
        <f>HYPERLINK("http://www.twitter.com/NathanBLawrence/status/984440760996155392", "984440760996155392")</f>
        <v/>
      </c>
      <c r="B2553" s="2" t="n">
        <v>43202.61043981482</v>
      </c>
      <c r="C2553" t="n">
        <v>2</v>
      </c>
      <c r="D2553" t="n">
        <v>3</v>
      </c>
      <c r="E2553" t="s">
        <v>2519</v>
      </c>
      <c r="F2553" t="s"/>
      <c r="G2553" t="s"/>
      <c r="H2553" t="s"/>
      <c r="I2553" t="s"/>
      <c r="J2553" t="n">
        <v>-0.743</v>
      </c>
      <c r="K2553" t="n">
        <v>0.116</v>
      </c>
      <c r="L2553" t="n">
        <v>0.884</v>
      </c>
      <c r="M2553" t="n">
        <v>0</v>
      </c>
    </row>
    <row r="2554" spans="1:13">
      <c r="A2554" s="1">
        <f>HYPERLINK("http://www.twitter.com/NathanBLawrence/status/984440270296113152", "984440270296113152")</f>
        <v/>
      </c>
      <c r="B2554" s="2" t="n">
        <v>43202.60908564815</v>
      </c>
      <c r="C2554" t="n">
        <v>4</v>
      </c>
      <c r="D2554" t="n">
        <v>2</v>
      </c>
      <c r="E2554" t="s">
        <v>2520</v>
      </c>
      <c r="F2554" t="s"/>
      <c r="G2554" t="s"/>
      <c r="H2554" t="s"/>
      <c r="I2554" t="s"/>
      <c r="J2554" t="n">
        <v>-0.1926</v>
      </c>
      <c r="K2554" t="n">
        <v>0.068</v>
      </c>
      <c r="L2554" t="n">
        <v>0.881</v>
      </c>
      <c r="M2554" t="n">
        <v>0.052</v>
      </c>
    </row>
    <row r="2555" spans="1:13">
      <c r="A2555" s="1">
        <f>HYPERLINK("http://www.twitter.com/NathanBLawrence/status/984439489111166976", "984439489111166976")</f>
        <v/>
      </c>
      <c r="B2555" s="2" t="n">
        <v>43202.6069212963</v>
      </c>
      <c r="C2555" t="n">
        <v>0</v>
      </c>
      <c r="D2555" t="n">
        <v>0</v>
      </c>
      <c r="E2555" t="s">
        <v>2521</v>
      </c>
      <c r="F2555" t="s"/>
      <c r="G2555" t="s"/>
      <c r="H2555" t="s"/>
      <c r="I2555" t="s"/>
      <c r="J2555" t="n">
        <v>0</v>
      </c>
      <c r="K2555" t="n">
        <v>0</v>
      </c>
      <c r="L2555" t="n">
        <v>1</v>
      </c>
      <c r="M2555" t="n">
        <v>0</v>
      </c>
    </row>
    <row r="2556" spans="1:13">
      <c r="A2556" s="1">
        <f>HYPERLINK("http://www.twitter.com/NathanBLawrence/status/984439453002424323", "984439453002424323")</f>
        <v/>
      </c>
      <c r="B2556" s="2" t="n">
        <v>43202.60682870371</v>
      </c>
      <c r="C2556" t="n">
        <v>1</v>
      </c>
      <c r="D2556" t="n">
        <v>0</v>
      </c>
      <c r="E2556" t="s">
        <v>2522</v>
      </c>
      <c r="F2556" t="s"/>
      <c r="G2556" t="s"/>
      <c r="H2556" t="s"/>
      <c r="I2556" t="s"/>
      <c r="J2556" t="n">
        <v>-0.4767</v>
      </c>
      <c r="K2556" t="n">
        <v>0.307</v>
      </c>
      <c r="L2556" t="n">
        <v>0.6929999999999999</v>
      </c>
      <c r="M2556" t="n">
        <v>0</v>
      </c>
    </row>
    <row r="2557" spans="1:13">
      <c r="A2557" s="1">
        <f>HYPERLINK("http://www.twitter.com/NathanBLawrence/status/984437776316854272", "984437776316854272")</f>
        <v/>
      </c>
      <c r="B2557" s="2" t="n">
        <v>43202.60219907408</v>
      </c>
      <c r="C2557" t="n">
        <v>1</v>
      </c>
      <c r="D2557" t="n">
        <v>0</v>
      </c>
      <c r="E2557" t="s">
        <v>2523</v>
      </c>
      <c r="F2557" t="s"/>
      <c r="G2557" t="s"/>
      <c r="H2557" t="s"/>
      <c r="I2557" t="s"/>
      <c r="J2557" t="n">
        <v>0</v>
      </c>
      <c r="K2557" t="n">
        <v>0</v>
      </c>
      <c r="L2557" t="n">
        <v>1</v>
      </c>
      <c r="M2557" t="n">
        <v>0</v>
      </c>
    </row>
    <row r="2558" spans="1:13">
      <c r="A2558" s="1">
        <f>HYPERLINK("http://www.twitter.com/NathanBLawrence/status/984329450312609792", "984329450312609792")</f>
        <v/>
      </c>
      <c r="B2558" s="2" t="n">
        <v>43202.30327546296</v>
      </c>
      <c r="C2558" t="n">
        <v>0</v>
      </c>
      <c r="D2558" t="n">
        <v>44</v>
      </c>
      <c r="E2558" t="s">
        <v>2524</v>
      </c>
      <c r="F2558">
        <f>HYPERLINK("http://pbs.twimg.com/media/Dai3jIWUMAAV8nf.jpg", "http://pbs.twimg.com/media/Dai3jIWUMAAV8nf.jpg")</f>
        <v/>
      </c>
      <c r="G2558" t="s"/>
      <c r="H2558" t="s"/>
      <c r="I2558" t="s"/>
      <c r="J2558" t="n">
        <v>-0.8256</v>
      </c>
      <c r="K2558" t="n">
        <v>0.258</v>
      </c>
      <c r="L2558" t="n">
        <v>0.742</v>
      </c>
      <c r="M2558" t="n">
        <v>0</v>
      </c>
    </row>
    <row r="2559" spans="1:13">
      <c r="A2559" s="1">
        <f>HYPERLINK("http://www.twitter.com/NathanBLawrence/status/984328841010311168", "984328841010311168")</f>
        <v/>
      </c>
      <c r="B2559" s="2" t="n">
        <v>43202.30159722222</v>
      </c>
      <c r="C2559" t="n">
        <v>0</v>
      </c>
      <c r="D2559" t="n">
        <v>8</v>
      </c>
      <c r="E2559" t="s">
        <v>2525</v>
      </c>
      <c r="F2559">
        <f>HYPERLINK("http://pbs.twimg.com/media/DajIwjiUMAAoDtr.jpg", "http://pbs.twimg.com/media/DajIwjiUMAAoDtr.jpg")</f>
        <v/>
      </c>
      <c r="G2559" t="s"/>
      <c r="H2559" t="s"/>
      <c r="I2559" t="s"/>
      <c r="J2559" t="n">
        <v>0</v>
      </c>
      <c r="K2559" t="n">
        <v>0</v>
      </c>
      <c r="L2559" t="n">
        <v>1</v>
      </c>
      <c r="M2559" t="n">
        <v>0</v>
      </c>
    </row>
    <row r="2560" spans="1:13">
      <c r="A2560" s="1">
        <f>HYPERLINK("http://www.twitter.com/NathanBLawrence/status/984328330232164352", "984328330232164352")</f>
        <v/>
      </c>
      <c r="B2560" s="2" t="n">
        <v>43202.30018518519</v>
      </c>
      <c r="C2560" t="n">
        <v>0</v>
      </c>
      <c r="D2560" t="n">
        <v>86</v>
      </c>
      <c r="E2560" t="s">
        <v>2526</v>
      </c>
      <c r="F2560">
        <f>HYPERLINK("http://pbs.twimg.com/media/Dai7xx9X4AAttPo.jpg", "http://pbs.twimg.com/media/Dai7xx9X4AAttPo.jpg")</f>
        <v/>
      </c>
      <c r="G2560" t="s"/>
      <c r="H2560" t="s"/>
      <c r="I2560" t="s"/>
      <c r="J2560" t="n">
        <v>0</v>
      </c>
      <c r="K2560" t="n">
        <v>0</v>
      </c>
      <c r="L2560" t="n">
        <v>1</v>
      </c>
      <c r="M2560" t="n">
        <v>0</v>
      </c>
    </row>
    <row r="2561" spans="1:13">
      <c r="A2561" s="1">
        <f>HYPERLINK("http://www.twitter.com/NathanBLawrence/status/984324751064748032", "984324751064748032")</f>
        <v/>
      </c>
      <c r="B2561" s="2" t="n">
        <v>43202.2903125</v>
      </c>
      <c r="C2561" t="n">
        <v>0</v>
      </c>
      <c r="D2561" t="n">
        <v>0</v>
      </c>
      <c r="E2561" t="s">
        <v>2527</v>
      </c>
      <c r="F2561" t="s"/>
      <c r="G2561" t="s"/>
      <c r="H2561" t="s"/>
      <c r="I2561" t="s"/>
      <c r="J2561" t="n">
        <v>-0.3612</v>
      </c>
      <c r="K2561" t="n">
        <v>0.163</v>
      </c>
      <c r="L2561" t="n">
        <v>0.837</v>
      </c>
      <c r="M2561" t="n">
        <v>0</v>
      </c>
    </row>
    <row r="2562" spans="1:13">
      <c r="A2562" s="1">
        <f>HYPERLINK("http://www.twitter.com/NathanBLawrence/status/984324516955459584", "984324516955459584")</f>
        <v/>
      </c>
      <c r="B2562" s="2" t="n">
        <v>43202.28966435185</v>
      </c>
      <c r="C2562" t="n">
        <v>0</v>
      </c>
      <c r="D2562" t="n">
        <v>0</v>
      </c>
      <c r="E2562" t="s">
        <v>2528</v>
      </c>
      <c r="F2562" t="s"/>
      <c r="G2562" t="s"/>
      <c r="H2562" t="s"/>
      <c r="I2562" t="s"/>
      <c r="J2562" t="n">
        <v>-0.0387</v>
      </c>
      <c r="K2562" t="n">
        <v>0.07099999999999999</v>
      </c>
      <c r="L2562" t="n">
        <v>0.929</v>
      </c>
      <c r="M2562" t="n">
        <v>0</v>
      </c>
    </row>
    <row r="2563" spans="1:13">
      <c r="A2563" s="1">
        <f>HYPERLINK("http://www.twitter.com/NathanBLawrence/status/984310168539279360", "984310168539279360")</f>
        <v/>
      </c>
      <c r="B2563" s="2" t="n">
        <v>43202.25006944445</v>
      </c>
      <c r="C2563" t="n">
        <v>0</v>
      </c>
      <c r="D2563" t="n">
        <v>5021</v>
      </c>
      <c r="E2563" t="s">
        <v>2529</v>
      </c>
      <c r="F2563">
        <f>HYPERLINK("http://pbs.twimg.com/media/DaeBiQJVAAA79XH.jpg", "http://pbs.twimg.com/media/DaeBiQJVAAA79XH.jpg")</f>
        <v/>
      </c>
      <c r="G2563" t="s"/>
      <c r="H2563" t="s"/>
      <c r="I2563" t="s"/>
      <c r="J2563" t="n">
        <v>0.5859</v>
      </c>
      <c r="K2563" t="n">
        <v>0.076</v>
      </c>
      <c r="L2563" t="n">
        <v>0.728</v>
      </c>
      <c r="M2563" t="n">
        <v>0.196</v>
      </c>
    </row>
    <row r="2564" spans="1:13">
      <c r="A2564" s="1">
        <f>HYPERLINK("http://www.twitter.com/NathanBLawrence/status/984309274351464448", "984309274351464448")</f>
        <v/>
      </c>
      <c r="B2564" s="2" t="n">
        <v>43202.24760416667</v>
      </c>
      <c r="C2564" t="n">
        <v>3</v>
      </c>
      <c r="D2564" t="n">
        <v>0</v>
      </c>
      <c r="E2564" t="s">
        <v>2530</v>
      </c>
      <c r="F2564" t="s"/>
      <c r="G2564" t="s"/>
      <c r="H2564" t="s"/>
      <c r="I2564" t="s"/>
      <c r="J2564" t="n">
        <v>-0.6249</v>
      </c>
      <c r="K2564" t="n">
        <v>0.138</v>
      </c>
      <c r="L2564" t="n">
        <v>0.862</v>
      </c>
      <c r="M2564" t="n">
        <v>0</v>
      </c>
    </row>
    <row r="2565" spans="1:13">
      <c r="A2565" s="1">
        <f>HYPERLINK("http://www.twitter.com/NathanBLawrence/status/984308883572346882", "984308883572346882")</f>
        <v/>
      </c>
      <c r="B2565" s="2" t="n">
        <v>43202.24652777778</v>
      </c>
      <c r="C2565" t="n">
        <v>0</v>
      </c>
      <c r="D2565" t="n">
        <v>0</v>
      </c>
      <c r="E2565" t="s">
        <v>2531</v>
      </c>
      <c r="F2565" t="s"/>
      <c r="G2565" t="s"/>
      <c r="H2565" t="s"/>
      <c r="I2565" t="s"/>
      <c r="J2565" t="n">
        <v>-0.5478</v>
      </c>
      <c r="K2565" t="n">
        <v>0.204</v>
      </c>
      <c r="L2565" t="n">
        <v>0.681</v>
      </c>
      <c r="M2565" t="n">
        <v>0.115</v>
      </c>
    </row>
    <row r="2566" spans="1:13">
      <c r="A2566" s="1">
        <f>HYPERLINK("http://www.twitter.com/NathanBLawrence/status/984308573718171648", "984308573718171648")</f>
        <v/>
      </c>
      <c r="B2566" s="2" t="n">
        <v>43202.2456712963</v>
      </c>
      <c r="C2566" t="n">
        <v>0</v>
      </c>
      <c r="D2566" t="n">
        <v>0</v>
      </c>
      <c r="E2566" t="s">
        <v>2532</v>
      </c>
      <c r="F2566" t="s"/>
      <c r="G2566" t="s"/>
      <c r="H2566" t="s"/>
      <c r="I2566" t="s"/>
      <c r="J2566" t="n">
        <v>-0.3535</v>
      </c>
      <c r="K2566" t="n">
        <v>0.061</v>
      </c>
      <c r="L2566" t="n">
        <v>0.9389999999999999</v>
      </c>
      <c r="M2566" t="n">
        <v>0</v>
      </c>
    </row>
    <row r="2567" spans="1:13">
      <c r="A2567" s="1">
        <f>HYPERLINK("http://www.twitter.com/NathanBLawrence/status/984306845014732800", "984306845014732800")</f>
        <v/>
      </c>
      <c r="B2567" s="2" t="n">
        <v>43202.24090277778</v>
      </c>
      <c r="C2567" t="n">
        <v>1</v>
      </c>
      <c r="D2567" t="n">
        <v>1</v>
      </c>
      <c r="E2567" t="s">
        <v>2533</v>
      </c>
      <c r="F2567" t="s"/>
      <c r="G2567" t="s"/>
      <c r="H2567" t="s"/>
      <c r="I2567" t="s"/>
      <c r="J2567" t="n">
        <v>0</v>
      </c>
      <c r="K2567" t="n">
        <v>0</v>
      </c>
      <c r="L2567" t="n">
        <v>1</v>
      </c>
      <c r="M2567" t="n">
        <v>0</v>
      </c>
    </row>
    <row r="2568" spans="1:13">
      <c r="A2568" s="1">
        <f>HYPERLINK("http://www.twitter.com/NathanBLawrence/status/984306781928263680", "984306781928263680")</f>
        <v/>
      </c>
      <c r="B2568" s="2" t="n">
        <v>43202.24072916667</v>
      </c>
      <c r="C2568" t="n">
        <v>0</v>
      </c>
      <c r="D2568" t="n">
        <v>1</v>
      </c>
      <c r="E2568" t="s">
        <v>2534</v>
      </c>
      <c r="F2568" t="s"/>
      <c r="G2568" t="s"/>
      <c r="H2568" t="s"/>
      <c r="I2568" t="s"/>
      <c r="J2568" t="n">
        <v>-0.3818</v>
      </c>
      <c r="K2568" t="n">
        <v>0.12</v>
      </c>
      <c r="L2568" t="n">
        <v>0.88</v>
      </c>
      <c r="M2568" t="n">
        <v>0</v>
      </c>
    </row>
    <row r="2569" spans="1:13">
      <c r="A2569" s="1">
        <f>HYPERLINK("http://www.twitter.com/NathanBLawrence/status/984306597353721856", "984306597353721856")</f>
        <v/>
      </c>
      <c r="B2569" s="2" t="n">
        <v>43202.24020833334</v>
      </c>
      <c r="C2569" t="n">
        <v>0</v>
      </c>
      <c r="D2569" t="n">
        <v>1098</v>
      </c>
      <c r="E2569" t="s">
        <v>2535</v>
      </c>
      <c r="F2569" t="s"/>
      <c r="G2569" t="s"/>
      <c r="H2569" t="s"/>
      <c r="I2569" t="s"/>
      <c r="J2569" t="n">
        <v>0.1997</v>
      </c>
      <c r="K2569" t="n">
        <v>0.126</v>
      </c>
      <c r="L2569" t="n">
        <v>0.71</v>
      </c>
      <c r="M2569" t="n">
        <v>0.164</v>
      </c>
    </row>
    <row r="2570" spans="1:13">
      <c r="A2570" s="1">
        <f>HYPERLINK("http://www.twitter.com/NathanBLawrence/status/984306568903655424", "984306568903655424")</f>
        <v/>
      </c>
      <c r="B2570" s="2" t="n">
        <v>43202.24013888889</v>
      </c>
      <c r="C2570" t="n">
        <v>0</v>
      </c>
      <c r="D2570" t="n">
        <v>16162</v>
      </c>
      <c r="E2570" t="s">
        <v>2536</v>
      </c>
      <c r="F2570" t="s"/>
      <c r="G2570" t="s"/>
      <c r="H2570" t="s"/>
      <c r="I2570" t="s"/>
      <c r="J2570" t="n">
        <v>0</v>
      </c>
      <c r="K2570" t="n">
        <v>0</v>
      </c>
      <c r="L2570" t="n">
        <v>1</v>
      </c>
      <c r="M2570" t="n">
        <v>0</v>
      </c>
    </row>
    <row r="2571" spans="1:13">
      <c r="A2571" s="1">
        <f>HYPERLINK("http://www.twitter.com/NathanBLawrence/status/984306541221367808", "984306541221367808")</f>
        <v/>
      </c>
      <c r="B2571" s="2" t="n">
        <v>43202.24005787037</v>
      </c>
      <c r="C2571" t="n">
        <v>0</v>
      </c>
      <c r="D2571" t="n">
        <v>994</v>
      </c>
      <c r="E2571" t="s">
        <v>2537</v>
      </c>
      <c r="F2571">
        <f>HYPERLINK("http://pbs.twimg.com/media/Dai3140VMAEEYiN.jpg", "http://pbs.twimg.com/media/Dai3140VMAEEYiN.jpg")</f>
        <v/>
      </c>
      <c r="G2571" t="s"/>
      <c r="H2571" t="s"/>
      <c r="I2571" t="s"/>
      <c r="J2571" t="n">
        <v>-0.34</v>
      </c>
      <c r="K2571" t="n">
        <v>0.134</v>
      </c>
      <c r="L2571" t="n">
        <v>0.784</v>
      </c>
      <c r="M2571" t="n">
        <v>0.082</v>
      </c>
    </row>
    <row r="2572" spans="1:13">
      <c r="A2572" s="1">
        <f>HYPERLINK("http://www.twitter.com/NathanBLawrence/status/984306498540130304", "984306498540130304")</f>
        <v/>
      </c>
      <c r="B2572" s="2" t="n">
        <v>43202.23994212963</v>
      </c>
      <c r="C2572" t="n">
        <v>0</v>
      </c>
      <c r="D2572" t="n">
        <v>878</v>
      </c>
      <c r="E2572" t="s">
        <v>2538</v>
      </c>
      <c r="F2572" t="s"/>
      <c r="G2572" t="s"/>
      <c r="H2572" t="s"/>
      <c r="I2572" t="s"/>
      <c r="J2572" t="n">
        <v>0.1027</v>
      </c>
      <c r="K2572" t="n">
        <v>0</v>
      </c>
      <c r="L2572" t="n">
        <v>0.9399999999999999</v>
      </c>
      <c r="M2572" t="n">
        <v>0.06</v>
      </c>
    </row>
    <row r="2573" spans="1:13">
      <c r="A2573" s="1">
        <f>HYPERLINK("http://www.twitter.com/NathanBLawrence/status/984306468085207042", "984306468085207042")</f>
        <v/>
      </c>
      <c r="B2573" s="2" t="n">
        <v>43202.23986111111</v>
      </c>
      <c r="C2573" t="n">
        <v>0</v>
      </c>
      <c r="D2573" t="n">
        <v>62</v>
      </c>
      <c r="E2573" t="s">
        <v>2539</v>
      </c>
      <c r="F2573" t="s"/>
      <c r="G2573" t="s"/>
      <c r="H2573" t="s"/>
      <c r="I2573" t="s"/>
      <c r="J2573" t="n">
        <v>0.7269</v>
      </c>
      <c r="K2573" t="n">
        <v>0.07199999999999999</v>
      </c>
      <c r="L2573" t="n">
        <v>0.656</v>
      </c>
      <c r="M2573" t="n">
        <v>0.272</v>
      </c>
    </row>
    <row r="2574" spans="1:13">
      <c r="A2574" s="1">
        <f>HYPERLINK("http://www.twitter.com/NathanBLawrence/status/984306428512014336", "984306428512014336")</f>
        <v/>
      </c>
      <c r="B2574" s="2" t="n">
        <v>43202.23974537037</v>
      </c>
      <c r="C2574" t="n">
        <v>0</v>
      </c>
      <c r="D2574" t="n">
        <v>556</v>
      </c>
      <c r="E2574" t="s">
        <v>2540</v>
      </c>
      <c r="F2574">
        <f>HYPERLINK("http://pbs.twimg.com/media/DajWD5ZUMAAuo7X.jpg", "http://pbs.twimg.com/media/DajWD5ZUMAAuo7X.jpg")</f>
        <v/>
      </c>
      <c r="G2574" t="s"/>
      <c r="H2574" t="s"/>
      <c r="I2574" t="s"/>
      <c r="J2574" t="n">
        <v>0.7896</v>
      </c>
      <c r="K2574" t="n">
        <v>0</v>
      </c>
      <c r="L2574" t="n">
        <v>0.534</v>
      </c>
      <c r="M2574" t="n">
        <v>0.466</v>
      </c>
    </row>
    <row r="2575" spans="1:13">
      <c r="A2575" s="1">
        <f>HYPERLINK("http://www.twitter.com/NathanBLawrence/status/984306412716265472", "984306412716265472")</f>
        <v/>
      </c>
      <c r="B2575" s="2" t="n">
        <v>43202.23969907407</v>
      </c>
      <c r="C2575" t="n">
        <v>0</v>
      </c>
      <c r="D2575" t="n">
        <v>494</v>
      </c>
      <c r="E2575" t="s">
        <v>2541</v>
      </c>
      <c r="F2575" t="s"/>
      <c r="G2575" t="s"/>
      <c r="H2575" t="s"/>
      <c r="I2575" t="s"/>
      <c r="J2575" t="n">
        <v>-0.8359</v>
      </c>
      <c r="K2575" t="n">
        <v>0.344</v>
      </c>
      <c r="L2575" t="n">
        <v>0.656</v>
      </c>
      <c r="M2575" t="n">
        <v>0</v>
      </c>
    </row>
    <row r="2576" spans="1:13">
      <c r="A2576" s="1">
        <f>HYPERLINK("http://www.twitter.com/NathanBLawrence/status/984306120364908544", "984306120364908544")</f>
        <v/>
      </c>
      <c r="B2576" s="2" t="n">
        <v>43202.23890046297</v>
      </c>
      <c r="C2576" t="n">
        <v>0</v>
      </c>
      <c r="D2576" t="n">
        <v>1</v>
      </c>
      <c r="E2576" t="s">
        <v>2542</v>
      </c>
      <c r="F2576" t="s"/>
      <c r="G2576" t="s"/>
      <c r="H2576" t="s"/>
      <c r="I2576" t="s"/>
      <c r="J2576" t="n">
        <v>-0.1531</v>
      </c>
      <c r="K2576" t="n">
        <v>0.135</v>
      </c>
      <c r="L2576" t="n">
        <v>0.754</v>
      </c>
      <c r="M2576" t="n">
        <v>0.111</v>
      </c>
    </row>
    <row r="2577" spans="1:13">
      <c r="A2577" s="1">
        <f>HYPERLINK("http://www.twitter.com/NathanBLawrence/status/984305775022673920", "984305775022673920")</f>
        <v/>
      </c>
      <c r="B2577" s="2" t="n">
        <v>43202.23793981481</v>
      </c>
      <c r="C2577" t="n">
        <v>1</v>
      </c>
      <c r="D2577" t="n">
        <v>1</v>
      </c>
      <c r="E2577" t="s">
        <v>2543</v>
      </c>
      <c r="F2577" t="s"/>
      <c r="G2577" t="s"/>
      <c r="H2577" t="s"/>
      <c r="I2577" t="s"/>
      <c r="J2577" t="n">
        <v>-0.6393</v>
      </c>
      <c r="K2577" t="n">
        <v>0.166</v>
      </c>
      <c r="L2577" t="n">
        <v>0.777</v>
      </c>
      <c r="M2577" t="n">
        <v>0.057</v>
      </c>
    </row>
    <row r="2578" spans="1:13">
      <c r="A2578" s="1">
        <f>HYPERLINK("http://www.twitter.com/NathanBLawrence/status/984305297320706048", "984305297320706048")</f>
        <v/>
      </c>
      <c r="B2578" s="2" t="n">
        <v>43202.23663194444</v>
      </c>
      <c r="C2578" t="n">
        <v>4</v>
      </c>
      <c r="D2578" t="n">
        <v>1</v>
      </c>
      <c r="E2578" t="s">
        <v>2544</v>
      </c>
      <c r="F2578" t="s"/>
      <c r="G2578" t="s"/>
      <c r="H2578" t="s"/>
      <c r="I2578" t="s"/>
      <c r="J2578" t="n">
        <v>-0.2158</v>
      </c>
      <c r="K2578" t="n">
        <v>0.108</v>
      </c>
      <c r="L2578" t="n">
        <v>0.802</v>
      </c>
      <c r="M2578" t="n">
        <v>0.09</v>
      </c>
    </row>
    <row r="2579" spans="1:13">
      <c r="A2579" s="1">
        <f>HYPERLINK("http://www.twitter.com/NathanBLawrence/status/984304782545506304", "984304782545506304")</f>
        <v/>
      </c>
      <c r="B2579" s="2" t="n">
        <v>43202.23520833333</v>
      </c>
      <c r="C2579" t="n">
        <v>0</v>
      </c>
      <c r="D2579" t="n">
        <v>0</v>
      </c>
      <c r="E2579" t="s">
        <v>2545</v>
      </c>
      <c r="F2579" t="s"/>
      <c r="G2579" t="s"/>
      <c r="H2579" t="s"/>
      <c r="I2579" t="s"/>
      <c r="J2579" t="n">
        <v>0.6126</v>
      </c>
      <c r="K2579" t="n">
        <v>0</v>
      </c>
      <c r="L2579" t="n">
        <v>0.762</v>
      </c>
      <c r="M2579" t="n">
        <v>0.238</v>
      </c>
    </row>
    <row r="2580" spans="1:13">
      <c r="A2580" s="1">
        <f>HYPERLINK("http://www.twitter.com/NathanBLawrence/status/984300804344569856", "984300804344569856")</f>
        <v/>
      </c>
      <c r="B2580" s="2" t="n">
        <v>43202.22422453704</v>
      </c>
      <c r="C2580" t="n">
        <v>0</v>
      </c>
      <c r="D2580" t="n">
        <v>6</v>
      </c>
      <c r="E2580" t="s">
        <v>2546</v>
      </c>
      <c r="F2580" t="s"/>
      <c r="G2580" t="s"/>
      <c r="H2580" t="s"/>
      <c r="I2580" t="s"/>
      <c r="J2580" t="n">
        <v>0.4199</v>
      </c>
      <c r="K2580" t="n">
        <v>0</v>
      </c>
      <c r="L2580" t="n">
        <v>0.798</v>
      </c>
      <c r="M2580" t="n">
        <v>0.202</v>
      </c>
    </row>
    <row r="2581" spans="1:13">
      <c r="A2581" s="1">
        <f>HYPERLINK("http://www.twitter.com/NathanBLawrence/status/984300764502937600", "984300764502937600")</f>
        <v/>
      </c>
      <c r="B2581" s="2" t="n">
        <v>43202.22412037037</v>
      </c>
      <c r="C2581" t="n">
        <v>0</v>
      </c>
      <c r="D2581" t="n">
        <v>7</v>
      </c>
      <c r="E2581" t="s">
        <v>2547</v>
      </c>
      <c r="F2581" t="s"/>
      <c r="G2581" t="s"/>
      <c r="H2581" t="s"/>
      <c r="I2581" t="s"/>
      <c r="J2581" t="n">
        <v>0</v>
      </c>
      <c r="K2581" t="n">
        <v>0</v>
      </c>
      <c r="L2581" t="n">
        <v>1</v>
      </c>
      <c r="M2581" t="n">
        <v>0</v>
      </c>
    </row>
    <row r="2582" spans="1:13">
      <c r="A2582" s="1">
        <f>HYPERLINK("http://www.twitter.com/NathanBLawrence/status/984300681489154049", "984300681489154049")</f>
        <v/>
      </c>
      <c r="B2582" s="2" t="n">
        <v>43202.22388888889</v>
      </c>
      <c r="C2582" t="n">
        <v>0</v>
      </c>
      <c r="D2582" t="n">
        <v>1</v>
      </c>
      <c r="E2582" t="s">
        <v>2548</v>
      </c>
      <c r="F2582" t="s"/>
      <c r="G2582" t="s"/>
      <c r="H2582" t="s"/>
      <c r="I2582" t="s"/>
      <c r="J2582" t="n">
        <v>0</v>
      </c>
      <c r="K2582" t="n">
        <v>0</v>
      </c>
      <c r="L2582" t="n">
        <v>1</v>
      </c>
      <c r="M2582" t="n">
        <v>0</v>
      </c>
    </row>
    <row r="2583" spans="1:13">
      <c r="A2583" s="1">
        <f>HYPERLINK("http://www.twitter.com/NathanBLawrence/status/984300667702595584", "984300667702595584")</f>
        <v/>
      </c>
      <c r="B2583" s="2" t="n">
        <v>43202.22385416667</v>
      </c>
      <c r="C2583" t="n">
        <v>0</v>
      </c>
      <c r="D2583" t="n">
        <v>3</v>
      </c>
      <c r="E2583" t="s">
        <v>2549</v>
      </c>
      <c r="F2583" t="s"/>
      <c r="G2583" t="s"/>
      <c r="H2583" t="s"/>
      <c r="I2583" t="s"/>
      <c r="J2583" t="n">
        <v>0</v>
      </c>
      <c r="K2583" t="n">
        <v>0</v>
      </c>
      <c r="L2583" t="n">
        <v>1</v>
      </c>
      <c r="M2583" t="n">
        <v>0</v>
      </c>
    </row>
    <row r="2584" spans="1:13">
      <c r="A2584" s="1">
        <f>HYPERLINK("http://www.twitter.com/NathanBLawrence/status/984300640733138944", "984300640733138944")</f>
        <v/>
      </c>
      <c r="B2584" s="2" t="n">
        <v>43202.22377314815</v>
      </c>
      <c r="C2584" t="n">
        <v>0</v>
      </c>
      <c r="D2584" t="n">
        <v>3</v>
      </c>
      <c r="E2584" t="s">
        <v>2550</v>
      </c>
      <c r="F2584" t="s"/>
      <c r="G2584" t="s"/>
      <c r="H2584" t="s"/>
      <c r="I2584" t="s"/>
      <c r="J2584" t="n">
        <v>-0.7125</v>
      </c>
      <c r="K2584" t="n">
        <v>0.298</v>
      </c>
      <c r="L2584" t="n">
        <v>0.702</v>
      </c>
      <c r="M2584" t="n">
        <v>0</v>
      </c>
    </row>
    <row r="2585" spans="1:13">
      <c r="A2585" s="1">
        <f>HYPERLINK("http://www.twitter.com/NathanBLawrence/status/984300629521813504", "984300629521813504")</f>
        <v/>
      </c>
      <c r="B2585" s="2" t="n">
        <v>43202.22375</v>
      </c>
      <c r="C2585" t="n">
        <v>0</v>
      </c>
      <c r="D2585" t="n">
        <v>2</v>
      </c>
      <c r="E2585" t="s">
        <v>2551</v>
      </c>
      <c r="F2585" t="s"/>
      <c r="G2585" t="s"/>
      <c r="H2585" t="s"/>
      <c r="I2585" t="s"/>
      <c r="J2585" t="n">
        <v>-0.0772</v>
      </c>
      <c r="K2585" t="n">
        <v>0.103</v>
      </c>
      <c r="L2585" t="n">
        <v>0.757</v>
      </c>
      <c r="M2585" t="n">
        <v>0.141</v>
      </c>
    </row>
    <row r="2586" spans="1:13">
      <c r="A2586" s="1">
        <f>HYPERLINK("http://www.twitter.com/NathanBLawrence/status/984300452677390336", "984300452677390336")</f>
        <v/>
      </c>
      <c r="B2586" s="2" t="n">
        <v>43202.22325231481</v>
      </c>
      <c r="C2586" t="n">
        <v>1</v>
      </c>
      <c r="D2586" t="n">
        <v>0</v>
      </c>
      <c r="E2586" t="s">
        <v>2552</v>
      </c>
      <c r="F2586" t="s"/>
      <c r="G2586" t="s"/>
      <c r="H2586" t="s"/>
      <c r="I2586" t="s"/>
      <c r="J2586" t="n">
        <v>0.2185</v>
      </c>
      <c r="K2586" t="n">
        <v>0.073</v>
      </c>
      <c r="L2586" t="n">
        <v>0.857</v>
      </c>
      <c r="M2586" t="n">
        <v>0.06900000000000001</v>
      </c>
    </row>
    <row r="2587" spans="1:13">
      <c r="A2587" s="1">
        <f>HYPERLINK("http://www.twitter.com/NathanBLawrence/status/984300203468640256", "984300203468640256")</f>
        <v/>
      </c>
      <c r="B2587" s="2" t="n">
        <v>43202.22256944444</v>
      </c>
      <c r="C2587" t="n">
        <v>0</v>
      </c>
      <c r="D2587" t="n">
        <v>3</v>
      </c>
      <c r="E2587" t="s">
        <v>2553</v>
      </c>
      <c r="F2587" t="s"/>
      <c r="G2587" t="s"/>
      <c r="H2587" t="s"/>
      <c r="I2587" t="s"/>
      <c r="J2587" t="n">
        <v>0.3818</v>
      </c>
      <c r="K2587" t="n">
        <v>0.196</v>
      </c>
      <c r="L2587" t="n">
        <v>0.532</v>
      </c>
      <c r="M2587" t="n">
        <v>0.273</v>
      </c>
    </row>
    <row r="2588" spans="1:13">
      <c r="A2588" s="1">
        <f>HYPERLINK("http://www.twitter.com/NathanBLawrence/status/984300152541401088", "984300152541401088")</f>
        <v/>
      </c>
      <c r="B2588" s="2" t="n">
        <v>43202.22243055556</v>
      </c>
      <c r="C2588" t="n">
        <v>0</v>
      </c>
      <c r="D2588" t="n">
        <v>0</v>
      </c>
      <c r="E2588" t="s">
        <v>2554</v>
      </c>
      <c r="F2588" t="s"/>
      <c r="G2588" t="s"/>
      <c r="H2588" t="s"/>
      <c r="I2588" t="s"/>
      <c r="J2588" t="n">
        <v>-0.2023</v>
      </c>
      <c r="K2588" t="n">
        <v>0.28</v>
      </c>
      <c r="L2588" t="n">
        <v>0.538</v>
      </c>
      <c r="M2588" t="n">
        <v>0.183</v>
      </c>
    </row>
    <row r="2589" spans="1:13">
      <c r="A2589" s="1">
        <f>HYPERLINK("http://www.twitter.com/NathanBLawrence/status/984299642484674560", "984299642484674560")</f>
        <v/>
      </c>
      <c r="B2589" s="2" t="n">
        <v>43202.22101851852</v>
      </c>
      <c r="C2589" t="n">
        <v>0</v>
      </c>
      <c r="D2589" t="n">
        <v>9</v>
      </c>
      <c r="E2589" t="s">
        <v>2555</v>
      </c>
      <c r="F2589">
        <f>HYPERLINK("http://pbs.twimg.com/media/DajcX0tX0AAVKCl.jpg", "http://pbs.twimg.com/media/DajcX0tX0AAVKCl.jpg")</f>
        <v/>
      </c>
      <c r="G2589" t="s"/>
      <c r="H2589" t="s"/>
      <c r="I2589" t="s"/>
      <c r="J2589" t="n">
        <v>0.4759</v>
      </c>
      <c r="K2589" t="n">
        <v>0.113</v>
      </c>
      <c r="L2589" t="n">
        <v>0.633</v>
      </c>
      <c r="M2589" t="n">
        <v>0.253</v>
      </c>
    </row>
    <row r="2590" spans="1:13">
      <c r="A2590" s="1">
        <f>HYPERLINK("http://www.twitter.com/NathanBLawrence/status/984299630639935490", "984299630639935490")</f>
        <v/>
      </c>
      <c r="B2590" s="2" t="n">
        <v>43202.22099537037</v>
      </c>
      <c r="C2590" t="n">
        <v>0</v>
      </c>
      <c r="D2590" t="n">
        <v>1</v>
      </c>
      <c r="E2590" t="s">
        <v>2556</v>
      </c>
      <c r="F2590" t="s"/>
      <c r="G2590" t="s"/>
      <c r="H2590" t="s"/>
      <c r="I2590" t="s"/>
      <c r="J2590" t="n">
        <v>0</v>
      </c>
      <c r="K2590" t="n">
        <v>0</v>
      </c>
      <c r="L2590" t="n">
        <v>1</v>
      </c>
      <c r="M2590" t="n">
        <v>0</v>
      </c>
    </row>
    <row r="2591" spans="1:13">
      <c r="A2591" s="1">
        <f>HYPERLINK("http://www.twitter.com/NathanBLawrence/status/984299601548242946", "984299601548242946")</f>
        <v/>
      </c>
      <c r="B2591" s="2" t="n">
        <v>43202.22091435185</v>
      </c>
      <c r="C2591" t="n">
        <v>0</v>
      </c>
      <c r="D2591" t="n">
        <v>8</v>
      </c>
      <c r="E2591" t="s">
        <v>2557</v>
      </c>
      <c r="F2591" t="s"/>
      <c r="G2591" t="s"/>
      <c r="H2591" t="s"/>
      <c r="I2591" t="s"/>
      <c r="J2591" t="n">
        <v>-0.6597</v>
      </c>
      <c r="K2591" t="n">
        <v>0.221</v>
      </c>
      <c r="L2591" t="n">
        <v>0.779</v>
      </c>
      <c r="M2591" t="n">
        <v>0</v>
      </c>
    </row>
    <row r="2592" spans="1:13">
      <c r="A2592" s="1">
        <f>HYPERLINK("http://www.twitter.com/NathanBLawrence/status/984299519801163776", "984299519801163776")</f>
        <v/>
      </c>
      <c r="B2592" s="2" t="n">
        <v>43202.22068287037</v>
      </c>
      <c r="C2592" t="n">
        <v>0</v>
      </c>
      <c r="D2592" t="n">
        <v>7</v>
      </c>
      <c r="E2592" t="s">
        <v>2558</v>
      </c>
      <c r="F2592" t="s"/>
      <c r="G2592" t="s"/>
      <c r="H2592" t="s"/>
      <c r="I2592" t="s"/>
      <c r="J2592" t="n">
        <v>0.8316</v>
      </c>
      <c r="K2592" t="n">
        <v>0</v>
      </c>
      <c r="L2592" t="n">
        <v>0.645</v>
      </c>
      <c r="M2592" t="n">
        <v>0.355</v>
      </c>
    </row>
    <row r="2593" spans="1:13">
      <c r="A2593" s="1">
        <f>HYPERLINK("http://www.twitter.com/NathanBLawrence/status/984299434799501312", "984299434799501312")</f>
        <v/>
      </c>
      <c r="B2593" s="2" t="n">
        <v>43202.22045138889</v>
      </c>
      <c r="C2593" t="n">
        <v>0</v>
      </c>
      <c r="D2593" t="n">
        <v>1</v>
      </c>
      <c r="E2593" t="s">
        <v>2559</v>
      </c>
      <c r="F2593" t="s"/>
      <c r="G2593" t="s"/>
      <c r="H2593" t="s"/>
      <c r="I2593" t="s"/>
      <c r="J2593" t="n">
        <v>0.4754</v>
      </c>
      <c r="K2593" t="n">
        <v>0</v>
      </c>
      <c r="L2593" t="n">
        <v>0.618</v>
      </c>
      <c r="M2593" t="n">
        <v>0.382</v>
      </c>
    </row>
    <row r="2594" spans="1:13">
      <c r="A2594" s="1">
        <f>HYPERLINK("http://www.twitter.com/NathanBLawrence/status/984299421583265792", "984299421583265792")</f>
        <v/>
      </c>
      <c r="B2594" s="2" t="n">
        <v>43202.22041666666</v>
      </c>
      <c r="C2594" t="n">
        <v>0</v>
      </c>
      <c r="D2594" t="n">
        <v>4</v>
      </c>
      <c r="E2594" t="s">
        <v>2560</v>
      </c>
      <c r="F2594" t="s"/>
      <c r="G2594" t="s"/>
      <c r="H2594" t="s"/>
      <c r="I2594" t="s"/>
      <c r="J2594" t="n">
        <v>0</v>
      </c>
      <c r="K2594" t="n">
        <v>0</v>
      </c>
      <c r="L2594" t="n">
        <v>1</v>
      </c>
      <c r="M2594" t="n">
        <v>0</v>
      </c>
    </row>
    <row r="2595" spans="1:13">
      <c r="A2595" s="1">
        <f>HYPERLINK("http://www.twitter.com/NathanBLawrence/status/984299404260790277", "984299404260790277")</f>
        <v/>
      </c>
      <c r="B2595" s="2" t="n">
        <v>43202.22037037037</v>
      </c>
      <c r="C2595" t="n">
        <v>0</v>
      </c>
      <c r="D2595" t="n">
        <v>0</v>
      </c>
      <c r="E2595" t="s">
        <v>2561</v>
      </c>
      <c r="F2595" t="s"/>
      <c r="G2595" t="s"/>
      <c r="H2595" t="s"/>
      <c r="I2595" t="s"/>
      <c r="J2595" t="n">
        <v>0</v>
      </c>
      <c r="K2595" t="n">
        <v>0.208</v>
      </c>
      <c r="L2595" t="n">
        <v>0.583</v>
      </c>
      <c r="M2595" t="n">
        <v>0.208</v>
      </c>
    </row>
    <row r="2596" spans="1:13">
      <c r="A2596" s="1">
        <f>HYPERLINK("http://www.twitter.com/NathanBLawrence/status/984299327874064384", "984299327874064384")</f>
        <v/>
      </c>
      <c r="B2596" s="2" t="n">
        <v>43202.22015046296</v>
      </c>
      <c r="C2596" t="n">
        <v>0</v>
      </c>
      <c r="D2596" t="n">
        <v>4</v>
      </c>
      <c r="E2596" t="s">
        <v>2562</v>
      </c>
      <c r="F2596">
        <f>HYPERLINK("http://pbs.twimg.com/media/Daji6V_UwAAIvfW.jpg", "http://pbs.twimg.com/media/Daji6V_UwAAIvfW.jpg")</f>
        <v/>
      </c>
      <c r="G2596" t="s"/>
      <c r="H2596" t="s"/>
      <c r="I2596" t="s"/>
      <c r="J2596" t="n">
        <v>-0.1449</v>
      </c>
      <c r="K2596" t="n">
        <v>0.14</v>
      </c>
      <c r="L2596" t="n">
        <v>0.741</v>
      </c>
      <c r="M2596" t="n">
        <v>0.118</v>
      </c>
    </row>
    <row r="2597" spans="1:13">
      <c r="A2597" s="1">
        <f>HYPERLINK("http://www.twitter.com/NathanBLawrence/status/984299193526255616", "984299193526255616")</f>
        <v/>
      </c>
      <c r="B2597" s="2" t="n">
        <v>43202.21978009259</v>
      </c>
      <c r="C2597" t="n">
        <v>0</v>
      </c>
      <c r="D2597" t="n">
        <v>5</v>
      </c>
      <c r="E2597" t="s">
        <v>2563</v>
      </c>
      <c r="F2597" t="s"/>
      <c r="G2597" t="s"/>
      <c r="H2597" t="s"/>
      <c r="I2597" t="s"/>
      <c r="J2597" t="n">
        <v>-0.25</v>
      </c>
      <c r="K2597" t="n">
        <v>0.117</v>
      </c>
      <c r="L2597" t="n">
        <v>0.8159999999999999</v>
      </c>
      <c r="M2597" t="n">
        <v>0.066</v>
      </c>
    </row>
    <row r="2598" spans="1:13">
      <c r="A2598" s="1">
        <f>HYPERLINK("http://www.twitter.com/NathanBLawrence/status/984299163503550464", "984299163503550464")</f>
        <v/>
      </c>
      <c r="B2598" s="2" t="n">
        <v>43202.21969907408</v>
      </c>
      <c r="C2598" t="n">
        <v>0</v>
      </c>
      <c r="D2598" t="n">
        <v>2</v>
      </c>
      <c r="E2598" t="s">
        <v>2564</v>
      </c>
      <c r="F2598" t="s"/>
      <c r="G2598" t="s"/>
      <c r="H2598" t="s"/>
      <c r="I2598" t="s"/>
      <c r="J2598" t="n">
        <v>-0.0335</v>
      </c>
      <c r="K2598" t="n">
        <v>0.169</v>
      </c>
      <c r="L2598" t="n">
        <v>0.666</v>
      </c>
      <c r="M2598" t="n">
        <v>0.165</v>
      </c>
    </row>
    <row r="2599" spans="1:13">
      <c r="A2599" s="1">
        <f>HYPERLINK("http://www.twitter.com/NathanBLawrence/status/984299121510178817", "984299121510178817")</f>
        <v/>
      </c>
      <c r="B2599" s="2" t="n">
        <v>43202.21958333333</v>
      </c>
      <c r="C2599" t="n">
        <v>0</v>
      </c>
      <c r="D2599" t="n">
        <v>2</v>
      </c>
      <c r="E2599" t="s">
        <v>2565</v>
      </c>
      <c r="F2599" t="s"/>
      <c r="G2599" t="s"/>
      <c r="H2599" t="s"/>
      <c r="I2599" t="s"/>
      <c r="J2599" t="n">
        <v>0</v>
      </c>
      <c r="K2599" t="n">
        <v>0</v>
      </c>
      <c r="L2599" t="n">
        <v>1</v>
      </c>
      <c r="M2599" t="n">
        <v>0</v>
      </c>
    </row>
    <row r="2600" spans="1:13">
      <c r="A2600" s="1">
        <f>HYPERLINK("http://www.twitter.com/NathanBLawrence/status/984299105575989248", "984299105575989248")</f>
        <v/>
      </c>
      <c r="B2600" s="2" t="n">
        <v>43202.21953703704</v>
      </c>
      <c r="C2600" t="n">
        <v>0</v>
      </c>
      <c r="D2600" t="n">
        <v>3</v>
      </c>
      <c r="E2600" t="s">
        <v>2566</v>
      </c>
      <c r="F2600" t="s"/>
      <c r="G2600" t="s"/>
      <c r="H2600" t="s"/>
      <c r="I2600" t="s"/>
      <c r="J2600" t="n">
        <v>-0.0772</v>
      </c>
      <c r="K2600" t="n">
        <v>0.138</v>
      </c>
      <c r="L2600" t="n">
        <v>0.739</v>
      </c>
      <c r="M2600" t="n">
        <v>0.123</v>
      </c>
    </row>
    <row r="2601" spans="1:13">
      <c r="A2601" s="1">
        <f>HYPERLINK("http://www.twitter.com/NathanBLawrence/status/984298865565282304", "984298865565282304")</f>
        <v/>
      </c>
      <c r="B2601" s="2" t="n">
        <v>43202.21887731482</v>
      </c>
      <c r="C2601" t="n">
        <v>0</v>
      </c>
      <c r="D2601" t="n">
        <v>0</v>
      </c>
      <c r="E2601" t="s">
        <v>2567</v>
      </c>
      <c r="F2601" t="s"/>
      <c r="G2601" t="s"/>
      <c r="H2601" t="s"/>
      <c r="I2601" t="s"/>
      <c r="J2601" t="n">
        <v>0</v>
      </c>
      <c r="K2601" t="n">
        <v>0</v>
      </c>
      <c r="L2601" t="n">
        <v>1</v>
      </c>
      <c r="M2601" t="n">
        <v>0</v>
      </c>
    </row>
    <row r="2602" spans="1:13">
      <c r="A2602" s="1">
        <f>HYPERLINK("http://www.twitter.com/NathanBLawrence/status/984298646740127744", "984298646740127744")</f>
        <v/>
      </c>
      <c r="B2602" s="2" t="n">
        <v>43202.21827546296</v>
      </c>
      <c r="C2602" t="n">
        <v>0</v>
      </c>
      <c r="D2602" t="n">
        <v>0</v>
      </c>
      <c r="E2602" t="s">
        <v>2568</v>
      </c>
      <c r="F2602" t="s"/>
      <c r="G2602" t="s"/>
      <c r="H2602" t="s"/>
      <c r="I2602" t="s"/>
      <c r="J2602" t="n">
        <v>0</v>
      </c>
      <c r="K2602" t="n">
        <v>0</v>
      </c>
      <c r="L2602" t="n">
        <v>1</v>
      </c>
      <c r="M2602" t="n">
        <v>0</v>
      </c>
    </row>
    <row r="2603" spans="1:13">
      <c r="A2603" s="1">
        <f>HYPERLINK("http://www.twitter.com/NathanBLawrence/status/984298026989752320", "984298026989752320")</f>
        <v/>
      </c>
      <c r="B2603" s="2" t="n">
        <v>43202.2165625</v>
      </c>
      <c r="C2603" t="n">
        <v>0</v>
      </c>
      <c r="D2603" t="n">
        <v>5</v>
      </c>
      <c r="E2603" t="s">
        <v>2569</v>
      </c>
      <c r="F2603" t="s"/>
      <c r="G2603" t="s"/>
      <c r="H2603" t="s"/>
      <c r="I2603" t="s"/>
      <c r="J2603" t="n">
        <v>-0.3612</v>
      </c>
      <c r="K2603" t="n">
        <v>0.183</v>
      </c>
      <c r="L2603" t="n">
        <v>0.711</v>
      </c>
      <c r="M2603" t="n">
        <v>0.107</v>
      </c>
    </row>
    <row r="2604" spans="1:13">
      <c r="A2604" s="1">
        <f>HYPERLINK("http://www.twitter.com/NathanBLawrence/status/984297989735964672", "984297989735964672")</f>
        <v/>
      </c>
      <c r="B2604" s="2" t="n">
        <v>43202.21645833334</v>
      </c>
      <c r="C2604" t="n">
        <v>5</v>
      </c>
      <c r="D2604" t="n">
        <v>2</v>
      </c>
      <c r="E2604" t="s">
        <v>2570</v>
      </c>
      <c r="F2604" t="s"/>
      <c r="G2604" t="s"/>
      <c r="H2604" t="s"/>
      <c r="I2604" t="s"/>
      <c r="J2604" t="n">
        <v>-0.0335</v>
      </c>
      <c r="K2604" t="n">
        <v>0.102</v>
      </c>
      <c r="L2604" t="n">
        <v>0.799</v>
      </c>
      <c r="M2604" t="n">
        <v>0.099</v>
      </c>
    </row>
    <row r="2605" spans="1:13">
      <c r="A2605" s="1">
        <f>HYPERLINK("http://www.twitter.com/NathanBLawrence/status/984297655063973888", "984297655063973888")</f>
        <v/>
      </c>
      <c r="B2605" s="2" t="n">
        <v>43202.2155324074</v>
      </c>
      <c r="C2605" t="n">
        <v>2</v>
      </c>
      <c r="D2605" t="n">
        <v>1</v>
      </c>
      <c r="E2605" t="s">
        <v>2571</v>
      </c>
      <c r="F2605" t="s"/>
      <c r="G2605" t="s"/>
      <c r="H2605" t="s"/>
      <c r="I2605" t="s"/>
      <c r="J2605" t="n">
        <v>-0.9275</v>
      </c>
      <c r="K2605" t="n">
        <v>0.245</v>
      </c>
      <c r="L2605" t="n">
        <v>0.755</v>
      </c>
      <c r="M2605" t="n">
        <v>0</v>
      </c>
    </row>
    <row r="2606" spans="1:13">
      <c r="A2606" s="1">
        <f>HYPERLINK("http://www.twitter.com/NathanBLawrence/status/984297127026274316", "984297127026274316")</f>
        <v/>
      </c>
      <c r="B2606" s="2" t="n">
        <v>43202.21408564815</v>
      </c>
      <c r="C2606" t="n">
        <v>0</v>
      </c>
      <c r="D2606" t="n">
        <v>2</v>
      </c>
      <c r="E2606" t="s">
        <v>2572</v>
      </c>
      <c r="F2606" t="s"/>
      <c r="G2606" t="s"/>
      <c r="H2606" t="s"/>
      <c r="I2606" t="s"/>
      <c r="J2606" t="n">
        <v>-0.6808</v>
      </c>
      <c r="K2606" t="n">
        <v>0.18</v>
      </c>
      <c r="L2606" t="n">
        <v>0.82</v>
      </c>
      <c r="M2606" t="n">
        <v>0</v>
      </c>
    </row>
    <row r="2607" spans="1:13">
      <c r="A2607" s="1">
        <f>HYPERLINK("http://www.twitter.com/NathanBLawrence/status/984296992288391168", "984296992288391168")</f>
        <v/>
      </c>
      <c r="B2607" s="2" t="n">
        <v>43202.2137037037</v>
      </c>
      <c r="C2607" t="n">
        <v>0</v>
      </c>
      <c r="D2607" t="n">
        <v>1</v>
      </c>
      <c r="E2607" t="s">
        <v>2573</v>
      </c>
      <c r="F2607" t="s"/>
      <c r="G2607" t="s"/>
      <c r="H2607" t="s"/>
      <c r="I2607" t="s"/>
      <c r="J2607" t="n">
        <v>-0.7783</v>
      </c>
      <c r="K2607" t="n">
        <v>0.245</v>
      </c>
      <c r="L2607" t="n">
        <v>0.755</v>
      </c>
      <c r="M2607" t="n">
        <v>0</v>
      </c>
    </row>
    <row r="2608" spans="1:13">
      <c r="A2608" s="1">
        <f>HYPERLINK("http://www.twitter.com/NathanBLawrence/status/984296982142504960", "984296982142504960")</f>
        <v/>
      </c>
      <c r="B2608" s="2" t="n">
        <v>43202.21368055556</v>
      </c>
      <c r="C2608" t="n">
        <v>1</v>
      </c>
      <c r="D2608" t="n">
        <v>1</v>
      </c>
      <c r="E2608" t="s">
        <v>2574</v>
      </c>
      <c r="F2608" t="s"/>
      <c r="G2608" t="s"/>
      <c r="H2608" t="s"/>
      <c r="I2608" t="s"/>
      <c r="J2608" t="n">
        <v>-0.4019</v>
      </c>
      <c r="K2608" t="n">
        <v>0.137</v>
      </c>
      <c r="L2608" t="n">
        <v>0.863</v>
      </c>
      <c r="M2608" t="n">
        <v>0</v>
      </c>
    </row>
    <row r="2609" spans="1:13">
      <c r="A2609" s="1">
        <f>HYPERLINK("http://www.twitter.com/NathanBLawrence/status/984296503643725824", "984296503643725824")</f>
        <v/>
      </c>
      <c r="B2609" s="2" t="n">
        <v>43202.21236111111</v>
      </c>
      <c r="C2609" t="n">
        <v>1</v>
      </c>
      <c r="D2609" t="n">
        <v>1</v>
      </c>
      <c r="E2609" t="s">
        <v>2575</v>
      </c>
      <c r="F2609" t="s"/>
      <c r="G2609" t="s"/>
      <c r="H2609" t="s"/>
      <c r="I2609" t="s"/>
      <c r="J2609" t="n">
        <v>-0.5106000000000001</v>
      </c>
      <c r="K2609" t="n">
        <v>0.18</v>
      </c>
      <c r="L2609" t="n">
        <v>0.82</v>
      </c>
      <c r="M2609" t="n">
        <v>0</v>
      </c>
    </row>
    <row r="2610" spans="1:13">
      <c r="A2610" s="1">
        <f>HYPERLINK("http://www.twitter.com/NathanBLawrence/status/984296410647547904", "984296410647547904")</f>
        <v/>
      </c>
      <c r="B2610" s="2" t="n">
        <v>43202.21210648148</v>
      </c>
      <c r="C2610" t="n">
        <v>0</v>
      </c>
      <c r="D2610" t="n">
        <v>2</v>
      </c>
      <c r="E2610" t="s">
        <v>2576</v>
      </c>
      <c r="F2610" t="s"/>
      <c r="G2610" t="s"/>
      <c r="H2610" t="s"/>
      <c r="I2610" t="s"/>
      <c r="J2610" t="n">
        <v>-0.8667</v>
      </c>
      <c r="K2610" t="n">
        <v>0.378</v>
      </c>
      <c r="L2610" t="n">
        <v>0.622</v>
      </c>
      <c r="M2610" t="n">
        <v>0</v>
      </c>
    </row>
    <row r="2611" spans="1:13">
      <c r="A2611" s="1">
        <f>HYPERLINK("http://www.twitter.com/NathanBLawrence/status/984296156548169733", "984296156548169733")</f>
        <v/>
      </c>
      <c r="B2611" s="2" t="n">
        <v>43202.21140046296</v>
      </c>
      <c r="C2611" t="n">
        <v>0</v>
      </c>
      <c r="D2611" t="n">
        <v>0</v>
      </c>
      <c r="E2611" t="s">
        <v>2577</v>
      </c>
      <c r="F2611" t="s"/>
      <c r="G2611" t="s"/>
      <c r="H2611" t="s"/>
      <c r="I2611" t="s"/>
      <c r="J2611" t="n">
        <v>0.4404</v>
      </c>
      <c r="K2611" t="n">
        <v>0</v>
      </c>
      <c r="L2611" t="n">
        <v>0.854</v>
      </c>
      <c r="M2611" t="n">
        <v>0.146</v>
      </c>
    </row>
    <row r="2612" spans="1:13">
      <c r="A2612" s="1">
        <f>HYPERLINK("http://www.twitter.com/NathanBLawrence/status/984295968303669248", "984295968303669248")</f>
        <v/>
      </c>
      <c r="B2612" s="2" t="n">
        <v>43202.21087962963</v>
      </c>
      <c r="C2612" t="n">
        <v>7</v>
      </c>
      <c r="D2612" t="n">
        <v>6</v>
      </c>
      <c r="E2612" t="s">
        <v>2578</v>
      </c>
      <c r="F2612" t="s"/>
      <c r="G2612" t="s"/>
      <c r="H2612" t="s"/>
      <c r="I2612" t="s"/>
      <c r="J2612" t="n">
        <v>-0.6054</v>
      </c>
      <c r="K2612" t="n">
        <v>0.129</v>
      </c>
      <c r="L2612" t="n">
        <v>0.827</v>
      </c>
      <c r="M2612" t="n">
        <v>0.044</v>
      </c>
    </row>
    <row r="2613" spans="1:13">
      <c r="A2613" s="1">
        <f>HYPERLINK("http://www.twitter.com/NathanBLawrence/status/984295112959283200", "984295112959283200")</f>
        <v/>
      </c>
      <c r="B2613" s="2" t="n">
        <v>43202.20851851852</v>
      </c>
      <c r="C2613" t="n">
        <v>0</v>
      </c>
      <c r="D2613" t="n">
        <v>0</v>
      </c>
      <c r="E2613" t="s">
        <v>2579</v>
      </c>
      <c r="F2613" t="s"/>
      <c r="G2613" t="s"/>
      <c r="H2613" t="s"/>
      <c r="I2613" t="s"/>
      <c r="J2613" t="n">
        <v>0.5719</v>
      </c>
      <c r="K2613" t="n">
        <v>0</v>
      </c>
      <c r="L2613" t="n">
        <v>0.749</v>
      </c>
      <c r="M2613" t="n">
        <v>0.251</v>
      </c>
    </row>
    <row r="2614" spans="1:13">
      <c r="A2614" s="1">
        <f>HYPERLINK("http://www.twitter.com/NathanBLawrence/status/984294857278722050", "984294857278722050")</f>
        <v/>
      </c>
      <c r="B2614" s="2" t="n">
        <v>43202.2078125</v>
      </c>
      <c r="C2614" t="n">
        <v>1</v>
      </c>
      <c r="D2614" t="n">
        <v>0</v>
      </c>
      <c r="E2614" t="s">
        <v>2580</v>
      </c>
      <c r="F2614" t="s"/>
      <c r="G2614" t="s"/>
      <c r="H2614" t="s"/>
      <c r="I2614" t="s"/>
      <c r="J2614" t="n">
        <v>-0.0077</v>
      </c>
      <c r="K2614" t="n">
        <v>0.063</v>
      </c>
      <c r="L2614" t="n">
        <v>0.854</v>
      </c>
      <c r="M2614" t="n">
        <v>0.083</v>
      </c>
    </row>
    <row r="2615" spans="1:13">
      <c r="A2615" s="1">
        <f>HYPERLINK("http://www.twitter.com/NathanBLawrence/status/984294544085839877", "984294544085839877")</f>
        <v/>
      </c>
      <c r="B2615" s="2" t="n">
        <v>43202.20695601852</v>
      </c>
      <c r="C2615" t="n">
        <v>3</v>
      </c>
      <c r="D2615" t="n">
        <v>1</v>
      </c>
      <c r="E2615" t="s">
        <v>2581</v>
      </c>
      <c r="F2615" t="s"/>
      <c r="G2615" t="s"/>
      <c r="H2615" t="s"/>
      <c r="I2615" t="s"/>
      <c r="J2615" t="n">
        <v>0.1779</v>
      </c>
      <c r="K2615" t="n">
        <v>0.078</v>
      </c>
      <c r="L2615" t="n">
        <v>0.832</v>
      </c>
      <c r="M2615" t="n">
        <v>0.09</v>
      </c>
    </row>
    <row r="2616" spans="1:13">
      <c r="A2616" s="1">
        <f>HYPERLINK("http://www.twitter.com/NathanBLawrence/status/984293867603230720", "984293867603230720")</f>
        <v/>
      </c>
      <c r="B2616" s="2" t="n">
        <v>43202.20508101852</v>
      </c>
      <c r="C2616" t="n">
        <v>4</v>
      </c>
      <c r="D2616" t="n">
        <v>2</v>
      </c>
      <c r="E2616" t="s">
        <v>2582</v>
      </c>
      <c r="F2616" t="s"/>
      <c r="G2616" t="s"/>
      <c r="H2616" t="s"/>
      <c r="I2616" t="s"/>
      <c r="J2616" t="n">
        <v>0.1779</v>
      </c>
      <c r="K2616" t="n">
        <v>0.066</v>
      </c>
      <c r="L2616" t="n">
        <v>0.835</v>
      </c>
      <c r="M2616" t="n">
        <v>0.099</v>
      </c>
    </row>
    <row r="2617" spans="1:13">
      <c r="A2617" s="1">
        <f>HYPERLINK("http://www.twitter.com/NathanBLawrence/status/984293430707867654", "984293430707867654")</f>
        <v/>
      </c>
      <c r="B2617" s="2" t="n">
        <v>43202.20387731482</v>
      </c>
      <c r="C2617" t="n">
        <v>4</v>
      </c>
      <c r="D2617" t="n">
        <v>3</v>
      </c>
      <c r="E2617" t="s">
        <v>2583</v>
      </c>
      <c r="F2617" t="s"/>
      <c r="G2617" t="s"/>
      <c r="H2617" t="s"/>
      <c r="I2617" t="s"/>
      <c r="J2617" t="n">
        <v>-0.5133</v>
      </c>
      <c r="K2617" t="n">
        <v>0.107</v>
      </c>
      <c r="L2617" t="n">
        <v>0.863</v>
      </c>
      <c r="M2617" t="n">
        <v>0.03</v>
      </c>
    </row>
    <row r="2618" spans="1:13">
      <c r="A2618" s="1">
        <f>HYPERLINK("http://www.twitter.com/NathanBLawrence/status/984292764690116608", "984292764690116608")</f>
        <v/>
      </c>
      <c r="B2618" s="2" t="n">
        <v>43202.20204861111</v>
      </c>
      <c r="C2618" t="n">
        <v>3</v>
      </c>
      <c r="D2618" t="n">
        <v>3</v>
      </c>
      <c r="E2618" t="s">
        <v>2584</v>
      </c>
      <c r="F2618" t="s"/>
      <c r="G2618" t="s"/>
      <c r="H2618" t="s"/>
      <c r="I2618" t="s"/>
      <c r="J2618" t="n">
        <v>-0.264</v>
      </c>
      <c r="K2618" t="n">
        <v>0.08400000000000001</v>
      </c>
      <c r="L2618" t="n">
        <v>0.873</v>
      </c>
      <c r="M2618" t="n">
        <v>0.043</v>
      </c>
    </row>
    <row r="2619" spans="1:13">
      <c r="A2619" s="1">
        <f>HYPERLINK("http://www.twitter.com/NathanBLawrence/status/984291477609156611", "984291477609156611")</f>
        <v/>
      </c>
      <c r="B2619" s="2" t="n">
        <v>43202.19849537037</v>
      </c>
      <c r="C2619" t="n">
        <v>1</v>
      </c>
      <c r="D2619" t="n">
        <v>1</v>
      </c>
      <c r="E2619" t="s">
        <v>2585</v>
      </c>
      <c r="F2619" t="s"/>
      <c r="G2619" t="s"/>
      <c r="H2619" t="s"/>
      <c r="I2619" t="s"/>
      <c r="J2619" t="n">
        <v>0</v>
      </c>
      <c r="K2619" t="n">
        <v>0.169</v>
      </c>
      <c r="L2619" t="n">
        <v>0.644</v>
      </c>
      <c r="M2619" t="n">
        <v>0.187</v>
      </c>
    </row>
    <row r="2620" spans="1:13">
      <c r="A2620" s="1">
        <f>HYPERLINK("http://www.twitter.com/NathanBLawrence/status/984289305563729920", "984289305563729920")</f>
        <v/>
      </c>
      <c r="B2620" s="2" t="n">
        <v>43202.1925</v>
      </c>
      <c r="C2620" t="n">
        <v>0</v>
      </c>
      <c r="D2620" t="n">
        <v>0</v>
      </c>
      <c r="E2620" t="s">
        <v>2586</v>
      </c>
      <c r="F2620" t="s"/>
      <c r="G2620" t="s"/>
      <c r="H2620" t="s"/>
      <c r="I2620" t="s"/>
      <c r="J2620" t="n">
        <v>-0.3612</v>
      </c>
      <c r="K2620" t="n">
        <v>0.2</v>
      </c>
      <c r="L2620" t="n">
        <v>0.8</v>
      </c>
      <c r="M2620" t="n">
        <v>0</v>
      </c>
    </row>
    <row r="2621" spans="1:13">
      <c r="A2621" s="1">
        <f>HYPERLINK("http://www.twitter.com/NathanBLawrence/status/984289150668103680", "984289150668103680")</f>
        <v/>
      </c>
      <c r="B2621" s="2" t="n">
        <v>43202.19207175926</v>
      </c>
      <c r="C2621" t="n">
        <v>1</v>
      </c>
      <c r="D2621" t="n">
        <v>0</v>
      </c>
      <c r="E2621" t="s">
        <v>2587</v>
      </c>
      <c r="F2621" t="s"/>
      <c r="G2621" t="s"/>
      <c r="H2621" t="s"/>
      <c r="I2621" t="s"/>
      <c r="J2621" t="n">
        <v>-0.25</v>
      </c>
      <c r="K2621" t="n">
        <v>0.1</v>
      </c>
      <c r="L2621" t="n">
        <v>0.9</v>
      </c>
      <c r="M2621" t="n">
        <v>0</v>
      </c>
    </row>
    <row r="2622" spans="1:13">
      <c r="A2622" s="1">
        <f>HYPERLINK("http://www.twitter.com/NathanBLawrence/status/984288701609062400", "984288701609062400")</f>
        <v/>
      </c>
      <c r="B2622" s="2" t="n">
        <v>43202.19083333333</v>
      </c>
      <c r="C2622" t="n">
        <v>0</v>
      </c>
      <c r="D2622" t="n">
        <v>0</v>
      </c>
      <c r="E2622" t="s">
        <v>2588</v>
      </c>
      <c r="F2622" t="s"/>
      <c r="G2622" t="s"/>
      <c r="H2622" t="s"/>
      <c r="I2622" t="s"/>
      <c r="J2622" t="n">
        <v>0.5106000000000001</v>
      </c>
      <c r="K2622" t="n">
        <v>0</v>
      </c>
      <c r="L2622" t="n">
        <v>0.68</v>
      </c>
      <c r="M2622" t="n">
        <v>0.32</v>
      </c>
    </row>
    <row r="2623" spans="1:13">
      <c r="A2623" s="1">
        <f>HYPERLINK("http://www.twitter.com/NathanBLawrence/status/984288515381964800", "984288515381964800")</f>
        <v/>
      </c>
      <c r="B2623" s="2" t="n">
        <v>43202.1903125</v>
      </c>
      <c r="C2623" t="n">
        <v>0</v>
      </c>
      <c r="D2623" t="n">
        <v>0</v>
      </c>
      <c r="E2623" t="s">
        <v>2589</v>
      </c>
      <c r="F2623" t="s"/>
      <c r="G2623" t="s"/>
      <c r="H2623" t="s"/>
      <c r="I2623" t="s"/>
      <c r="J2623" t="n">
        <v>-0.296</v>
      </c>
      <c r="K2623" t="n">
        <v>0.239</v>
      </c>
      <c r="L2623" t="n">
        <v>0.761</v>
      </c>
      <c r="M2623" t="n">
        <v>0</v>
      </c>
    </row>
    <row r="2624" spans="1:13">
      <c r="A2624" s="1">
        <f>HYPERLINK("http://www.twitter.com/NathanBLawrence/status/984288169591001093", "984288169591001093")</f>
        <v/>
      </c>
      <c r="B2624" s="2" t="n">
        <v>43202.18936342592</v>
      </c>
      <c r="C2624" t="n">
        <v>2</v>
      </c>
      <c r="D2624" t="n">
        <v>0</v>
      </c>
      <c r="E2624" t="s">
        <v>2590</v>
      </c>
      <c r="F2624" t="s"/>
      <c r="G2624" t="s"/>
      <c r="H2624" t="s"/>
      <c r="I2624" t="s"/>
      <c r="J2624" t="n">
        <v>-0.0413</v>
      </c>
      <c r="K2624" t="n">
        <v>0.108</v>
      </c>
      <c r="L2624" t="n">
        <v>0.753</v>
      </c>
      <c r="M2624" t="n">
        <v>0.139</v>
      </c>
    </row>
    <row r="2625" spans="1:13">
      <c r="A2625" s="1">
        <f>HYPERLINK("http://www.twitter.com/NathanBLawrence/status/984287330570817536", "984287330570817536")</f>
        <v/>
      </c>
      <c r="B2625" s="2" t="n">
        <v>43202.18704861111</v>
      </c>
      <c r="C2625" t="n">
        <v>1</v>
      </c>
      <c r="D2625" t="n">
        <v>0</v>
      </c>
      <c r="E2625" t="s">
        <v>2591</v>
      </c>
      <c r="F2625" t="s"/>
      <c r="G2625" t="s"/>
      <c r="H2625" t="s"/>
      <c r="I2625" t="s"/>
      <c r="J2625" t="n">
        <v>-0.5908</v>
      </c>
      <c r="K2625" t="n">
        <v>0.409</v>
      </c>
      <c r="L2625" t="n">
        <v>0.591</v>
      </c>
      <c r="M2625" t="n">
        <v>0</v>
      </c>
    </row>
    <row r="2626" spans="1:13">
      <c r="A2626" s="1">
        <f>HYPERLINK("http://www.twitter.com/NathanBLawrence/status/984286471300501504", "984286471300501504")</f>
        <v/>
      </c>
      <c r="B2626" s="2" t="n">
        <v>43202.18467592593</v>
      </c>
      <c r="C2626" t="n">
        <v>0</v>
      </c>
      <c r="D2626" t="n">
        <v>0</v>
      </c>
      <c r="E2626" t="s">
        <v>2592</v>
      </c>
      <c r="F2626" t="s"/>
      <c r="G2626" t="s"/>
      <c r="H2626" t="s"/>
      <c r="I2626" t="s"/>
      <c r="J2626" t="n">
        <v>0.1887</v>
      </c>
      <c r="K2626" t="n">
        <v>0.097</v>
      </c>
      <c r="L2626" t="n">
        <v>0.772</v>
      </c>
      <c r="M2626" t="n">
        <v>0.131</v>
      </c>
    </row>
    <row r="2627" spans="1:13">
      <c r="A2627" s="1">
        <f>HYPERLINK("http://www.twitter.com/NathanBLawrence/status/984286010162008065", "984286010162008065")</f>
        <v/>
      </c>
      <c r="B2627" s="2" t="n">
        <v>43202.18340277778</v>
      </c>
      <c r="C2627" t="n">
        <v>0</v>
      </c>
      <c r="D2627" t="n">
        <v>0</v>
      </c>
      <c r="E2627" t="s">
        <v>2593</v>
      </c>
      <c r="F2627" t="s"/>
      <c r="G2627" t="s"/>
      <c r="H2627" t="s"/>
      <c r="I2627" t="s"/>
      <c r="J2627" t="n">
        <v>-0.6486</v>
      </c>
      <c r="K2627" t="n">
        <v>0.165</v>
      </c>
      <c r="L2627" t="n">
        <v>0.736</v>
      </c>
      <c r="M2627" t="n">
        <v>0.099</v>
      </c>
    </row>
    <row r="2628" spans="1:13">
      <c r="A2628" s="1">
        <f>HYPERLINK("http://www.twitter.com/NathanBLawrence/status/984285687380955136", "984285687380955136")</f>
        <v/>
      </c>
      <c r="B2628" s="2" t="n">
        <v>43202.18251157407</v>
      </c>
      <c r="C2628" t="n">
        <v>0</v>
      </c>
      <c r="D2628" t="n">
        <v>0</v>
      </c>
      <c r="E2628" t="s">
        <v>2594</v>
      </c>
      <c r="F2628" t="s"/>
      <c r="G2628" t="s"/>
      <c r="H2628" t="s"/>
      <c r="I2628" t="s"/>
      <c r="J2628" t="n">
        <v>-0.4606</v>
      </c>
      <c r="K2628" t="n">
        <v>0.068</v>
      </c>
      <c r="L2628" t="n">
        <v>0.901</v>
      </c>
      <c r="M2628" t="n">
        <v>0.032</v>
      </c>
    </row>
    <row r="2629" spans="1:13">
      <c r="A2629" s="1">
        <f>HYPERLINK("http://www.twitter.com/NathanBLawrence/status/984284910084149249", "984284910084149249")</f>
        <v/>
      </c>
      <c r="B2629" s="2" t="n">
        <v>43202.18037037037</v>
      </c>
      <c r="C2629" t="n">
        <v>0</v>
      </c>
      <c r="D2629" t="n">
        <v>3</v>
      </c>
      <c r="E2629" t="s">
        <v>2595</v>
      </c>
      <c r="F2629" t="s"/>
      <c r="G2629" t="s"/>
      <c r="H2629" t="s"/>
      <c r="I2629" t="s"/>
      <c r="J2629" t="n">
        <v>0</v>
      </c>
      <c r="K2629" t="n">
        <v>0</v>
      </c>
      <c r="L2629" t="n">
        <v>1</v>
      </c>
      <c r="M2629" t="n">
        <v>0</v>
      </c>
    </row>
    <row r="2630" spans="1:13">
      <c r="A2630" s="1">
        <f>HYPERLINK("http://www.twitter.com/NathanBLawrence/status/984284701023141890", "984284701023141890")</f>
        <v/>
      </c>
      <c r="B2630" s="2" t="n">
        <v>43202.17979166667</v>
      </c>
      <c r="C2630" t="n">
        <v>0</v>
      </c>
      <c r="D2630" t="n">
        <v>70</v>
      </c>
      <c r="E2630" t="s">
        <v>2596</v>
      </c>
      <c r="F2630">
        <f>HYPERLINK("https://video.twimg.com/amplify_video/984273304621142017/vid/1280x720/Tz5e3HB4JGW5SRIu.mp4?tag=6", "https://video.twimg.com/amplify_video/984273304621142017/vid/1280x720/Tz5e3HB4JGW5SRIu.mp4?tag=6")</f>
        <v/>
      </c>
      <c r="G2630" t="s"/>
      <c r="H2630" t="s"/>
      <c r="I2630" t="s"/>
      <c r="J2630" t="n">
        <v>-0.296</v>
      </c>
      <c r="K2630" t="n">
        <v>0.213</v>
      </c>
      <c r="L2630" t="n">
        <v>0.659</v>
      </c>
      <c r="M2630" t="n">
        <v>0.128</v>
      </c>
    </row>
    <row r="2631" spans="1:13">
      <c r="A2631" s="1">
        <f>HYPERLINK("http://www.twitter.com/NathanBLawrence/status/984284473385680896", "984284473385680896")</f>
        <v/>
      </c>
      <c r="B2631" s="2" t="n">
        <v>43202.17916666667</v>
      </c>
      <c r="C2631" t="n">
        <v>1</v>
      </c>
      <c r="D2631" t="n">
        <v>0</v>
      </c>
      <c r="E2631" t="s">
        <v>2597</v>
      </c>
      <c r="F2631" t="s"/>
      <c r="G2631" t="s"/>
      <c r="H2631" t="s"/>
      <c r="I2631" t="s"/>
      <c r="J2631" t="n">
        <v>0.516</v>
      </c>
      <c r="K2631" t="n">
        <v>0</v>
      </c>
      <c r="L2631" t="n">
        <v>0.75</v>
      </c>
      <c r="M2631" t="n">
        <v>0.25</v>
      </c>
    </row>
    <row r="2632" spans="1:13">
      <c r="A2632" s="1">
        <f>HYPERLINK("http://www.twitter.com/NathanBLawrence/status/984284335489634304", "984284335489634304")</f>
        <v/>
      </c>
      <c r="B2632" s="2" t="n">
        <v>43202.17878472222</v>
      </c>
      <c r="C2632" t="n">
        <v>3</v>
      </c>
      <c r="D2632" t="n">
        <v>0</v>
      </c>
      <c r="E2632" t="s">
        <v>2598</v>
      </c>
      <c r="F2632" t="s"/>
      <c r="G2632" t="s"/>
      <c r="H2632" t="s"/>
      <c r="I2632" t="s"/>
      <c r="J2632" t="n">
        <v>0.5023</v>
      </c>
      <c r="K2632" t="n">
        <v>0.08</v>
      </c>
      <c r="L2632" t="n">
        <v>0.799</v>
      </c>
      <c r="M2632" t="n">
        <v>0.121</v>
      </c>
    </row>
    <row r="2633" spans="1:13">
      <c r="A2633" s="1">
        <f>HYPERLINK("http://www.twitter.com/NathanBLawrence/status/984283779803045888", "984283779803045888")</f>
        <v/>
      </c>
      <c r="B2633" s="2" t="n">
        <v>43202.17724537037</v>
      </c>
      <c r="C2633" t="n">
        <v>4</v>
      </c>
      <c r="D2633" t="n">
        <v>3</v>
      </c>
      <c r="E2633" t="s">
        <v>2599</v>
      </c>
      <c r="F2633" t="s"/>
      <c r="G2633" t="s"/>
      <c r="H2633" t="s"/>
      <c r="I2633" t="s"/>
      <c r="J2633" t="n">
        <v>0.0772</v>
      </c>
      <c r="K2633" t="n">
        <v>0.154</v>
      </c>
      <c r="L2633" t="n">
        <v>0.6879999999999999</v>
      </c>
      <c r="M2633" t="n">
        <v>0.159</v>
      </c>
    </row>
    <row r="2634" spans="1:13">
      <c r="A2634" s="1">
        <f>HYPERLINK("http://www.twitter.com/NathanBLawrence/status/984283240352702464", "984283240352702464")</f>
        <v/>
      </c>
      <c r="B2634" s="2" t="n">
        <v>43202.17576388889</v>
      </c>
      <c r="C2634" t="n">
        <v>2</v>
      </c>
      <c r="D2634" t="n">
        <v>0</v>
      </c>
      <c r="E2634" t="s">
        <v>2600</v>
      </c>
      <c r="F2634" t="s"/>
      <c r="G2634" t="s"/>
      <c r="H2634" t="s"/>
      <c r="I2634" t="s"/>
      <c r="J2634" t="n">
        <v>-0.5622</v>
      </c>
      <c r="K2634" t="n">
        <v>0.241</v>
      </c>
      <c r="L2634" t="n">
        <v>0.658</v>
      </c>
      <c r="M2634" t="n">
        <v>0.101</v>
      </c>
    </row>
    <row r="2635" spans="1:13">
      <c r="A2635" s="1">
        <f>HYPERLINK("http://www.twitter.com/NathanBLawrence/status/984282833802989568", "984282833802989568")</f>
        <v/>
      </c>
      <c r="B2635" s="2" t="n">
        <v>43202.1746412037</v>
      </c>
      <c r="C2635" t="n">
        <v>2</v>
      </c>
      <c r="D2635" t="n">
        <v>0</v>
      </c>
      <c r="E2635" t="s">
        <v>2601</v>
      </c>
      <c r="F2635" t="s"/>
      <c r="G2635" t="s"/>
      <c r="H2635" t="s"/>
      <c r="I2635" t="s"/>
      <c r="J2635" t="n">
        <v>-0.1901</v>
      </c>
      <c r="K2635" t="n">
        <v>0.375</v>
      </c>
      <c r="L2635" t="n">
        <v>0.386</v>
      </c>
      <c r="M2635" t="n">
        <v>0.239</v>
      </c>
    </row>
    <row r="2636" spans="1:13">
      <c r="A2636" s="1">
        <f>HYPERLINK("http://www.twitter.com/NathanBLawrence/status/984282619633430530", "984282619633430530")</f>
        <v/>
      </c>
      <c r="B2636" s="2" t="n">
        <v>43202.17405092593</v>
      </c>
      <c r="C2636" t="n">
        <v>1</v>
      </c>
      <c r="D2636" t="n">
        <v>0</v>
      </c>
      <c r="E2636" t="s">
        <v>2602</v>
      </c>
      <c r="F2636" t="s"/>
      <c r="G2636" t="s"/>
      <c r="H2636" t="s"/>
      <c r="I2636" t="s"/>
      <c r="J2636" t="n">
        <v>0.4939</v>
      </c>
      <c r="K2636" t="n">
        <v>0</v>
      </c>
      <c r="L2636" t="n">
        <v>0.84</v>
      </c>
      <c r="M2636" t="n">
        <v>0.16</v>
      </c>
    </row>
    <row r="2637" spans="1:13">
      <c r="A2637" s="1">
        <f>HYPERLINK("http://www.twitter.com/NathanBLawrence/status/984280503221092352", "984280503221092352")</f>
        <v/>
      </c>
      <c r="B2637" s="2" t="n">
        <v>43202.16820601852</v>
      </c>
      <c r="C2637" t="n">
        <v>0</v>
      </c>
      <c r="D2637" t="n">
        <v>0</v>
      </c>
      <c r="E2637" t="s">
        <v>2603</v>
      </c>
      <c r="F2637" t="s"/>
      <c r="G2637" t="s"/>
      <c r="H2637" t="s"/>
      <c r="I2637" t="s"/>
      <c r="J2637" t="n">
        <v>-0.4149</v>
      </c>
      <c r="K2637" t="n">
        <v>0.077</v>
      </c>
      <c r="L2637" t="n">
        <v>0.923</v>
      </c>
      <c r="M2637" t="n">
        <v>0</v>
      </c>
    </row>
    <row r="2638" spans="1:13">
      <c r="A2638" s="1">
        <f>HYPERLINK("http://www.twitter.com/NathanBLawrence/status/984280175511851008", "984280175511851008")</f>
        <v/>
      </c>
      <c r="B2638" s="2" t="n">
        <v>43202.16730324074</v>
      </c>
      <c r="C2638" t="n">
        <v>0</v>
      </c>
      <c r="D2638" t="n">
        <v>0</v>
      </c>
      <c r="E2638" t="s">
        <v>2604</v>
      </c>
      <c r="F2638" t="s"/>
      <c r="G2638" t="s"/>
      <c r="H2638" t="s"/>
      <c r="I2638" t="s"/>
      <c r="J2638" t="n">
        <v>-0.1027</v>
      </c>
      <c r="K2638" t="n">
        <v>0.128</v>
      </c>
      <c r="L2638" t="n">
        <v>0.759</v>
      </c>
      <c r="M2638" t="n">
        <v>0.114</v>
      </c>
    </row>
    <row r="2639" spans="1:13">
      <c r="A2639" s="1">
        <f>HYPERLINK("http://www.twitter.com/NathanBLawrence/status/984278831853965314", "984278831853965314")</f>
        <v/>
      </c>
      <c r="B2639" s="2" t="n">
        <v>43202.16359953704</v>
      </c>
      <c r="C2639" t="n">
        <v>0</v>
      </c>
      <c r="D2639" t="n">
        <v>4282</v>
      </c>
      <c r="E2639" t="s">
        <v>2605</v>
      </c>
      <c r="F2639" t="s"/>
      <c r="G2639" t="s"/>
      <c r="H2639" t="s"/>
      <c r="I2639" t="s"/>
      <c r="J2639" t="n">
        <v>0</v>
      </c>
      <c r="K2639" t="n">
        <v>0</v>
      </c>
      <c r="L2639" t="n">
        <v>1</v>
      </c>
      <c r="M2639" t="n">
        <v>0</v>
      </c>
    </row>
    <row r="2640" spans="1:13">
      <c r="A2640" s="1">
        <f>HYPERLINK("http://www.twitter.com/NathanBLawrence/status/984278568082591744", "984278568082591744")</f>
        <v/>
      </c>
      <c r="B2640" s="2" t="n">
        <v>43202.16287037037</v>
      </c>
      <c r="C2640" t="n">
        <v>0</v>
      </c>
      <c r="D2640" t="n">
        <v>5</v>
      </c>
      <c r="E2640" t="s">
        <v>2606</v>
      </c>
      <c r="F2640" t="s"/>
      <c r="G2640" t="s"/>
      <c r="H2640" t="s"/>
      <c r="I2640" t="s"/>
      <c r="J2640" t="n">
        <v>0</v>
      </c>
      <c r="K2640" t="n">
        <v>0</v>
      </c>
      <c r="L2640" t="n">
        <v>1</v>
      </c>
      <c r="M2640" t="n">
        <v>0</v>
      </c>
    </row>
    <row r="2641" spans="1:13">
      <c r="A2641" s="1">
        <f>HYPERLINK("http://www.twitter.com/NathanBLawrence/status/984278513355194368", "984278513355194368")</f>
        <v/>
      </c>
      <c r="B2641" s="2" t="n">
        <v>43202.16271990741</v>
      </c>
      <c r="C2641" t="n">
        <v>0</v>
      </c>
      <c r="D2641" t="n">
        <v>5</v>
      </c>
      <c r="E2641" t="s">
        <v>2607</v>
      </c>
      <c r="F2641" t="s"/>
      <c r="G2641" t="s"/>
      <c r="H2641" t="s"/>
      <c r="I2641" t="s"/>
      <c r="J2641" t="n">
        <v>0</v>
      </c>
      <c r="K2641" t="n">
        <v>0</v>
      </c>
      <c r="L2641" t="n">
        <v>1</v>
      </c>
      <c r="M2641" t="n">
        <v>0</v>
      </c>
    </row>
    <row r="2642" spans="1:13">
      <c r="A2642" s="1">
        <f>HYPERLINK("http://www.twitter.com/NathanBLawrence/status/984278288905441284", "984278288905441284")</f>
        <v/>
      </c>
      <c r="B2642" s="2" t="n">
        <v>43202.16209490741</v>
      </c>
      <c r="C2642" t="n">
        <v>0</v>
      </c>
      <c r="D2642" t="n">
        <v>7</v>
      </c>
      <c r="E2642" t="s">
        <v>2608</v>
      </c>
      <c r="F2642" t="s"/>
      <c r="G2642" t="s"/>
      <c r="H2642" t="s"/>
      <c r="I2642" t="s"/>
      <c r="J2642" t="n">
        <v>-0.3089</v>
      </c>
      <c r="K2642" t="n">
        <v>0.093</v>
      </c>
      <c r="L2642" t="n">
        <v>0.907</v>
      </c>
      <c r="M2642" t="n">
        <v>0</v>
      </c>
    </row>
    <row r="2643" spans="1:13">
      <c r="A2643" s="1">
        <f>HYPERLINK("http://www.twitter.com/NathanBLawrence/status/984278272149159936", "984278272149159936")</f>
        <v/>
      </c>
      <c r="B2643" s="2" t="n">
        <v>43202.16204861111</v>
      </c>
      <c r="C2643" t="n">
        <v>0</v>
      </c>
      <c r="D2643" t="n">
        <v>6</v>
      </c>
      <c r="E2643" t="s">
        <v>2609</v>
      </c>
      <c r="F2643">
        <f>HYPERLINK("http://pbs.twimg.com/media/DajaNaAVwAAf7IQ.jpg", "http://pbs.twimg.com/media/DajaNaAVwAAf7IQ.jpg")</f>
        <v/>
      </c>
      <c r="G2643" t="s"/>
      <c r="H2643" t="s"/>
      <c r="I2643" t="s"/>
      <c r="J2643" t="n">
        <v>0</v>
      </c>
      <c r="K2643" t="n">
        <v>0</v>
      </c>
      <c r="L2643" t="n">
        <v>1</v>
      </c>
      <c r="M2643" t="n">
        <v>0</v>
      </c>
    </row>
    <row r="2644" spans="1:13">
      <c r="A2644" s="1">
        <f>HYPERLINK("http://www.twitter.com/NathanBLawrence/status/984278108000997376", "984278108000997376")</f>
        <v/>
      </c>
      <c r="B2644" s="2" t="n">
        <v>43202.16159722222</v>
      </c>
      <c r="C2644" t="n">
        <v>3</v>
      </c>
      <c r="D2644" t="n">
        <v>2</v>
      </c>
      <c r="E2644" t="s">
        <v>2610</v>
      </c>
      <c r="F2644">
        <f>HYPERLINK("http://pbs.twimg.com/media/Dajbt8WVMAA4oIt.jpg", "http://pbs.twimg.com/media/Dajbt8WVMAA4oIt.jpg")</f>
        <v/>
      </c>
      <c r="G2644" t="s"/>
      <c r="H2644" t="s"/>
      <c r="I2644" t="s"/>
      <c r="J2644" t="n">
        <v>0</v>
      </c>
      <c r="K2644" t="n">
        <v>0</v>
      </c>
      <c r="L2644" t="n">
        <v>1</v>
      </c>
      <c r="M2644" t="n">
        <v>0</v>
      </c>
    </row>
    <row r="2645" spans="1:13">
      <c r="A2645" s="1">
        <f>HYPERLINK("http://www.twitter.com/NathanBLawrence/status/984277872801140736", "984277872801140736")</f>
        <v/>
      </c>
      <c r="B2645" s="2" t="n">
        <v>43202.16094907407</v>
      </c>
      <c r="C2645" t="n">
        <v>0</v>
      </c>
      <c r="D2645" t="n">
        <v>4</v>
      </c>
      <c r="E2645" t="s">
        <v>2611</v>
      </c>
      <c r="F2645" t="s"/>
      <c r="G2645" t="s"/>
      <c r="H2645" t="s"/>
      <c r="I2645" t="s"/>
      <c r="J2645" t="n">
        <v>0</v>
      </c>
      <c r="K2645" t="n">
        <v>0</v>
      </c>
      <c r="L2645" t="n">
        <v>1</v>
      </c>
      <c r="M2645" t="n">
        <v>0</v>
      </c>
    </row>
    <row r="2646" spans="1:13">
      <c r="A2646" s="1">
        <f>HYPERLINK("http://www.twitter.com/NathanBLawrence/status/984277845747929090", "984277845747929090")</f>
        <v/>
      </c>
      <c r="B2646" s="2" t="n">
        <v>43202.16087962963</v>
      </c>
      <c r="C2646" t="n">
        <v>0</v>
      </c>
      <c r="D2646" t="n">
        <v>2</v>
      </c>
      <c r="E2646" t="s">
        <v>2612</v>
      </c>
      <c r="F2646" t="s"/>
      <c r="G2646" t="s"/>
      <c r="H2646" t="s"/>
      <c r="I2646" t="s"/>
      <c r="J2646" t="n">
        <v>0.3612</v>
      </c>
      <c r="K2646" t="n">
        <v>0</v>
      </c>
      <c r="L2646" t="n">
        <v>0.889</v>
      </c>
      <c r="M2646" t="n">
        <v>0.111</v>
      </c>
    </row>
    <row r="2647" spans="1:13">
      <c r="A2647" s="1">
        <f>HYPERLINK("http://www.twitter.com/NathanBLawrence/status/984276549041098759", "984276549041098759")</f>
        <v/>
      </c>
      <c r="B2647" s="2" t="n">
        <v>43202.15729166667</v>
      </c>
      <c r="C2647" t="n">
        <v>0</v>
      </c>
      <c r="D2647" t="n">
        <v>0</v>
      </c>
      <c r="E2647" t="s">
        <v>2613</v>
      </c>
      <c r="F2647" t="s"/>
      <c r="G2647" t="s"/>
      <c r="H2647" t="s"/>
      <c r="I2647" t="s"/>
      <c r="J2647" t="n">
        <v>0</v>
      </c>
      <c r="K2647" t="n">
        <v>0</v>
      </c>
      <c r="L2647" t="n">
        <v>1</v>
      </c>
      <c r="M2647" t="n">
        <v>0</v>
      </c>
    </row>
    <row r="2648" spans="1:13">
      <c r="A2648" s="1">
        <f>HYPERLINK("http://www.twitter.com/NathanBLawrence/status/984276506129166336", "984276506129166336")</f>
        <v/>
      </c>
      <c r="B2648" s="2" t="n">
        <v>43202.15717592592</v>
      </c>
      <c r="C2648" t="n">
        <v>0</v>
      </c>
      <c r="D2648" t="n">
        <v>0</v>
      </c>
      <c r="E2648" t="s">
        <v>2614</v>
      </c>
      <c r="F2648" t="s"/>
      <c r="G2648" t="s"/>
      <c r="H2648" t="s"/>
      <c r="I2648" t="s"/>
      <c r="J2648" t="n">
        <v>0</v>
      </c>
      <c r="K2648" t="n">
        <v>0</v>
      </c>
      <c r="L2648" t="n">
        <v>1</v>
      </c>
      <c r="M2648" t="n">
        <v>0</v>
      </c>
    </row>
    <row r="2649" spans="1:13">
      <c r="A2649" s="1">
        <f>HYPERLINK("http://www.twitter.com/NathanBLawrence/status/984276464966172672", "984276464966172672")</f>
        <v/>
      </c>
      <c r="B2649" s="2" t="n">
        <v>43202.15706018519</v>
      </c>
      <c r="C2649" t="n">
        <v>7</v>
      </c>
      <c r="D2649" t="n">
        <v>7</v>
      </c>
      <c r="E2649" t="s">
        <v>2615</v>
      </c>
      <c r="F2649" t="s"/>
      <c r="G2649" t="s"/>
      <c r="H2649" t="s"/>
      <c r="I2649" t="s"/>
      <c r="J2649" t="n">
        <v>-0.5037</v>
      </c>
      <c r="K2649" t="n">
        <v>0.092</v>
      </c>
      <c r="L2649" t="n">
        <v>0.908</v>
      </c>
      <c r="M2649" t="n">
        <v>0</v>
      </c>
    </row>
    <row r="2650" spans="1:13">
      <c r="A2650" s="1">
        <f>HYPERLINK("http://www.twitter.com/NathanBLawrence/status/984275726210826240", "984275726210826240")</f>
        <v/>
      </c>
      <c r="B2650" s="2" t="n">
        <v>43202.15502314815</v>
      </c>
      <c r="C2650" t="n">
        <v>0</v>
      </c>
      <c r="D2650" t="n">
        <v>5</v>
      </c>
      <c r="E2650" t="s">
        <v>2616</v>
      </c>
      <c r="F2650" t="s"/>
      <c r="G2650" t="s"/>
      <c r="H2650" t="s"/>
      <c r="I2650" t="s"/>
      <c r="J2650" t="n">
        <v>0.3612</v>
      </c>
      <c r="K2650" t="n">
        <v>0</v>
      </c>
      <c r="L2650" t="n">
        <v>0.898</v>
      </c>
      <c r="M2650" t="n">
        <v>0.102</v>
      </c>
    </row>
    <row r="2651" spans="1:13">
      <c r="A2651" s="1">
        <f>HYPERLINK("http://www.twitter.com/NathanBLawrence/status/984275599404490753", "984275599404490753")</f>
        <v/>
      </c>
      <c r="B2651" s="2" t="n">
        <v>43202.15467592593</v>
      </c>
      <c r="C2651" t="n">
        <v>6</v>
      </c>
      <c r="D2651" t="n">
        <v>5</v>
      </c>
      <c r="E2651" t="s">
        <v>2617</v>
      </c>
      <c r="F2651" t="s"/>
      <c r="G2651" t="s"/>
      <c r="H2651" t="s"/>
      <c r="I2651" t="s"/>
      <c r="J2651" t="n">
        <v>-0.8329</v>
      </c>
      <c r="K2651" t="n">
        <v>0.161</v>
      </c>
      <c r="L2651" t="n">
        <v>0.839</v>
      </c>
      <c r="M2651" t="n">
        <v>0</v>
      </c>
    </row>
    <row r="2652" spans="1:13">
      <c r="A2652" s="1">
        <f>HYPERLINK("http://www.twitter.com/NathanBLawrence/status/984273650621800448", "984273650621800448")</f>
        <v/>
      </c>
      <c r="B2652" s="2" t="n">
        <v>43202.14929398148</v>
      </c>
      <c r="C2652" t="n">
        <v>3</v>
      </c>
      <c r="D2652" t="n">
        <v>2</v>
      </c>
      <c r="E2652" t="s">
        <v>2618</v>
      </c>
      <c r="F2652" t="s"/>
      <c r="G2652" t="s"/>
      <c r="H2652" t="s"/>
      <c r="I2652" t="s"/>
      <c r="J2652" t="n">
        <v>-0.4404</v>
      </c>
      <c r="K2652" t="n">
        <v>0.083</v>
      </c>
      <c r="L2652" t="n">
        <v>0.917</v>
      </c>
      <c r="M2652" t="n">
        <v>0</v>
      </c>
    </row>
    <row r="2653" spans="1:13">
      <c r="A2653" s="1">
        <f>HYPERLINK("http://www.twitter.com/NathanBLawrence/status/984273345729490945", "984273345729490945")</f>
        <v/>
      </c>
      <c r="B2653" s="2" t="n">
        <v>43202.14846064815</v>
      </c>
      <c r="C2653" t="n">
        <v>0</v>
      </c>
      <c r="D2653" t="n">
        <v>3</v>
      </c>
      <c r="E2653" t="s">
        <v>2619</v>
      </c>
      <c r="F2653" t="s"/>
      <c r="G2653" t="s"/>
      <c r="H2653" t="s"/>
      <c r="I2653" t="s"/>
      <c r="J2653" t="n">
        <v>-0.5574</v>
      </c>
      <c r="K2653" t="n">
        <v>0.175</v>
      </c>
      <c r="L2653" t="n">
        <v>0.825</v>
      </c>
      <c r="M2653" t="n">
        <v>0</v>
      </c>
    </row>
    <row r="2654" spans="1:13">
      <c r="A2654" s="1">
        <f>HYPERLINK("http://www.twitter.com/NathanBLawrence/status/984272653493161984", "984272653493161984")</f>
        <v/>
      </c>
      <c r="B2654" s="2" t="n">
        <v>43202.14655092593</v>
      </c>
      <c r="C2654" t="n">
        <v>0</v>
      </c>
      <c r="D2654" t="n">
        <v>2</v>
      </c>
      <c r="E2654" t="s">
        <v>2620</v>
      </c>
      <c r="F2654" t="s"/>
      <c r="G2654" t="s"/>
      <c r="H2654" t="s"/>
      <c r="I2654" t="s"/>
      <c r="J2654" t="n">
        <v>0</v>
      </c>
      <c r="K2654" t="n">
        <v>0</v>
      </c>
      <c r="L2654" t="n">
        <v>1</v>
      </c>
      <c r="M2654" t="n">
        <v>0</v>
      </c>
    </row>
    <row r="2655" spans="1:13">
      <c r="A2655" s="1">
        <f>HYPERLINK("http://www.twitter.com/NathanBLawrence/status/984272590146605056", "984272590146605056")</f>
        <v/>
      </c>
      <c r="B2655" s="2" t="n">
        <v>43202.14637731481</v>
      </c>
      <c r="C2655" t="n">
        <v>0</v>
      </c>
      <c r="D2655" t="n">
        <v>3</v>
      </c>
      <c r="E2655" t="s">
        <v>2621</v>
      </c>
      <c r="F2655" t="s"/>
      <c r="G2655" t="s"/>
      <c r="H2655" t="s"/>
      <c r="I2655" t="s"/>
      <c r="J2655" t="n">
        <v>0</v>
      </c>
      <c r="K2655" t="n">
        <v>0</v>
      </c>
      <c r="L2655" t="n">
        <v>1</v>
      </c>
      <c r="M2655" t="n">
        <v>0</v>
      </c>
    </row>
    <row r="2656" spans="1:13">
      <c r="A2656" s="1">
        <f>HYPERLINK("http://www.twitter.com/NathanBLawrence/status/984272578675138562", "984272578675138562")</f>
        <v/>
      </c>
      <c r="B2656" s="2" t="n">
        <v>43202.14634259259</v>
      </c>
      <c r="C2656" t="n">
        <v>0</v>
      </c>
      <c r="D2656" t="n">
        <v>3</v>
      </c>
      <c r="E2656" t="s">
        <v>2622</v>
      </c>
      <c r="F2656" t="s"/>
      <c r="G2656" t="s"/>
      <c r="H2656" t="s"/>
      <c r="I2656" t="s"/>
      <c r="J2656" t="n">
        <v>-0.25</v>
      </c>
      <c r="K2656" t="n">
        <v>0.095</v>
      </c>
      <c r="L2656" t="n">
        <v>0.905</v>
      </c>
      <c r="M2656" t="n">
        <v>0</v>
      </c>
    </row>
    <row r="2657" spans="1:13">
      <c r="A2657" s="1">
        <f>HYPERLINK("http://www.twitter.com/NathanBLawrence/status/984272552263634944", "984272552263634944")</f>
        <v/>
      </c>
      <c r="B2657" s="2" t="n">
        <v>43202.14627314815</v>
      </c>
      <c r="C2657" t="n">
        <v>0</v>
      </c>
      <c r="D2657" t="n">
        <v>0</v>
      </c>
      <c r="E2657" t="s">
        <v>2623</v>
      </c>
      <c r="F2657" t="s"/>
      <c r="G2657" t="s"/>
      <c r="H2657" t="s"/>
      <c r="I2657" t="s"/>
      <c r="J2657" t="n">
        <v>0.34</v>
      </c>
      <c r="K2657" t="n">
        <v>0</v>
      </c>
      <c r="L2657" t="n">
        <v>0.789</v>
      </c>
      <c r="M2657" t="n">
        <v>0.211</v>
      </c>
    </row>
    <row r="2658" spans="1:13">
      <c r="A2658" s="1">
        <f>HYPERLINK("http://www.twitter.com/NathanBLawrence/status/984272442419044353", "984272442419044353")</f>
        <v/>
      </c>
      <c r="B2658" s="2" t="n">
        <v>43202.14596064815</v>
      </c>
      <c r="C2658" t="n">
        <v>0</v>
      </c>
      <c r="D2658" t="n">
        <v>2</v>
      </c>
      <c r="E2658" t="s">
        <v>2624</v>
      </c>
      <c r="F2658" t="s"/>
      <c r="G2658" t="s"/>
      <c r="H2658" t="s"/>
      <c r="I2658" t="s"/>
      <c r="J2658" t="n">
        <v>0</v>
      </c>
      <c r="K2658" t="n">
        <v>0</v>
      </c>
      <c r="L2658" t="n">
        <v>1</v>
      </c>
      <c r="M2658" t="n">
        <v>0</v>
      </c>
    </row>
    <row r="2659" spans="1:13">
      <c r="A2659" s="1">
        <f>HYPERLINK("http://www.twitter.com/NathanBLawrence/status/984272400886980608", "984272400886980608")</f>
        <v/>
      </c>
      <c r="B2659" s="2" t="n">
        <v>43202.14584490741</v>
      </c>
      <c r="C2659" t="n">
        <v>7</v>
      </c>
      <c r="D2659" t="n">
        <v>5</v>
      </c>
      <c r="E2659" t="s">
        <v>2625</v>
      </c>
      <c r="F2659" t="s"/>
      <c r="G2659" t="s"/>
      <c r="H2659" t="s"/>
      <c r="I2659" t="s"/>
      <c r="J2659" t="n">
        <v>0.842</v>
      </c>
      <c r="K2659" t="n">
        <v>0.029</v>
      </c>
      <c r="L2659" t="n">
        <v>0.8149999999999999</v>
      </c>
      <c r="M2659" t="n">
        <v>0.157</v>
      </c>
    </row>
    <row r="2660" spans="1:13">
      <c r="A2660" s="1">
        <f>HYPERLINK("http://www.twitter.com/NathanBLawrence/status/984271774165684225", "984271774165684225")</f>
        <v/>
      </c>
      <c r="B2660" s="2" t="n">
        <v>43202.14412037037</v>
      </c>
      <c r="C2660" t="n">
        <v>0</v>
      </c>
      <c r="D2660" t="n">
        <v>6</v>
      </c>
      <c r="E2660" t="s">
        <v>2626</v>
      </c>
      <c r="F2660" t="s"/>
      <c r="G2660" t="s"/>
      <c r="H2660" t="s"/>
      <c r="I2660" t="s"/>
      <c r="J2660" t="n">
        <v>-0.25</v>
      </c>
      <c r="K2660" t="n">
        <v>0.237</v>
      </c>
      <c r="L2660" t="n">
        <v>0.592</v>
      </c>
      <c r="M2660" t="n">
        <v>0.171</v>
      </c>
    </row>
    <row r="2661" spans="1:13">
      <c r="A2661" s="1">
        <f>HYPERLINK("http://www.twitter.com/NathanBLawrence/status/984271669794607105", "984271669794607105")</f>
        <v/>
      </c>
      <c r="B2661" s="2" t="n">
        <v>43202.14383101852</v>
      </c>
      <c r="C2661" t="n">
        <v>0</v>
      </c>
      <c r="D2661" t="n">
        <v>8</v>
      </c>
      <c r="E2661" t="s">
        <v>2627</v>
      </c>
      <c r="F2661" t="s"/>
      <c r="G2661" t="s"/>
      <c r="H2661" t="s"/>
      <c r="I2661" t="s"/>
      <c r="J2661" t="n">
        <v>-0.5719</v>
      </c>
      <c r="K2661" t="n">
        <v>0.144</v>
      </c>
      <c r="L2661" t="n">
        <v>0.856</v>
      </c>
      <c r="M2661" t="n">
        <v>0</v>
      </c>
    </row>
    <row r="2662" spans="1:13">
      <c r="A2662" s="1">
        <f>HYPERLINK("http://www.twitter.com/NathanBLawrence/status/984271648865030145", "984271648865030145")</f>
        <v/>
      </c>
      <c r="B2662" s="2" t="n">
        <v>43202.14377314815</v>
      </c>
      <c r="C2662" t="n">
        <v>0</v>
      </c>
      <c r="D2662" t="n">
        <v>6</v>
      </c>
      <c r="E2662" t="s">
        <v>2628</v>
      </c>
      <c r="F2662" t="s"/>
      <c r="G2662" t="s"/>
      <c r="H2662" t="s"/>
      <c r="I2662" t="s"/>
      <c r="J2662" t="n">
        <v>0</v>
      </c>
      <c r="K2662" t="n">
        <v>0</v>
      </c>
      <c r="L2662" t="n">
        <v>1</v>
      </c>
      <c r="M2662" t="n">
        <v>0</v>
      </c>
    </row>
    <row r="2663" spans="1:13">
      <c r="A2663" s="1">
        <f>HYPERLINK("http://www.twitter.com/NathanBLawrence/status/984271611925876736", "984271611925876736")</f>
        <v/>
      </c>
      <c r="B2663" s="2" t="n">
        <v>43202.14366898148</v>
      </c>
      <c r="C2663" t="n">
        <v>0</v>
      </c>
      <c r="D2663" t="n">
        <v>0</v>
      </c>
      <c r="E2663" t="s">
        <v>2629</v>
      </c>
      <c r="F2663" t="s"/>
      <c r="G2663" t="s"/>
      <c r="H2663" t="s"/>
      <c r="I2663" t="s"/>
      <c r="J2663" t="n">
        <v>-0.296</v>
      </c>
      <c r="K2663" t="n">
        <v>0.109</v>
      </c>
      <c r="L2663" t="n">
        <v>0.891</v>
      </c>
      <c r="M2663" t="n">
        <v>0</v>
      </c>
    </row>
    <row r="2664" spans="1:13">
      <c r="A2664" s="1">
        <f>HYPERLINK("http://www.twitter.com/NathanBLawrence/status/984271121544556544", "984271121544556544")</f>
        <v/>
      </c>
      <c r="B2664" s="2" t="n">
        <v>43202.14231481482</v>
      </c>
      <c r="C2664" t="n">
        <v>0</v>
      </c>
      <c r="D2664" t="n">
        <v>5</v>
      </c>
      <c r="E2664" t="s">
        <v>2630</v>
      </c>
      <c r="F2664" t="s"/>
      <c r="G2664" t="s"/>
      <c r="H2664" t="s"/>
      <c r="I2664" t="s"/>
      <c r="J2664" t="n">
        <v>0</v>
      </c>
      <c r="K2664" t="n">
        <v>0</v>
      </c>
      <c r="L2664" t="n">
        <v>1</v>
      </c>
      <c r="M2664" t="n">
        <v>0</v>
      </c>
    </row>
    <row r="2665" spans="1:13">
      <c r="A2665" s="1">
        <f>HYPERLINK("http://www.twitter.com/NathanBLawrence/status/984271102443696128", "984271102443696128")</f>
        <v/>
      </c>
      <c r="B2665" s="2" t="n">
        <v>43202.14226851852</v>
      </c>
      <c r="C2665" t="n">
        <v>0</v>
      </c>
      <c r="D2665" t="n">
        <v>13</v>
      </c>
      <c r="E2665" t="s">
        <v>2631</v>
      </c>
      <c r="F2665">
        <f>HYPERLINK("http://pbs.twimg.com/media/DajMWuKUMAAv462.jpg", "http://pbs.twimg.com/media/DajMWuKUMAAv462.jpg")</f>
        <v/>
      </c>
      <c r="G2665" t="s"/>
      <c r="H2665" t="s"/>
      <c r="I2665" t="s"/>
      <c r="J2665" t="n">
        <v>0.1531</v>
      </c>
      <c r="K2665" t="n">
        <v>0</v>
      </c>
      <c r="L2665" t="n">
        <v>0.904</v>
      </c>
      <c r="M2665" t="n">
        <v>0.096</v>
      </c>
    </row>
    <row r="2666" spans="1:13">
      <c r="A2666" s="1">
        <f>HYPERLINK("http://www.twitter.com/NathanBLawrence/status/984271089151959040", "984271089151959040")</f>
        <v/>
      </c>
      <c r="B2666" s="2" t="n">
        <v>43202.14223379629</v>
      </c>
      <c r="C2666" t="n">
        <v>0</v>
      </c>
      <c r="D2666" t="n">
        <v>4</v>
      </c>
      <c r="E2666" t="s">
        <v>2632</v>
      </c>
      <c r="F2666" t="s"/>
      <c r="G2666" t="s"/>
      <c r="H2666" t="s"/>
      <c r="I2666" t="s"/>
      <c r="J2666" t="n">
        <v>-0.3612</v>
      </c>
      <c r="K2666" t="n">
        <v>0.128</v>
      </c>
      <c r="L2666" t="n">
        <v>0.872</v>
      </c>
      <c r="M2666" t="n">
        <v>0</v>
      </c>
    </row>
    <row r="2667" spans="1:13">
      <c r="A2667" s="1">
        <f>HYPERLINK("http://www.twitter.com/NathanBLawrence/status/984270667238559744", "984270667238559744")</f>
        <v/>
      </c>
      <c r="B2667" s="2" t="n">
        <v>43202.14106481482</v>
      </c>
      <c r="C2667" t="n">
        <v>0</v>
      </c>
      <c r="D2667" t="n">
        <v>5</v>
      </c>
      <c r="E2667" t="s">
        <v>2633</v>
      </c>
      <c r="F2667" t="s"/>
      <c r="G2667" t="s"/>
      <c r="H2667" t="s"/>
      <c r="I2667" t="s"/>
      <c r="J2667" t="n">
        <v>0.1901</v>
      </c>
      <c r="K2667" t="n">
        <v>0.127</v>
      </c>
      <c r="L2667" t="n">
        <v>0.705</v>
      </c>
      <c r="M2667" t="n">
        <v>0.168</v>
      </c>
    </row>
    <row r="2668" spans="1:13">
      <c r="A2668" s="1">
        <f>HYPERLINK("http://www.twitter.com/NathanBLawrence/status/984270646778781698", "984270646778781698")</f>
        <v/>
      </c>
      <c r="B2668" s="2" t="n">
        <v>43202.14100694445</v>
      </c>
      <c r="C2668" t="n">
        <v>0</v>
      </c>
      <c r="D2668" t="n">
        <v>4</v>
      </c>
      <c r="E2668" t="s">
        <v>2634</v>
      </c>
      <c r="F2668" t="s"/>
      <c r="G2668" t="s"/>
      <c r="H2668" t="s"/>
      <c r="I2668" t="s"/>
      <c r="J2668" t="n">
        <v>0</v>
      </c>
      <c r="K2668" t="n">
        <v>0</v>
      </c>
      <c r="L2668" t="n">
        <v>1</v>
      </c>
      <c r="M2668" t="n">
        <v>0</v>
      </c>
    </row>
    <row r="2669" spans="1:13">
      <c r="A2669" s="1">
        <f>HYPERLINK("http://www.twitter.com/NathanBLawrence/status/984270603287957504", "984270603287957504")</f>
        <v/>
      </c>
      <c r="B2669" s="2" t="n">
        <v>43202.1408912037</v>
      </c>
      <c r="C2669" t="n">
        <v>0</v>
      </c>
      <c r="D2669" t="n">
        <v>7</v>
      </c>
      <c r="E2669" t="s">
        <v>2635</v>
      </c>
      <c r="F2669" t="s"/>
      <c r="G2669" t="s"/>
      <c r="H2669" t="s"/>
      <c r="I2669" t="s"/>
      <c r="J2669" t="n">
        <v>0</v>
      </c>
      <c r="K2669" t="n">
        <v>0</v>
      </c>
      <c r="L2669" t="n">
        <v>1</v>
      </c>
      <c r="M2669" t="n">
        <v>0</v>
      </c>
    </row>
    <row r="2670" spans="1:13">
      <c r="A2670" s="1">
        <f>HYPERLINK("http://www.twitter.com/NathanBLawrence/status/984270584837263361", "984270584837263361")</f>
        <v/>
      </c>
      <c r="B2670" s="2" t="n">
        <v>43202.14083333333</v>
      </c>
      <c r="C2670" t="n">
        <v>0</v>
      </c>
      <c r="D2670" t="n">
        <v>5</v>
      </c>
      <c r="E2670" t="s">
        <v>2636</v>
      </c>
      <c r="F2670" t="s"/>
      <c r="G2670" t="s"/>
      <c r="H2670" t="s"/>
      <c r="I2670" t="s"/>
      <c r="J2670" t="n">
        <v>0</v>
      </c>
      <c r="K2670" t="n">
        <v>0</v>
      </c>
      <c r="L2670" t="n">
        <v>1</v>
      </c>
      <c r="M2670" t="n">
        <v>0</v>
      </c>
    </row>
    <row r="2671" spans="1:13">
      <c r="A2671" s="1">
        <f>HYPERLINK("http://www.twitter.com/NathanBLawrence/status/984264561644724224", "984264561644724224")</f>
        <v/>
      </c>
      <c r="B2671" s="2" t="n">
        <v>43202.12421296296</v>
      </c>
      <c r="C2671" t="n">
        <v>0</v>
      </c>
      <c r="D2671" t="n">
        <v>0</v>
      </c>
      <c r="E2671" t="s">
        <v>2637</v>
      </c>
      <c r="F2671" t="s"/>
      <c r="G2671" t="s"/>
      <c r="H2671" t="s"/>
      <c r="I2671" t="s"/>
      <c r="J2671" t="n">
        <v>0.0772</v>
      </c>
      <c r="K2671" t="n">
        <v>0</v>
      </c>
      <c r="L2671" t="n">
        <v>0.909</v>
      </c>
      <c r="M2671" t="n">
        <v>0.091</v>
      </c>
    </row>
    <row r="2672" spans="1:13">
      <c r="A2672" s="1">
        <f>HYPERLINK("http://www.twitter.com/NathanBLawrence/status/984262425129246720", "984262425129246720")</f>
        <v/>
      </c>
      <c r="B2672" s="2" t="n">
        <v>43202.11832175926</v>
      </c>
      <c r="C2672" t="n">
        <v>0</v>
      </c>
      <c r="D2672" t="n">
        <v>6</v>
      </c>
      <c r="E2672" t="s">
        <v>2638</v>
      </c>
      <c r="F2672" t="s"/>
      <c r="G2672" t="s"/>
      <c r="H2672" t="s"/>
      <c r="I2672" t="s"/>
      <c r="J2672" t="n">
        <v>-0.5994</v>
      </c>
      <c r="K2672" t="n">
        <v>0.281</v>
      </c>
      <c r="L2672" t="n">
        <v>0.719</v>
      </c>
      <c r="M2672" t="n">
        <v>0</v>
      </c>
    </row>
    <row r="2673" spans="1:13">
      <c r="A2673" s="1">
        <f>HYPERLINK("http://www.twitter.com/NathanBLawrence/status/984261096931561484", "984261096931561484")</f>
        <v/>
      </c>
      <c r="B2673" s="2" t="n">
        <v>43202.11465277777</v>
      </c>
      <c r="C2673" t="n">
        <v>0</v>
      </c>
      <c r="D2673" t="n">
        <v>0</v>
      </c>
      <c r="E2673" t="s">
        <v>2639</v>
      </c>
      <c r="F2673" t="s"/>
      <c r="G2673" t="s"/>
      <c r="H2673" t="s"/>
      <c r="I2673" t="s"/>
      <c r="J2673" t="n">
        <v>0.6848</v>
      </c>
      <c r="K2673" t="n">
        <v>0.025</v>
      </c>
      <c r="L2673" t="n">
        <v>0.868</v>
      </c>
      <c r="M2673" t="n">
        <v>0.107</v>
      </c>
    </row>
    <row r="2674" spans="1:13">
      <c r="A2674" s="1">
        <f>HYPERLINK("http://www.twitter.com/NathanBLawrence/status/984260096229281792", "984260096229281792")</f>
        <v/>
      </c>
      <c r="B2674" s="2" t="n">
        <v>43202.11189814815</v>
      </c>
      <c r="C2674" t="n">
        <v>3</v>
      </c>
      <c r="D2674" t="n">
        <v>1</v>
      </c>
      <c r="E2674" t="s">
        <v>2640</v>
      </c>
      <c r="F2674" t="s"/>
      <c r="G2674" t="s"/>
      <c r="H2674" t="s"/>
      <c r="I2674" t="s"/>
      <c r="J2674" t="n">
        <v>0</v>
      </c>
      <c r="K2674" t="n">
        <v>0</v>
      </c>
      <c r="L2674" t="n">
        <v>1</v>
      </c>
      <c r="M2674" t="n">
        <v>0</v>
      </c>
    </row>
    <row r="2675" spans="1:13">
      <c r="A2675" s="1">
        <f>HYPERLINK("http://www.twitter.com/NathanBLawrence/status/984258845122990081", "984258845122990081")</f>
        <v/>
      </c>
      <c r="B2675" s="2" t="n">
        <v>43202.1084375</v>
      </c>
      <c r="C2675" t="n">
        <v>0</v>
      </c>
      <c r="D2675" t="n">
        <v>4</v>
      </c>
      <c r="E2675" t="s">
        <v>2641</v>
      </c>
      <c r="F2675" t="s"/>
      <c r="G2675" t="s"/>
      <c r="H2675" t="s"/>
      <c r="I2675" t="s"/>
      <c r="J2675" t="n">
        <v>-0.6553</v>
      </c>
      <c r="K2675" t="n">
        <v>0.24</v>
      </c>
      <c r="L2675" t="n">
        <v>0.76</v>
      </c>
      <c r="M2675" t="n">
        <v>0</v>
      </c>
    </row>
    <row r="2676" spans="1:13">
      <c r="A2676" s="1">
        <f>HYPERLINK("http://www.twitter.com/NathanBLawrence/status/984258715401498624", "984258715401498624")</f>
        <v/>
      </c>
      <c r="B2676" s="2" t="n">
        <v>43202.10809027778</v>
      </c>
      <c r="C2676" t="n">
        <v>0</v>
      </c>
      <c r="D2676" t="n">
        <v>6</v>
      </c>
      <c r="E2676" t="s">
        <v>2642</v>
      </c>
      <c r="F2676" t="s"/>
      <c r="G2676" t="s"/>
      <c r="H2676" t="s"/>
      <c r="I2676" t="s"/>
      <c r="J2676" t="n">
        <v>-0.1655</v>
      </c>
      <c r="K2676" t="n">
        <v>0.112</v>
      </c>
      <c r="L2676" t="n">
        <v>0.888</v>
      </c>
      <c r="M2676" t="n">
        <v>0</v>
      </c>
    </row>
    <row r="2677" spans="1:13">
      <c r="A2677" s="1">
        <f>HYPERLINK("http://www.twitter.com/NathanBLawrence/status/984258517442940929", "984258517442940929")</f>
        <v/>
      </c>
      <c r="B2677" s="2" t="n">
        <v>43202.10753472222</v>
      </c>
      <c r="C2677" t="n">
        <v>0</v>
      </c>
      <c r="D2677" t="n">
        <v>0</v>
      </c>
      <c r="E2677" t="s">
        <v>2643</v>
      </c>
      <c r="F2677" t="s"/>
      <c r="G2677" t="s"/>
      <c r="H2677" t="s"/>
      <c r="I2677" t="s"/>
      <c r="J2677" t="n">
        <v>0</v>
      </c>
      <c r="K2677" t="n">
        <v>0</v>
      </c>
      <c r="L2677" t="n">
        <v>1</v>
      </c>
      <c r="M2677" t="n">
        <v>0</v>
      </c>
    </row>
    <row r="2678" spans="1:13">
      <c r="A2678" s="1">
        <f>HYPERLINK("http://www.twitter.com/NathanBLawrence/status/984258453215612928", "984258453215612928")</f>
        <v/>
      </c>
      <c r="B2678" s="2" t="n">
        <v>43202.10736111111</v>
      </c>
      <c r="C2678" t="n">
        <v>0</v>
      </c>
      <c r="D2678" t="n">
        <v>0</v>
      </c>
      <c r="E2678" t="s">
        <v>2644</v>
      </c>
      <c r="F2678" t="s"/>
      <c r="G2678" t="s"/>
      <c r="H2678" t="s"/>
      <c r="I2678" t="s"/>
      <c r="J2678" t="n">
        <v>0.4215</v>
      </c>
      <c r="K2678" t="n">
        <v>0.11</v>
      </c>
      <c r="L2678" t="n">
        <v>0.6</v>
      </c>
      <c r="M2678" t="n">
        <v>0.29</v>
      </c>
    </row>
    <row r="2679" spans="1:13">
      <c r="A2679" s="1">
        <f>HYPERLINK("http://www.twitter.com/NathanBLawrence/status/984258369480544257", "984258369480544257")</f>
        <v/>
      </c>
      <c r="B2679" s="2" t="n">
        <v>43202.10712962963</v>
      </c>
      <c r="C2679" t="n">
        <v>0</v>
      </c>
      <c r="D2679" t="n">
        <v>0</v>
      </c>
      <c r="E2679" t="s">
        <v>2645</v>
      </c>
      <c r="F2679" t="s"/>
      <c r="G2679" t="s"/>
      <c r="H2679" t="s"/>
      <c r="I2679" t="s"/>
      <c r="J2679" t="n">
        <v>0</v>
      </c>
      <c r="K2679" t="n">
        <v>0</v>
      </c>
      <c r="L2679" t="n">
        <v>1</v>
      </c>
      <c r="M2679" t="n">
        <v>0</v>
      </c>
    </row>
    <row r="2680" spans="1:13">
      <c r="A2680" s="1">
        <f>HYPERLINK("http://www.twitter.com/NathanBLawrence/status/984258313306214400", "984258313306214400")</f>
        <v/>
      </c>
      <c r="B2680" s="2" t="n">
        <v>43202.10697916667</v>
      </c>
      <c r="C2680" t="n">
        <v>0</v>
      </c>
      <c r="D2680" t="n">
        <v>0</v>
      </c>
      <c r="E2680" t="s">
        <v>2646</v>
      </c>
      <c r="F2680" t="s"/>
      <c r="G2680" t="s"/>
      <c r="H2680" t="s"/>
      <c r="I2680" t="s"/>
      <c r="J2680" t="n">
        <v>0</v>
      </c>
      <c r="K2680" t="n">
        <v>0</v>
      </c>
      <c r="L2680" t="n">
        <v>1</v>
      </c>
      <c r="M2680" t="n">
        <v>0</v>
      </c>
    </row>
    <row r="2681" spans="1:13">
      <c r="A2681" s="1">
        <f>HYPERLINK("http://www.twitter.com/NathanBLawrence/status/984257992387387392", "984257992387387392")</f>
        <v/>
      </c>
      <c r="B2681" s="2" t="n">
        <v>43202.10608796297</v>
      </c>
      <c r="C2681" t="n">
        <v>0</v>
      </c>
      <c r="D2681" t="n">
        <v>10</v>
      </c>
      <c r="E2681" t="s">
        <v>2647</v>
      </c>
      <c r="F2681" t="s"/>
      <c r="G2681" t="s"/>
      <c r="H2681" t="s"/>
      <c r="I2681" t="s"/>
      <c r="J2681" t="n">
        <v>0.4404</v>
      </c>
      <c r="K2681" t="n">
        <v>0</v>
      </c>
      <c r="L2681" t="n">
        <v>0.888</v>
      </c>
      <c r="M2681" t="n">
        <v>0.112</v>
      </c>
    </row>
    <row r="2682" spans="1:13">
      <c r="A2682" s="1">
        <f>HYPERLINK("http://www.twitter.com/NathanBLawrence/status/984257930110361600", "984257930110361600")</f>
        <v/>
      </c>
      <c r="B2682" s="2" t="n">
        <v>43202.10591435185</v>
      </c>
      <c r="C2682" t="n">
        <v>0</v>
      </c>
      <c r="D2682" t="n">
        <v>8</v>
      </c>
      <c r="E2682" t="s">
        <v>2648</v>
      </c>
      <c r="F2682">
        <f>HYPERLINK("http://pbs.twimg.com/media/Dai_POpXUAAyh-3.jpg", "http://pbs.twimg.com/media/Dai_POpXUAAyh-3.jpg")</f>
        <v/>
      </c>
      <c r="G2682" t="s"/>
      <c r="H2682" t="s"/>
      <c r="I2682" t="s"/>
      <c r="J2682" t="n">
        <v>-0.836</v>
      </c>
      <c r="K2682" t="n">
        <v>0.305</v>
      </c>
      <c r="L2682" t="n">
        <v>0.695</v>
      </c>
      <c r="M2682" t="n">
        <v>0</v>
      </c>
    </row>
    <row r="2683" spans="1:13">
      <c r="A2683" s="1">
        <f>HYPERLINK("http://www.twitter.com/NathanBLawrence/status/984257905825337344", "984257905825337344")</f>
        <v/>
      </c>
      <c r="B2683" s="2" t="n">
        <v>43202.10585648148</v>
      </c>
      <c r="C2683" t="n">
        <v>0</v>
      </c>
      <c r="D2683" t="n">
        <v>0</v>
      </c>
      <c r="E2683" t="s">
        <v>2649</v>
      </c>
      <c r="F2683" t="s"/>
      <c r="G2683" t="s"/>
      <c r="H2683" t="s"/>
      <c r="I2683" t="s"/>
      <c r="J2683" t="n">
        <v>0.2057</v>
      </c>
      <c r="K2683" t="n">
        <v>0</v>
      </c>
      <c r="L2683" t="n">
        <v>0.927</v>
      </c>
      <c r="M2683" t="n">
        <v>0.073</v>
      </c>
    </row>
    <row r="2684" spans="1:13">
      <c r="A2684" s="1">
        <f>HYPERLINK("http://www.twitter.com/NathanBLawrence/status/984257634957217795", "984257634957217795")</f>
        <v/>
      </c>
      <c r="B2684" s="2" t="n">
        <v>43202.10510416667</v>
      </c>
      <c r="C2684" t="n">
        <v>0</v>
      </c>
      <c r="D2684" t="n">
        <v>13</v>
      </c>
      <c r="E2684" t="s">
        <v>2650</v>
      </c>
      <c r="F2684">
        <f>HYPERLINK("http://pbs.twimg.com/media/Dai_POpXUAAyh-3.jpg", "http://pbs.twimg.com/media/Dai_POpXUAAyh-3.jpg")</f>
        <v/>
      </c>
      <c r="G2684" t="s"/>
      <c r="H2684" t="s"/>
      <c r="I2684" t="s"/>
      <c r="J2684" t="n">
        <v>-0.836</v>
      </c>
      <c r="K2684" t="n">
        <v>0.294</v>
      </c>
      <c r="L2684" t="n">
        <v>0.706</v>
      </c>
      <c r="M2684" t="n">
        <v>0</v>
      </c>
    </row>
    <row r="2685" spans="1:13">
      <c r="A2685" s="1">
        <f>HYPERLINK("http://www.twitter.com/NathanBLawrence/status/984257623406137344", "984257623406137344")</f>
        <v/>
      </c>
      <c r="B2685" s="2" t="n">
        <v>43202.10506944444</v>
      </c>
      <c r="C2685" t="n">
        <v>0</v>
      </c>
      <c r="D2685" t="n">
        <v>4</v>
      </c>
      <c r="E2685" t="s">
        <v>2651</v>
      </c>
      <c r="F2685" t="s"/>
      <c r="G2685" t="s"/>
      <c r="H2685" t="s"/>
      <c r="I2685" t="s"/>
      <c r="J2685" t="n">
        <v>0.8074</v>
      </c>
      <c r="K2685" t="n">
        <v>0</v>
      </c>
      <c r="L2685" t="n">
        <v>0.658</v>
      </c>
      <c r="M2685" t="n">
        <v>0.342</v>
      </c>
    </row>
    <row r="2686" spans="1:13">
      <c r="A2686" s="1">
        <f>HYPERLINK("http://www.twitter.com/NathanBLawrence/status/984256590118350848", "984256590118350848")</f>
        <v/>
      </c>
      <c r="B2686" s="2" t="n">
        <v>43202.10222222222</v>
      </c>
      <c r="C2686" t="n">
        <v>5</v>
      </c>
      <c r="D2686" t="n">
        <v>4</v>
      </c>
      <c r="E2686" t="s">
        <v>2652</v>
      </c>
      <c r="F2686" t="s"/>
      <c r="G2686" t="s"/>
      <c r="H2686" t="s"/>
      <c r="I2686" t="s"/>
      <c r="J2686" t="n">
        <v>-0.6553</v>
      </c>
      <c r="K2686" t="n">
        <v>0.263</v>
      </c>
      <c r="L2686" t="n">
        <v>0.737</v>
      </c>
      <c r="M2686" t="n">
        <v>0</v>
      </c>
    </row>
    <row r="2687" spans="1:13">
      <c r="A2687" s="1">
        <f>HYPERLINK("http://www.twitter.com/NathanBLawrence/status/984251050826915840", "984251050826915840")</f>
        <v/>
      </c>
      <c r="B2687" s="2" t="n">
        <v>43202.08693287037</v>
      </c>
      <c r="C2687" t="n">
        <v>0</v>
      </c>
      <c r="D2687" t="n">
        <v>40</v>
      </c>
      <c r="E2687" t="s">
        <v>2653</v>
      </c>
      <c r="F2687">
        <f>HYPERLINK("http://pbs.twimg.com/media/Dai_-ZmXcAAHril.jpg", "http://pbs.twimg.com/media/Dai_-ZmXcAAHril.jpg")</f>
        <v/>
      </c>
      <c r="G2687" t="s"/>
      <c r="H2687" t="s"/>
      <c r="I2687" t="s"/>
      <c r="J2687" t="n">
        <v>0.2023</v>
      </c>
      <c r="K2687" t="n">
        <v>0</v>
      </c>
      <c r="L2687" t="n">
        <v>0.886</v>
      </c>
      <c r="M2687" t="n">
        <v>0.114</v>
      </c>
    </row>
    <row r="2688" spans="1:13">
      <c r="A2688" s="1">
        <f>HYPERLINK("http://www.twitter.com/NathanBLawrence/status/984224485707517952", "984224485707517952")</f>
        <v/>
      </c>
      <c r="B2688" s="2" t="n">
        <v>43202.01363425926</v>
      </c>
      <c r="C2688" t="n">
        <v>0</v>
      </c>
      <c r="D2688" t="n">
        <v>3</v>
      </c>
      <c r="E2688" t="s">
        <v>2654</v>
      </c>
      <c r="F2688">
        <f>HYPERLINK("http://pbs.twimg.com/media/DaipcPyXkAEIJ3t.jpg", "http://pbs.twimg.com/media/DaipcPyXkAEIJ3t.jpg")</f>
        <v/>
      </c>
      <c r="G2688" t="s"/>
      <c r="H2688" t="s"/>
      <c r="I2688" t="s"/>
      <c r="J2688" t="n">
        <v>0</v>
      </c>
      <c r="K2688" t="n">
        <v>0</v>
      </c>
      <c r="L2688" t="n">
        <v>1</v>
      </c>
      <c r="M2688" t="n">
        <v>0</v>
      </c>
    </row>
    <row r="2689" spans="1:13">
      <c r="A2689" s="1">
        <f>HYPERLINK("http://www.twitter.com/NathanBLawrence/status/984208537978056705", "984208537978056705")</f>
        <v/>
      </c>
      <c r="B2689" s="2" t="n">
        <v>43201.96961805555</v>
      </c>
      <c r="C2689" t="n">
        <v>0</v>
      </c>
      <c r="D2689" t="n">
        <v>5437</v>
      </c>
      <c r="E2689" t="s">
        <v>2655</v>
      </c>
      <c r="F2689" t="s"/>
      <c r="G2689" t="s"/>
      <c r="H2689" t="s"/>
      <c r="I2689" t="s"/>
      <c r="J2689" t="n">
        <v>0.368</v>
      </c>
      <c r="K2689" t="n">
        <v>0</v>
      </c>
      <c r="L2689" t="n">
        <v>0.542</v>
      </c>
      <c r="M2689" t="n">
        <v>0.458</v>
      </c>
    </row>
    <row r="2690" spans="1:13">
      <c r="A2690" s="1">
        <f>HYPERLINK("http://www.twitter.com/NathanBLawrence/status/984207898015354883", "984207898015354883")</f>
        <v/>
      </c>
      <c r="B2690" s="2" t="n">
        <v>43201.9678587963</v>
      </c>
      <c r="C2690" t="n">
        <v>2</v>
      </c>
      <c r="D2690" t="n">
        <v>0</v>
      </c>
      <c r="E2690" t="s">
        <v>2656</v>
      </c>
      <c r="F2690" t="s"/>
      <c r="G2690" t="s"/>
      <c r="H2690" t="s"/>
      <c r="I2690" t="s"/>
      <c r="J2690" t="n">
        <v>0</v>
      </c>
      <c r="K2690" t="n">
        <v>0</v>
      </c>
      <c r="L2690" t="n">
        <v>1</v>
      </c>
      <c r="M2690" t="n">
        <v>0</v>
      </c>
    </row>
    <row r="2691" spans="1:13">
      <c r="A2691" s="1">
        <f>HYPERLINK("http://www.twitter.com/NathanBLawrence/status/984207871960330246", "984207871960330246")</f>
        <v/>
      </c>
      <c r="B2691" s="2" t="n">
        <v>43201.96778935185</v>
      </c>
      <c r="C2691" t="n">
        <v>2</v>
      </c>
      <c r="D2691" t="n">
        <v>0</v>
      </c>
      <c r="E2691" t="s">
        <v>2657</v>
      </c>
      <c r="F2691" t="s"/>
      <c r="G2691" t="s"/>
      <c r="H2691" t="s"/>
      <c r="I2691" t="s"/>
      <c r="J2691" t="n">
        <v>-0.4389</v>
      </c>
      <c r="K2691" t="n">
        <v>0.224</v>
      </c>
      <c r="L2691" t="n">
        <v>0.776</v>
      </c>
      <c r="M2691" t="n">
        <v>0</v>
      </c>
    </row>
    <row r="2692" spans="1:13">
      <c r="A2692" s="1">
        <f>HYPERLINK("http://www.twitter.com/NathanBLawrence/status/984201729578274817", "984201729578274817")</f>
        <v/>
      </c>
      <c r="B2692" s="2" t="n">
        <v>43201.95083333334</v>
      </c>
      <c r="C2692" t="n">
        <v>1</v>
      </c>
      <c r="D2692" t="n">
        <v>0</v>
      </c>
      <c r="E2692" t="s">
        <v>2658</v>
      </c>
      <c r="F2692" t="s"/>
      <c r="G2692" t="s"/>
      <c r="H2692" t="s"/>
      <c r="I2692" t="s"/>
      <c r="J2692" t="n">
        <v>0</v>
      </c>
      <c r="K2692" t="n">
        <v>0</v>
      </c>
      <c r="L2692" t="n">
        <v>1</v>
      </c>
      <c r="M2692" t="n">
        <v>0</v>
      </c>
    </row>
    <row r="2693" spans="1:13">
      <c r="A2693" s="1">
        <f>HYPERLINK("http://www.twitter.com/NathanBLawrence/status/984200739630342150", "984200739630342150")</f>
        <v/>
      </c>
      <c r="B2693" s="2" t="n">
        <v>43201.94810185185</v>
      </c>
      <c r="C2693" t="n">
        <v>0</v>
      </c>
      <c r="D2693" t="n">
        <v>51</v>
      </c>
      <c r="E2693" t="s">
        <v>2659</v>
      </c>
      <c r="F2693" t="s"/>
      <c r="G2693" t="s"/>
      <c r="H2693" t="s"/>
      <c r="I2693" t="s"/>
      <c r="J2693" t="n">
        <v>0.6494</v>
      </c>
      <c r="K2693" t="n">
        <v>0.161</v>
      </c>
      <c r="L2693" t="n">
        <v>0.5570000000000001</v>
      </c>
      <c r="M2693" t="n">
        <v>0.281</v>
      </c>
    </row>
    <row r="2694" spans="1:13">
      <c r="A2694" s="1">
        <f>HYPERLINK("http://www.twitter.com/NathanBLawrence/status/984200602933702656", "984200602933702656")</f>
        <v/>
      </c>
      <c r="B2694" s="2" t="n">
        <v>43201.94771990741</v>
      </c>
      <c r="C2694" t="n">
        <v>0</v>
      </c>
      <c r="D2694" t="n">
        <v>8</v>
      </c>
      <c r="E2694" t="s">
        <v>2660</v>
      </c>
      <c r="F2694">
        <f>HYPERLINK("http://pbs.twimg.com/media/DaiBnvFUQAALVP0.jpg", "http://pbs.twimg.com/media/DaiBnvFUQAALVP0.jpg")</f>
        <v/>
      </c>
      <c r="G2694" t="s"/>
      <c r="H2694" t="s"/>
      <c r="I2694" t="s"/>
      <c r="J2694" t="n">
        <v>0</v>
      </c>
      <c r="K2694" t="n">
        <v>0</v>
      </c>
      <c r="L2694" t="n">
        <v>1</v>
      </c>
      <c r="M2694" t="n">
        <v>0</v>
      </c>
    </row>
    <row r="2695" spans="1:13">
      <c r="A2695" s="1">
        <f>HYPERLINK("http://www.twitter.com/NathanBLawrence/status/984177173950009345", "984177173950009345")</f>
        <v/>
      </c>
      <c r="B2695" s="2" t="n">
        <v>43201.8830787037</v>
      </c>
      <c r="C2695" t="n">
        <v>0</v>
      </c>
      <c r="D2695" t="n">
        <v>784</v>
      </c>
      <c r="E2695" t="s">
        <v>2661</v>
      </c>
      <c r="F2695">
        <f>HYPERLINK("http://pbs.twimg.com/media/DahU8QPXcAMyPXp.jpg", "http://pbs.twimg.com/media/DahU8QPXcAMyPXp.jpg")</f>
        <v/>
      </c>
      <c r="G2695" t="s"/>
      <c r="H2695" t="s"/>
      <c r="I2695" t="s"/>
      <c r="J2695" t="n">
        <v>0.2714</v>
      </c>
      <c r="K2695" t="n">
        <v>0</v>
      </c>
      <c r="L2695" t="n">
        <v>0.92</v>
      </c>
      <c r="M2695" t="n">
        <v>0.08</v>
      </c>
    </row>
    <row r="2696" spans="1:13">
      <c r="A2696" s="1">
        <f>HYPERLINK("http://www.twitter.com/NathanBLawrence/status/984163852031062016", "984163852031062016")</f>
        <v/>
      </c>
      <c r="B2696" s="2" t="n">
        <v>43201.84630787037</v>
      </c>
      <c r="C2696" t="n">
        <v>0</v>
      </c>
      <c r="D2696" t="n">
        <v>9</v>
      </c>
      <c r="E2696" t="s">
        <v>2662</v>
      </c>
      <c r="F2696" t="s"/>
      <c r="G2696" t="s"/>
      <c r="H2696" t="s"/>
      <c r="I2696" t="s"/>
      <c r="J2696" t="n">
        <v>-0.3612</v>
      </c>
      <c r="K2696" t="n">
        <v>0.094</v>
      </c>
      <c r="L2696" t="n">
        <v>0.906</v>
      </c>
      <c r="M2696" t="n">
        <v>0</v>
      </c>
    </row>
    <row r="2697" spans="1:13">
      <c r="A2697" s="1">
        <f>HYPERLINK("http://www.twitter.com/NathanBLawrence/status/984163757822750721", "984163757822750721")</f>
        <v/>
      </c>
      <c r="B2697" s="2" t="n">
        <v>43201.84605324074</v>
      </c>
      <c r="C2697" t="n">
        <v>0</v>
      </c>
      <c r="D2697" t="n">
        <v>17</v>
      </c>
      <c r="E2697" t="s">
        <v>2663</v>
      </c>
      <c r="F2697">
        <f>HYPERLINK("http://pbs.twimg.com/media/Dae-wnkWAAAipXV.jpg", "http://pbs.twimg.com/media/Dae-wnkWAAAipXV.jpg")</f>
        <v/>
      </c>
      <c r="G2697">
        <f>HYPERLINK("http://pbs.twimg.com/media/Dae-xx0X0AAZlsX.jpg", "http://pbs.twimg.com/media/Dae-xx0X0AAZlsX.jpg")</f>
        <v/>
      </c>
      <c r="H2697">
        <f>HYPERLINK("http://pbs.twimg.com/media/Dae-y37WsAA7qA4.jpg", "http://pbs.twimg.com/media/Dae-y37WsAA7qA4.jpg")</f>
        <v/>
      </c>
      <c r="I2697" t="s"/>
      <c r="J2697" t="n">
        <v>0.5308</v>
      </c>
      <c r="K2697" t="n">
        <v>0</v>
      </c>
      <c r="L2697" t="n">
        <v>0.803</v>
      </c>
      <c r="M2697" t="n">
        <v>0.197</v>
      </c>
    </row>
    <row r="2698" spans="1:13">
      <c r="A2698" s="1">
        <f>HYPERLINK("http://www.twitter.com/NathanBLawrence/status/984148587071275015", "984148587071275015")</f>
        <v/>
      </c>
      <c r="B2698" s="2" t="n">
        <v>43201.80418981481</v>
      </c>
      <c r="C2698" t="n">
        <v>0</v>
      </c>
      <c r="D2698" t="n">
        <v>0</v>
      </c>
      <c r="E2698" t="s">
        <v>2664</v>
      </c>
      <c r="F2698" t="s"/>
      <c r="G2698" t="s"/>
      <c r="H2698" t="s"/>
      <c r="I2698" t="s"/>
      <c r="J2698" t="n">
        <v>0.7645</v>
      </c>
      <c r="K2698" t="n">
        <v>0.123</v>
      </c>
      <c r="L2698" t="n">
        <v>0.5</v>
      </c>
      <c r="M2698" t="n">
        <v>0.377</v>
      </c>
    </row>
    <row r="2699" spans="1:13">
      <c r="A2699" s="1">
        <f>HYPERLINK("http://www.twitter.com/NathanBLawrence/status/984142417044656128", "984142417044656128")</f>
        <v/>
      </c>
      <c r="B2699" s="2" t="n">
        <v>43201.78716435185</v>
      </c>
      <c r="C2699" t="n">
        <v>0</v>
      </c>
      <c r="D2699" t="n">
        <v>690</v>
      </c>
      <c r="E2699" t="s">
        <v>2665</v>
      </c>
      <c r="F2699" t="s"/>
      <c r="G2699" t="s"/>
      <c r="H2699" t="s"/>
      <c r="I2699" t="s"/>
      <c r="J2699" t="n">
        <v>0.5610000000000001</v>
      </c>
      <c r="K2699" t="n">
        <v>0</v>
      </c>
      <c r="L2699" t="n">
        <v>0.847</v>
      </c>
      <c r="M2699" t="n">
        <v>0.153</v>
      </c>
    </row>
    <row r="2700" spans="1:13">
      <c r="A2700" s="1">
        <f>HYPERLINK("http://www.twitter.com/NathanBLawrence/status/984138531076542464", "984138531076542464")</f>
        <v/>
      </c>
      <c r="B2700" s="2" t="n">
        <v>43201.77643518519</v>
      </c>
      <c r="C2700" t="n">
        <v>1</v>
      </c>
      <c r="D2700" t="n">
        <v>0</v>
      </c>
      <c r="E2700" t="s">
        <v>2666</v>
      </c>
      <c r="F2700" t="s"/>
      <c r="G2700" t="s"/>
      <c r="H2700" t="s"/>
      <c r="I2700" t="s"/>
      <c r="J2700" t="n">
        <v>0.5023</v>
      </c>
      <c r="K2700" t="n">
        <v>0</v>
      </c>
      <c r="L2700" t="n">
        <v>0.8120000000000001</v>
      </c>
      <c r="M2700" t="n">
        <v>0.188</v>
      </c>
    </row>
    <row r="2701" spans="1:13">
      <c r="A2701" s="1">
        <f>HYPERLINK("http://www.twitter.com/NathanBLawrence/status/984138459458793473", "984138459458793473")</f>
        <v/>
      </c>
      <c r="B2701" s="2" t="n">
        <v>43201.77623842593</v>
      </c>
      <c r="C2701" t="n">
        <v>1</v>
      </c>
      <c r="D2701" t="n">
        <v>0</v>
      </c>
      <c r="E2701" t="s">
        <v>2667</v>
      </c>
      <c r="F2701" t="s"/>
      <c r="G2701" t="s"/>
      <c r="H2701" t="s"/>
      <c r="I2701" t="s"/>
      <c r="J2701" t="n">
        <v>-0.7983</v>
      </c>
      <c r="K2701" t="n">
        <v>0.202</v>
      </c>
      <c r="L2701" t="n">
        <v>0.764</v>
      </c>
      <c r="M2701" t="n">
        <v>0.034</v>
      </c>
    </row>
    <row r="2702" spans="1:13">
      <c r="A2702" s="1">
        <f>HYPERLINK("http://www.twitter.com/NathanBLawrence/status/984138139659919360", "984138139659919360")</f>
        <v/>
      </c>
      <c r="B2702" s="2" t="n">
        <v>43201.77535879629</v>
      </c>
      <c r="C2702" t="n">
        <v>1</v>
      </c>
      <c r="D2702" t="n">
        <v>0</v>
      </c>
      <c r="E2702" t="s">
        <v>2668</v>
      </c>
      <c r="F2702" t="s"/>
      <c r="G2702" t="s"/>
      <c r="H2702" t="s"/>
      <c r="I2702" t="s"/>
      <c r="J2702" t="n">
        <v>-0.5266999999999999</v>
      </c>
      <c r="K2702" t="n">
        <v>0.124</v>
      </c>
      <c r="L2702" t="n">
        <v>0.876</v>
      </c>
      <c r="M2702" t="n">
        <v>0</v>
      </c>
    </row>
    <row r="2703" spans="1:13">
      <c r="A2703" s="1">
        <f>HYPERLINK("http://www.twitter.com/NathanBLawrence/status/984137990392950784", "984137990392950784")</f>
        <v/>
      </c>
      <c r="B2703" s="2" t="n">
        <v>43201.77494212963</v>
      </c>
      <c r="C2703" t="n">
        <v>1</v>
      </c>
      <c r="D2703" t="n">
        <v>0</v>
      </c>
      <c r="E2703" t="s">
        <v>2669</v>
      </c>
      <c r="F2703" t="s"/>
      <c r="G2703" t="s"/>
      <c r="H2703" t="s"/>
      <c r="I2703" t="s"/>
      <c r="J2703" t="n">
        <v>0.5023</v>
      </c>
      <c r="K2703" t="n">
        <v>0</v>
      </c>
      <c r="L2703" t="n">
        <v>0.931</v>
      </c>
      <c r="M2703" t="n">
        <v>0.06900000000000001</v>
      </c>
    </row>
    <row r="2704" spans="1:13">
      <c r="A2704" s="1">
        <f>HYPERLINK("http://www.twitter.com/NathanBLawrence/status/984137671982411781", "984137671982411781")</f>
        <v/>
      </c>
      <c r="B2704" s="2" t="n">
        <v>43201.77407407408</v>
      </c>
      <c r="C2704" t="n">
        <v>0</v>
      </c>
      <c r="D2704" t="n">
        <v>0</v>
      </c>
      <c r="E2704" t="s">
        <v>2670</v>
      </c>
      <c r="F2704" t="s"/>
      <c r="G2704" t="s"/>
      <c r="H2704" t="s"/>
      <c r="I2704" t="s"/>
      <c r="J2704" t="n">
        <v>0</v>
      </c>
      <c r="K2704" t="n">
        <v>0</v>
      </c>
      <c r="L2704" t="n">
        <v>1</v>
      </c>
      <c r="M2704" t="n">
        <v>0</v>
      </c>
    </row>
    <row r="2705" spans="1:13">
      <c r="A2705" s="1">
        <f>HYPERLINK("http://www.twitter.com/NathanBLawrence/status/984135719034769410", "984135719034769410")</f>
        <v/>
      </c>
      <c r="B2705" s="2" t="n">
        <v>43201.76868055556</v>
      </c>
      <c r="C2705" t="n">
        <v>1</v>
      </c>
      <c r="D2705" t="n">
        <v>0</v>
      </c>
      <c r="E2705" t="s">
        <v>2671</v>
      </c>
      <c r="F2705" t="s"/>
      <c r="G2705" t="s"/>
      <c r="H2705" t="s"/>
      <c r="I2705" t="s"/>
      <c r="J2705" t="n">
        <v>0</v>
      </c>
      <c r="K2705" t="n">
        <v>0</v>
      </c>
      <c r="L2705" t="n">
        <v>1</v>
      </c>
      <c r="M2705" t="n">
        <v>0</v>
      </c>
    </row>
    <row r="2706" spans="1:13">
      <c r="A2706" s="1">
        <f>HYPERLINK("http://www.twitter.com/NathanBLawrence/status/984132708459835394", "984132708459835394")</f>
        <v/>
      </c>
      <c r="B2706" s="2" t="n">
        <v>43201.76037037037</v>
      </c>
      <c r="C2706" t="n">
        <v>0</v>
      </c>
      <c r="D2706" t="n">
        <v>63</v>
      </c>
      <c r="E2706" t="s">
        <v>2672</v>
      </c>
      <c r="F2706" t="s"/>
      <c r="G2706" t="s"/>
      <c r="H2706" t="s"/>
      <c r="I2706" t="s"/>
      <c r="J2706" t="n">
        <v>-0.296</v>
      </c>
      <c r="K2706" t="n">
        <v>0.095</v>
      </c>
      <c r="L2706" t="n">
        <v>0.905</v>
      </c>
      <c r="M2706" t="n">
        <v>0</v>
      </c>
    </row>
    <row r="2707" spans="1:13">
      <c r="A2707" s="1">
        <f>HYPERLINK("http://www.twitter.com/NathanBLawrence/status/984132506353127425", "984132506353127425")</f>
        <v/>
      </c>
      <c r="B2707" s="2" t="n">
        <v>43201.75981481482</v>
      </c>
      <c r="C2707" t="n">
        <v>0</v>
      </c>
      <c r="D2707" t="n">
        <v>4</v>
      </c>
      <c r="E2707" t="s">
        <v>2673</v>
      </c>
      <c r="F2707" t="s"/>
      <c r="G2707" t="s"/>
      <c r="H2707" t="s"/>
      <c r="I2707" t="s"/>
      <c r="J2707" t="n">
        <v>0.8268</v>
      </c>
      <c r="K2707" t="n">
        <v>0</v>
      </c>
      <c r="L2707" t="n">
        <v>0.765</v>
      </c>
      <c r="M2707" t="n">
        <v>0.235</v>
      </c>
    </row>
    <row r="2708" spans="1:13">
      <c r="A2708" s="1">
        <f>HYPERLINK("http://www.twitter.com/NathanBLawrence/status/984132467102765056", "984132467102765056")</f>
        <v/>
      </c>
      <c r="B2708" s="2" t="n">
        <v>43201.75971064815</v>
      </c>
      <c r="C2708" t="n">
        <v>1</v>
      </c>
      <c r="D2708" t="n">
        <v>1</v>
      </c>
      <c r="E2708" t="s">
        <v>2674</v>
      </c>
      <c r="F2708" t="s"/>
      <c r="G2708" t="s"/>
      <c r="H2708" t="s"/>
      <c r="I2708" t="s"/>
      <c r="J2708" t="n">
        <v>-0.1531</v>
      </c>
      <c r="K2708" t="n">
        <v>0.133</v>
      </c>
      <c r="L2708" t="n">
        <v>0.783</v>
      </c>
      <c r="M2708" t="n">
        <v>0.08400000000000001</v>
      </c>
    </row>
    <row r="2709" spans="1:13">
      <c r="A2709" s="1">
        <f>HYPERLINK("http://www.twitter.com/NathanBLawrence/status/984132199804035072", "984132199804035072")</f>
        <v/>
      </c>
      <c r="B2709" s="2" t="n">
        <v>43201.75896990741</v>
      </c>
      <c r="C2709" t="n">
        <v>0</v>
      </c>
      <c r="D2709" t="n">
        <v>0</v>
      </c>
      <c r="E2709" t="s">
        <v>2675</v>
      </c>
      <c r="F2709" t="s"/>
      <c r="G2709" t="s"/>
      <c r="H2709" t="s"/>
      <c r="I2709" t="s"/>
      <c r="J2709" t="n">
        <v>-0.3869</v>
      </c>
      <c r="K2709" t="n">
        <v>0.158</v>
      </c>
      <c r="L2709" t="n">
        <v>0.842</v>
      </c>
      <c r="M2709" t="n">
        <v>0</v>
      </c>
    </row>
    <row r="2710" spans="1:13">
      <c r="A2710" s="1">
        <f>HYPERLINK("http://www.twitter.com/NathanBLawrence/status/984131510411329536", "984131510411329536")</f>
        <v/>
      </c>
      <c r="B2710" s="2" t="n">
        <v>43201.75707175926</v>
      </c>
      <c r="C2710" t="n">
        <v>0</v>
      </c>
      <c r="D2710" t="n">
        <v>18</v>
      </c>
      <c r="E2710" t="s">
        <v>2676</v>
      </c>
      <c r="F2710" t="s"/>
      <c r="G2710" t="s"/>
      <c r="H2710" t="s"/>
      <c r="I2710" t="s"/>
      <c r="J2710" t="n">
        <v>0.5848</v>
      </c>
      <c r="K2710" t="n">
        <v>0.053</v>
      </c>
      <c r="L2710" t="n">
        <v>0.79</v>
      </c>
      <c r="M2710" t="n">
        <v>0.158</v>
      </c>
    </row>
    <row r="2711" spans="1:13">
      <c r="A2711" s="1">
        <f>HYPERLINK("http://www.twitter.com/NathanBLawrence/status/984130586980872192", "984130586980872192")</f>
        <v/>
      </c>
      <c r="B2711" s="2" t="n">
        <v>43201.75451388889</v>
      </c>
      <c r="C2711" t="n">
        <v>0</v>
      </c>
      <c r="D2711" t="n">
        <v>2</v>
      </c>
      <c r="E2711" t="s">
        <v>2677</v>
      </c>
      <c r="F2711" t="s"/>
      <c r="G2711" t="s"/>
      <c r="H2711" t="s"/>
      <c r="I2711" t="s"/>
      <c r="J2711" t="n">
        <v>0.4215</v>
      </c>
      <c r="K2711" t="n">
        <v>0</v>
      </c>
      <c r="L2711" t="n">
        <v>0.872</v>
      </c>
      <c r="M2711" t="n">
        <v>0.128</v>
      </c>
    </row>
    <row r="2712" spans="1:13">
      <c r="A2712" s="1">
        <f>HYPERLINK("http://www.twitter.com/NathanBLawrence/status/984130507574317058", "984130507574317058")</f>
        <v/>
      </c>
      <c r="B2712" s="2" t="n">
        <v>43201.75429398148</v>
      </c>
      <c r="C2712" t="n">
        <v>1</v>
      </c>
      <c r="D2712" t="n">
        <v>0</v>
      </c>
      <c r="E2712" t="s">
        <v>2678</v>
      </c>
      <c r="F2712" t="s"/>
      <c r="G2712" t="s"/>
      <c r="H2712" t="s"/>
      <c r="I2712" t="s"/>
      <c r="J2712" t="n">
        <v>0.2987</v>
      </c>
      <c r="K2712" t="n">
        <v>0.122</v>
      </c>
      <c r="L2712" t="n">
        <v>0.708</v>
      </c>
      <c r="M2712" t="n">
        <v>0.17</v>
      </c>
    </row>
    <row r="2713" spans="1:13">
      <c r="A2713" s="1">
        <f>HYPERLINK("http://www.twitter.com/NathanBLawrence/status/984130229844267008", "984130229844267008")</f>
        <v/>
      </c>
      <c r="B2713" s="2" t="n">
        <v>43201.7535300926</v>
      </c>
      <c r="C2713" t="n">
        <v>0</v>
      </c>
      <c r="D2713" t="n">
        <v>2</v>
      </c>
      <c r="E2713" t="s">
        <v>2679</v>
      </c>
      <c r="F2713" t="s"/>
      <c r="G2713" t="s"/>
      <c r="H2713" t="s"/>
      <c r="I2713" t="s"/>
      <c r="J2713" t="n">
        <v>0.3612</v>
      </c>
      <c r="K2713" t="n">
        <v>0</v>
      </c>
      <c r="L2713" t="n">
        <v>0.872</v>
      </c>
      <c r="M2713" t="n">
        <v>0.128</v>
      </c>
    </row>
    <row r="2714" spans="1:13">
      <c r="A2714" s="1">
        <f>HYPERLINK("http://www.twitter.com/NathanBLawrence/status/984130129311010816", "984130129311010816")</f>
        <v/>
      </c>
      <c r="B2714" s="2" t="n">
        <v>43201.75325231482</v>
      </c>
      <c r="C2714" t="n">
        <v>0</v>
      </c>
      <c r="D2714" t="n">
        <v>2</v>
      </c>
      <c r="E2714" t="s">
        <v>2680</v>
      </c>
      <c r="F2714" t="s"/>
      <c r="G2714" t="s"/>
      <c r="H2714" t="s"/>
      <c r="I2714" t="s"/>
      <c r="J2714" t="n">
        <v>0</v>
      </c>
      <c r="K2714" t="n">
        <v>0</v>
      </c>
      <c r="L2714" t="n">
        <v>1</v>
      </c>
      <c r="M2714" t="n">
        <v>0</v>
      </c>
    </row>
    <row r="2715" spans="1:13">
      <c r="A2715" s="1">
        <f>HYPERLINK("http://www.twitter.com/NathanBLawrence/status/984130099502084102", "984130099502084102")</f>
        <v/>
      </c>
      <c r="B2715" s="2" t="n">
        <v>43201.7531712963</v>
      </c>
      <c r="C2715" t="n">
        <v>0</v>
      </c>
      <c r="D2715" t="n">
        <v>1</v>
      </c>
      <c r="E2715" t="s">
        <v>2681</v>
      </c>
      <c r="F2715" t="s"/>
      <c r="G2715" t="s"/>
      <c r="H2715" t="s"/>
      <c r="I2715" t="s"/>
      <c r="J2715" t="n">
        <v>0</v>
      </c>
      <c r="K2715" t="n">
        <v>0</v>
      </c>
      <c r="L2715" t="n">
        <v>1</v>
      </c>
      <c r="M2715" t="n">
        <v>0</v>
      </c>
    </row>
    <row r="2716" spans="1:13">
      <c r="A2716" s="1">
        <f>HYPERLINK("http://www.twitter.com/NathanBLawrence/status/984130068145467403", "984130068145467403")</f>
        <v/>
      </c>
      <c r="B2716" s="2" t="n">
        <v>43201.75309027778</v>
      </c>
      <c r="C2716" t="n">
        <v>0</v>
      </c>
      <c r="D2716" t="n">
        <v>0</v>
      </c>
      <c r="E2716" t="s">
        <v>2682</v>
      </c>
      <c r="F2716" t="s"/>
      <c r="G2716" t="s"/>
      <c r="H2716" t="s"/>
      <c r="I2716" t="s"/>
      <c r="J2716" t="n">
        <v>0.0286</v>
      </c>
      <c r="K2716" t="n">
        <v>0</v>
      </c>
      <c r="L2716" t="n">
        <v>0.926</v>
      </c>
      <c r="M2716" t="n">
        <v>0.074</v>
      </c>
    </row>
    <row r="2717" spans="1:13">
      <c r="A2717" s="1">
        <f>HYPERLINK("http://www.twitter.com/NathanBLawrence/status/984129909072244737", "984129909072244737")</f>
        <v/>
      </c>
      <c r="B2717" s="2" t="n">
        <v>43201.75265046296</v>
      </c>
      <c r="C2717" t="n">
        <v>1</v>
      </c>
      <c r="D2717" t="n">
        <v>1</v>
      </c>
      <c r="E2717" t="s">
        <v>2683</v>
      </c>
      <c r="F2717" t="s"/>
      <c r="G2717" t="s"/>
      <c r="H2717" t="s"/>
      <c r="I2717" t="s"/>
      <c r="J2717" t="n">
        <v>0</v>
      </c>
      <c r="K2717" t="n">
        <v>0</v>
      </c>
      <c r="L2717" t="n">
        <v>1</v>
      </c>
      <c r="M2717" t="n">
        <v>0</v>
      </c>
    </row>
    <row r="2718" spans="1:13">
      <c r="A2718" s="1">
        <f>HYPERLINK("http://www.twitter.com/NathanBLawrence/status/984129294086664204", "984129294086664204")</f>
        <v/>
      </c>
      <c r="B2718" s="2" t="n">
        <v>43201.75094907408</v>
      </c>
      <c r="C2718" t="n">
        <v>0</v>
      </c>
      <c r="D2718" t="n">
        <v>0</v>
      </c>
      <c r="E2718" t="s">
        <v>2684</v>
      </c>
      <c r="F2718" t="s"/>
      <c r="G2718" t="s"/>
      <c r="H2718" t="s"/>
      <c r="I2718" t="s"/>
      <c r="J2718" t="n">
        <v>0.7377</v>
      </c>
      <c r="K2718" t="n">
        <v>0</v>
      </c>
      <c r="L2718" t="n">
        <v>0.876</v>
      </c>
      <c r="M2718" t="n">
        <v>0.124</v>
      </c>
    </row>
    <row r="2719" spans="1:13">
      <c r="A2719" s="1">
        <f>HYPERLINK("http://www.twitter.com/NathanBLawrence/status/984127620173492231", "984127620173492231")</f>
        <v/>
      </c>
      <c r="B2719" s="2" t="n">
        <v>43201.74633101852</v>
      </c>
      <c r="C2719" t="n">
        <v>0</v>
      </c>
      <c r="D2719" t="n">
        <v>6</v>
      </c>
      <c r="E2719" t="s">
        <v>2685</v>
      </c>
      <c r="F2719" t="s"/>
      <c r="G2719" t="s"/>
      <c r="H2719" t="s"/>
      <c r="I2719" t="s"/>
      <c r="J2719" t="n">
        <v>-0.1446</v>
      </c>
      <c r="K2719" t="n">
        <v>0.109</v>
      </c>
      <c r="L2719" t="n">
        <v>0.845</v>
      </c>
      <c r="M2719" t="n">
        <v>0.046</v>
      </c>
    </row>
    <row r="2720" spans="1:13">
      <c r="A2720" s="1">
        <f>HYPERLINK("http://www.twitter.com/NathanBLawrence/status/984126906005180421", "984126906005180421")</f>
        <v/>
      </c>
      <c r="B2720" s="2" t="n">
        <v>43201.74436342593</v>
      </c>
      <c r="C2720" t="n">
        <v>0</v>
      </c>
      <c r="D2720" t="n">
        <v>4</v>
      </c>
      <c r="E2720" t="s">
        <v>2686</v>
      </c>
      <c r="F2720" t="s"/>
      <c r="G2720" t="s"/>
      <c r="H2720" t="s"/>
      <c r="I2720" t="s"/>
      <c r="J2720" t="n">
        <v>0</v>
      </c>
      <c r="K2720" t="n">
        <v>0</v>
      </c>
      <c r="L2720" t="n">
        <v>1</v>
      </c>
      <c r="M2720" t="n">
        <v>0</v>
      </c>
    </row>
    <row r="2721" spans="1:13">
      <c r="A2721" s="1">
        <f>HYPERLINK("http://www.twitter.com/NathanBLawrence/status/984126659354820609", "984126659354820609")</f>
        <v/>
      </c>
      <c r="B2721" s="2" t="n">
        <v>43201.74368055556</v>
      </c>
      <c r="C2721" t="n">
        <v>0</v>
      </c>
      <c r="D2721" t="n">
        <v>3</v>
      </c>
      <c r="E2721" t="s">
        <v>2687</v>
      </c>
      <c r="F2721" t="s"/>
      <c r="G2721" t="s"/>
      <c r="H2721" t="s"/>
      <c r="I2721" t="s"/>
      <c r="J2721" t="n">
        <v>-0.5574</v>
      </c>
      <c r="K2721" t="n">
        <v>0.195</v>
      </c>
      <c r="L2721" t="n">
        <v>0.805</v>
      </c>
      <c r="M2721" t="n">
        <v>0</v>
      </c>
    </row>
    <row r="2722" spans="1:13">
      <c r="A2722" s="1">
        <f>HYPERLINK("http://www.twitter.com/NathanBLawrence/status/984126446317826058", "984126446317826058")</f>
        <v/>
      </c>
      <c r="B2722" s="2" t="n">
        <v>43201.74309027778</v>
      </c>
      <c r="C2722" t="n">
        <v>1</v>
      </c>
      <c r="D2722" t="n">
        <v>0</v>
      </c>
      <c r="E2722" t="s">
        <v>2688</v>
      </c>
      <c r="F2722" t="s"/>
      <c r="G2722" t="s"/>
      <c r="H2722" t="s"/>
      <c r="I2722" t="s"/>
      <c r="J2722" t="n">
        <v>0.4321</v>
      </c>
      <c r="K2722" t="n">
        <v>0.061</v>
      </c>
      <c r="L2722" t="n">
        <v>0.823</v>
      </c>
      <c r="M2722" t="n">
        <v>0.117</v>
      </c>
    </row>
    <row r="2723" spans="1:13">
      <c r="A2723" s="1">
        <f>HYPERLINK("http://www.twitter.com/NathanBLawrence/status/984125892388630528", "984125892388630528")</f>
        <v/>
      </c>
      <c r="B2723" s="2" t="n">
        <v>43201.7415625</v>
      </c>
      <c r="C2723" t="n">
        <v>5</v>
      </c>
      <c r="D2723" t="n">
        <v>4</v>
      </c>
      <c r="E2723" t="s">
        <v>2689</v>
      </c>
      <c r="F2723" t="s"/>
      <c r="G2723" t="s"/>
      <c r="H2723" t="s"/>
      <c r="I2723" t="s"/>
      <c r="J2723" t="n">
        <v>0.7345</v>
      </c>
      <c r="K2723" t="n">
        <v>0.04</v>
      </c>
      <c r="L2723" t="n">
        <v>0.836</v>
      </c>
      <c r="M2723" t="n">
        <v>0.124</v>
      </c>
    </row>
    <row r="2724" spans="1:13">
      <c r="A2724" s="1">
        <f>HYPERLINK("http://www.twitter.com/NathanBLawrence/status/984124357529174017", "984124357529174017")</f>
        <v/>
      </c>
      <c r="B2724" s="2" t="n">
        <v>43201.73732638889</v>
      </c>
      <c r="C2724" t="n">
        <v>0</v>
      </c>
      <c r="D2724" t="n">
        <v>0</v>
      </c>
      <c r="E2724" t="s">
        <v>2690</v>
      </c>
      <c r="F2724" t="s"/>
      <c r="G2724" t="s"/>
      <c r="H2724" t="s"/>
      <c r="I2724" t="s"/>
      <c r="J2724" t="n">
        <v>0.5859</v>
      </c>
      <c r="K2724" t="n">
        <v>0</v>
      </c>
      <c r="L2724" t="n">
        <v>0.345</v>
      </c>
      <c r="M2724" t="n">
        <v>0.655</v>
      </c>
    </row>
    <row r="2725" spans="1:13">
      <c r="A2725" s="1">
        <f>HYPERLINK("http://www.twitter.com/NathanBLawrence/status/984124300658724865", "984124300658724865")</f>
        <v/>
      </c>
      <c r="B2725" s="2" t="n">
        <v>43201.73717592593</v>
      </c>
      <c r="C2725" t="n">
        <v>0</v>
      </c>
      <c r="D2725" t="n">
        <v>1</v>
      </c>
      <c r="E2725" t="s">
        <v>2691</v>
      </c>
      <c r="F2725" t="s"/>
      <c r="G2725" t="s"/>
      <c r="H2725" t="s"/>
      <c r="I2725" t="s"/>
      <c r="J2725" t="n">
        <v>0.4767</v>
      </c>
      <c r="K2725" t="n">
        <v>0</v>
      </c>
      <c r="L2725" t="n">
        <v>0.837</v>
      </c>
      <c r="M2725" t="n">
        <v>0.163</v>
      </c>
    </row>
    <row r="2726" spans="1:13">
      <c r="A2726" s="1">
        <f>HYPERLINK("http://www.twitter.com/NathanBLawrence/status/984124181729218560", "984124181729218560")</f>
        <v/>
      </c>
      <c r="B2726" s="2" t="n">
        <v>43201.73684027778</v>
      </c>
      <c r="C2726" t="n">
        <v>9</v>
      </c>
      <c r="D2726" t="n">
        <v>6</v>
      </c>
      <c r="E2726" t="s">
        <v>2692</v>
      </c>
      <c r="F2726" t="s"/>
      <c r="G2726" t="s"/>
      <c r="H2726" t="s"/>
      <c r="I2726" t="s"/>
      <c r="J2726" t="n">
        <v>-0.5727</v>
      </c>
      <c r="K2726" t="n">
        <v>0.122</v>
      </c>
      <c r="L2726" t="n">
        <v>0.854</v>
      </c>
      <c r="M2726" t="n">
        <v>0.024</v>
      </c>
    </row>
    <row r="2727" spans="1:13">
      <c r="A2727" s="1">
        <f>HYPERLINK("http://www.twitter.com/NathanBLawrence/status/984123596808376322", "984123596808376322")</f>
        <v/>
      </c>
      <c r="B2727" s="2" t="n">
        <v>43201.73523148148</v>
      </c>
      <c r="C2727" t="n">
        <v>0</v>
      </c>
      <c r="D2727" t="n">
        <v>3</v>
      </c>
      <c r="E2727" t="s">
        <v>2693</v>
      </c>
      <c r="F2727" t="s"/>
      <c r="G2727" t="s"/>
      <c r="H2727" t="s"/>
      <c r="I2727" t="s"/>
      <c r="J2727" t="n">
        <v>-0.4767</v>
      </c>
      <c r="K2727" t="n">
        <v>0.194</v>
      </c>
      <c r="L2727" t="n">
        <v>0.806</v>
      </c>
      <c r="M2727" t="n">
        <v>0</v>
      </c>
    </row>
    <row r="2728" spans="1:13">
      <c r="A2728" s="1">
        <f>HYPERLINK("http://www.twitter.com/NathanBLawrence/status/984123419426992129", "984123419426992129")</f>
        <v/>
      </c>
      <c r="B2728" s="2" t="n">
        <v>43201.73473379629</v>
      </c>
      <c r="C2728" t="n">
        <v>2</v>
      </c>
      <c r="D2728" t="n">
        <v>1</v>
      </c>
      <c r="E2728" t="s">
        <v>2694</v>
      </c>
      <c r="F2728" t="s"/>
      <c r="G2728" t="s"/>
      <c r="H2728" t="s"/>
      <c r="I2728" t="s"/>
      <c r="J2728" t="n">
        <v>-0.34</v>
      </c>
      <c r="K2728" t="n">
        <v>0.211</v>
      </c>
      <c r="L2728" t="n">
        <v>0.789</v>
      </c>
      <c r="M2728" t="n">
        <v>0</v>
      </c>
    </row>
    <row r="2729" spans="1:13">
      <c r="A2729" s="1">
        <f>HYPERLINK("http://www.twitter.com/NathanBLawrence/status/984123352926302208", "984123352926302208")</f>
        <v/>
      </c>
      <c r="B2729" s="2" t="n">
        <v>43201.73456018518</v>
      </c>
      <c r="C2729" t="n">
        <v>0</v>
      </c>
      <c r="D2729" t="n">
        <v>2</v>
      </c>
      <c r="E2729" t="s">
        <v>2695</v>
      </c>
      <c r="F2729" t="s"/>
      <c r="G2729" t="s"/>
      <c r="H2729" t="s"/>
      <c r="I2729" t="s"/>
      <c r="J2729" t="n">
        <v>-0.34</v>
      </c>
      <c r="K2729" t="n">
        <v>0.103</v>
      </c>
      <c r="L2729" t="n">
        <v>0.897</v>
      </c>
      <c r="M2729" t="n">
        <v>0</v>
      </c>
    </row>
    <row r="2730" spans="1:13">
      <c r="A2730" s="1">
        <f>HYPERLINK("http://www.twitter.com/NathanBLawrence/status/984123052660314112", "984123052660314112")</f>
        <v/>
      </c>
      <c r="B2730" s="2" t="n">
        <v>43201.73372685185</v>
      </c>
      <c r="C2730" t="n">
        <v>0</v>
      </c>
      <c r="D2730" t="n">
        <v>2</v>
      </c>
      <c r="E2730" t="s">
        <v>2696</v>
      </c>
      <c r="F2730" t="s"/>
      <c r="G2730" t="s"/>
      <c r="H2730" t="s"/>
      <c r="I2730" t="s"/>
      <c r="J2730" t="n">
        <v>-0.4145</v>
      </c>
      <c r="K2730" t="n">
        <v>0.151</v>
      </c>
      <c r="L2730" t="n">
        <v>0.785</v>
      </c>
      <c r="M2730" t="n">
        <v>0.064</v>
      </c>
    </row>
    <row r="2731" spans="1:13">
      <c r="A2731" s="1">
        <f>HYPERLINK("http://www.twitter.com/NathanBLawrence/status/984122874519867392", "984122874519867392")</f>
        <v/>
      </c>
      <c r="B2731" s="2" t="n">
        <v>43201.73324074074</v>
      </c>
      <c r="C2731" t="n">
        <v>0</v>
      </c>
      <c r="D2731" t="n">
        <v>2</v>
      </c>
      <c r="E2731" t="s">
        <v>2697</v>
      </c>
      <c r="F2731" t="s"/>
      <c r="G2731" t="s"/>
      <c r="H2731" t="s"/>
      <c r="I2731" t="s"/>
      <c r="J2731" t="n">
        <v>-0.1027</v>
      </c>
      <c r="K2731" t="n">
        <v>0.128</v>
      </c>
      <c r="L2731" t="n">
        <v>0.76</v>
      </c>
      <c r="M2731" t="n">
        <v>0.112</v>
      </c>
    </row>
    <row r="2732" spans="1:13">
      <c r="A2732" s="1">
        <f>HYPERLINK("http://www.twitter.com/NathanBLawrence/status/984122126163726336", "984122126163726336")</f>
        <v/>
      </c>
      <c r="B2732" s="2" t="n">
        <v>43201.73116898148</v>
      </c>
      <c r="C2732" t="n">
        <v>1</v>
      </c>
      <c r="D2732" t="n">
        <v>0</v>
      </c>
      <c r="E2732" t="s">
        <v>2698</v>
      </c>
      <c r="F2732" t="s"/>
      <c r="G2732" t="s"/>
      <c r="H2732" t="s"/>
      <c r="I2732" t="s"/>
      <c r="J2732" t="n">
        <v>-0.2869</v>
      </c>
      <c r="K2732" t="n">
        <v>0.1</v>
      </c>
      <c r="L2732" t="n">
        <v>0.834</v>
      </c>
      <c r="M2732" t="n">
        <v>0.066</v>
      </c>
    </row>
    <row r="2733" spans="1:13">
      <c r="A2733" s="1">
        <f>HYPERLINK("http://www.twitter.com/NathanBLawrence/status/984121904763162625", "984121904763162625")</f>
        <v/>
      </c>
      <c r="B2733" s="2" t="n">
        <v>43201.73055555556</v>
      </c>
      <c r="C2733" t="n">
        <v>3</v>
      </c>
      <c r="D2733" t="n">
        <v>2</v>
      </c>
      <c r="E2733" t="s">
        <v>2699</v>
      </c>
      <c r="F2733" t="s"/>
      <c r="G2733" t="s"/>
      <c r="H2733" t="s"/>
      <c r="I2733" t="s"/>
      <c r="J2733" t="n">
        <v>0.5204</v>
      </c>
      <c r="K2733" t="n">
        <v>0.067</v>
      </c>
      <c r="L2733" t="n">
        <v>0.796</v>
      </c>
      <c r="M2733" t="n">
        <v>0.137</v>
      </c>
    </row>
    <row r="2734" spans="1:13">
      <c r="A2734" s="1">
        <f>HYPERLINK("http://www.twitter.com/NathanBLawrence/status/984115959945420801", "984115959945420801")</f>
        <v/>
      </c>
      <c r="B2734" s="2" t="n">
        <v>43201.7141550926</v>
      </c>
      <c r="C2734" t="n">
        <v>2</v>
      </c>
      <c r="D2734" t="n">
        <v>2</v>
      </c>
      <c r="E2734" t="s">
        <v>2700</v>
      </c>
      <c r="F2734" t="s"/>
      <c r="G2734" t="s"/>
      <c r="H2734" t="s"/>
      <c r="I2734" t="s"/>
      <c r="J2734" t="n">
        <v>0.2263</v>
      </c>
      <c r="K2734" t="n">
        <v>0.209</v>
      </c>
      <c r="L2734" t="n">
        <v>0.458</v>
      </c>
      <c r="M2734" t="n">
        <v>0.333</v>
      </c>
    </row>
    <row r="2735" spans="1:13">
      <c r="A2735" s="1">
        <f>HYPERLINK("http://www.twitter.com/NathanBLawrence/status/984059062680739840", "984059062680739840")</f>
        <v/>
      </c>
      <c r="B2735" s="2" t="n">
        <v>43201.55715277778</v>
      </c>
      <c r="C2735" t="n">
        <v>0</v>
      </c>
      <c r="D2735" t="n">
        <v>4</v>
      </c>
      <c r="E2735" t="s">
        <v>2701</v>
      </c>
      <c r="F2735" t="s"/>
      <c r="G2735" t="s"/>
      <c r="H2735" t="s"/>
      <c r="I2735" t="s"/>
      <c r="J2735" t="n">
        <v>0</v>
      </c>
      <c r="K2735" t="n">
        <v>0</v>
      </c>
      <c r="L2735" t="n">
        <v>1</v>
      </c>
      <c r="M2735" t="n">
        <v>0</v>
      </c>
    </row>
    <row r="2736" spans="1:13">
      <c r="A2736" s="1">
        <f>HYPERLINK("http://www.twitter.com/NathanBLawrence/status/984059049816633344", "984059049816633344")</f>
        <v/>
      </c>
      <c r="B2736" s="2" t="n">
        <v>43201.55711805556</v>
      </c>
      <c r="C2736" t="n">
        <v>0</v>
      </c>
      <c r="D2736" t="n">
        <v>4</v>
      </c>
      <c r="E2736" t="s">
        <v>2702</v>
      </c>
      <c r="F2736" t="s"/>
      <c r="G2736" t="s"/>
      <c r="H2736" t="s"/>
      <c r="I2736" t="s"/>
      <c r="J2736" t="n">
        <v>0</v>
      </c>
      <c r="K2736" t="n">
        <v>0</v>
      </c>
      <c r="L2736" t="n">
        <v>1</v>
      </c>
      <c r="M2736" t="n">
        <v>0</v>
      </c>
    </row>
    <row r="2737" spans="1:13">
      <c r="A2737" s="1">
        <f>HYPERLINK("http://www.twitter.com/NathanBLawrence/status/984059018888011776", "984059018888011776")</f>
        <v/>
      </c>
      <c r="B2737" s="2" t="n">
        <v>43201.55702546296</v>
      </c>
      <c r="C2737" t="n">
        <v>0</v>
      </c>
      <c r="D2737" t="n">
        <v>5</v>
      </c>
      <c r="E2737" t="s">
        <v>2703</v>
      </c>
      <c r="F2737">
        <f>HYPERLINK("http://pbs.twimg.com/media/Daf_hB-WAAEKzav.jpg", "http://pbs.twimg.com/media/Daf_hB-WAAEKzav.jpg")</f>
        <v/>
      </c>
      <c r="G2737">
        <f>HYPERLINK("http://pbs.twimg.com/media/Daf_h-zWkAAHyo4.jpg", "http://pbs.twimg.com/media/Daf_h-zWkAAHyo4.jpg")</f>
        <v/>
      </c>
      <c r="H2737">
        <f>HYPERLINK("http://pbs.twimg.com/media/Daf_ixPX0AENWOx.jpg", "http://pbs.twimg.com/media/Daf_ixPX0AENWOx.jpg")</f>
        <v/>
      </c>
      <c r="I2737" t="s"/>
      <c r="J2737" t="n">
        <v>0.4019</v>
      </c>
      <c r="K2737" t="n">
        <v>0</v>
      </c>
      <c r="L2737" t="n">
        <v>0.828</v>
      </c>
      <c r="M2737" t="n">
        <v>0.172</v>
      </c>
    </row>
    <row r="2738" spans="1:13">
      <c r="A2738" s="1">
        <f>HYPERLINK("http://www.twitter.com/NathanBLawrence/status/983948873415757824", "983948873415757824")</f>
        <v/>
      </c>
      <c r="B2738" s="2" t="n">
        <v>43201.2530787037</v>
      </c>
      <c r="C2738" t="n">
        <v>0</v>
      </c>
      <c r="D2738" t="n">
        <v>7</v>
      </c>
      <c r="E2738" t="s">
        <v>2704</v>
      </c>
      <c r="F2738" t="s"/>
      <c r="G2738" t="s"/>
      <c r="H2738" t="s"/>
      <c r="I2738" t="s"/>
      <c r="J2738" t="n">
        <v>-0.4939</v>
      </c>
      <c r="K2738" t="n">
        <v>0.122</v>
      </c>
      <c r="L2738" t="n">
        <v>0.878</v>
      </c>
      <c r="M2738" t="n">
        <v>0</v>
      </c>
    </row>
    <row r="2739" spans="1:13">
      <c r="A2739" s="1">
        <f>HYPERLINK("http://www.twitter.com/NathanBLawrence/status/983948700543258625", "983948700543258625")</f>
        <v/>
      </c>
      <c r="B2739" s="2" t="n">
        <v>43201.25260416666</v>
      </c>
      <c r="C2739" t="n">
        <v>0</v>
      </c>
      <c r="D2739" t="n">
        <v>0</v>
      </c>
      <c r="E2739" t="s">
        <v>2705</v>
      </c>
      <c r="F2739" t="s"/>
      <c r="G2739" t="s"/>
      <c r="H2739" t="s"/>
      <c r="I2739" t="s"/>
      <c r="J2739" t="n">
        <v>-0.2235</v>
      </c>
      <c r="K2739" t="n">
        <v>0.076</v>
      </c>
      <c r="L2739" t="n">
        <v>0.924</v>
      </c>
      <c r="M2739" t="n">
        <v>0</v>
      </c>
    </row>
    <row r="2740" spans="1:13">
      <c r="A2740" s="1">
        <f>HYPERLINK("http://www.twitter.com/NathanBLawrence/status/983934274658332672", "983934274658332672")</f>
        <v/>
      </c>
      <c r="B2740" s="2" t="n">
        <v>43201.21280092592</v>
      </c>
      <c r="C2740" t="n">
        <v>0</v>
      </c>
      <c r="D2740" t="n">
        <v>1407</v>
      </c>
      <c r="E2740" t="s">
        <v>2706</v>
      </c>
      <c r="F2740" t="s"/>
      <c r="G2740" t="s"/>
      <c r="H2740" t="s"/>
      <c r="I2740" t="s"/>
      <c r="J2740" t="n">
        <v>-0.3818</v>
      </c>
      <c r="K2740" t="n">
        <v>0.102</v>
      </c>
      <c r="L2740" t="n">
        <v>0.898</v>
      </c>
      <c r="M2740" t="n">
        <v>0</v>
      </c>
    </row>
    <row r="2741" spans="1:13">
      <c r="A2741" s="1">
        <f>HYPERLINK("http://www.twitter.com/NathanBLawrence/status/983934208832876544", "983934208832876544")</f>
        <v/>
      </c>
      <c r="B2741" s="2" t="n">
        <v>43201.21261574074</v>
      </c>
      <c r="C2741" t="n">
        <v>0</v>
      </c>
      <c r="D2741" t="n">
        <v>5307</v>
      </c>
      <c r="E2741" t="s">
        <v>2707</v>
      </c>
      <c r="F2741" t="s"/>
      <c r="G2741" t="s"/>
      <c r="H2741" t="s"/>
      <c r="I2741" t="s"/>
      <c r="J2741" t="n">
        <v>-0.4717</v>
      </c>
      <c r="K2741" t="n">
        <v>0.139</v>
      </c>
      <c r="L2741" t="n">
        <v>0.861</v>
      </c>
      <c r="M2741" t="n">
        <v>0</v>
      </c>
    </row>
    <row r="2742" spans="1:13">
      <c r="A2742" s="1">
        <f>HYPERLINK("http://www.twitter.com/NathanBLawrence/status/983934135042535424", "983934135042535424")</f>
        <v/>
      </c>
      <c r="B2742" s="2" t="n">
        <v>43201.21241898148</v>
      </c>
      <c r="C2742" t="n">
        <v>0</v>
      </c>
      <c r="D2742" t="n">
        <v>1937</v>
      </c>
      <c r="E2742" t="s">
        <v>2708</v>
      </c>
      <c r="F2742" t="s"/>
      <c r="G2742" t="s"/>
      <c r="H2742" t="s"/>
      <c r="I2742" t="s"/>
      <c r="J2742" t="n">
        <v>-0.296</v>
      </c>
      <c r="K2742" t="n">
        <v>0.104</v>
      </c>
      <c r="L2742" t="n">
        <v>0.896</v>
      </c>
      <c r="M2742" t="n">
        <v>0</v>
      </c>
    </row>
    <row r="2743" spans="1:13">
      <c r="A2743" s="1">
        <f>HYPERLINK("http://www.twitter.com/NathanBLawrence/status/983934102637248512", "983934102637248512")</f>
        <v/>
      </c>
      <c r="B2743" s="2" t="n">
        <v>43201.21232638889</v>
      </c>
      <c r="C2743" t="n">
        <v>0</v>
      </c>
      <c r="D2743" t="n">
        <v>920</v>
      </c>
      <c r="E2743" t="s">
        <v>2709</v>
      </c>
      <c r="F2743" t="s"/>
      <c r="G2743" t="s"/>
      <c r="H2743" t="s"/>
      <c r="I2743" t="s"/>
      <c r="J2743" t="n">
        <v>-0.8687</v>
      </c>
      <c r="K2743" t="n">
        <v>0.308</v>
      </c>
      <c r="L2743" t="n">
        <v>0.6919999999999999</v>
      </c>
      <c r="M2743" t="n">
        <v>0</v>
      </c>
    </row>
    <row r="2744" spans="1:13">
      <c r="A2744" s="1">
        <f>HYPERLINK("http://www.twitter.com/NathanBLawrence/status/983913032521838592", "983913032521838592")</f>
        <v/>
      </c>
      <c r="B2744" s="2" t="n">
        <v>43201.15417824074</v>
      </c>
      <c r="C2744" t="n">
        <v>0</v>
      </c>
      <c r="D2744" t="n">
        <v>12</v>
      </c>
      <c r="E2744" t="s">
        <v>2710</v>
      </c>
      <c r="F2744" t="s"/>
      <c r="G2744" t="s"/>
      <c r="H2744" t="s"/>
      <c r="I2744" t="s"/>
      <c r="J2744" t="n">
        <v>-0.34</v>
      </c>
      <c r="K2744" t="n">
        <v>0.13</v>
      </c>
      <c r="L2744" t="n">
        <v>0.87</v>
      </c>
      <c r="M2744" t="n">
        <v>0</v>
      </c>
    </row>
    <row r="2745" spans="1:13">
      <c r="A2745" s="1">
        <f>HYPERLINK("http://www.twitter.com/NathanBLawrence/status/983902850861469697", "983902850861469697")</f>
        <v/>
      </c>
      <c r="B2745" s="2" t="n">
        <v>43201.12608796296</v>
      </c>
      <c r="C2745" t="n">
        <v>0</v>
      </c>
      <c r="D2745" t="n">
        <v>0</v>
      </c>
      <c r="E2745" t="s">
        <v>2711</v>
      </c>
      <c r="F2745" t="s"/>
      <c r="G2745" t="s"/>
      <c r="H2745" t="s"/>
      <c r="I2745" t="s"/>
      <c r="J2745" t="n">
        <v>-0.0387</v>
      </c>
      <c r="K2745" t="n">
        <v>0.08699999999999999</v>
      </c>
      <c r="L2745" t="n">
        <v>0.913</v>
      </c>
      <c r="M2745" t="n">
        <v>0</v>
      </c>
    </row>
    <row r="2746" spans="1:13">
      <c r="A2746" s="1">
        <f>HYPERLINK("http://www.twitter.com/NathanBLawrence/status/983902756787445761", "983902756787445761")</f>
        <v/>
      </c>
      <c r="B2746" s="2" t="n">
        <v>43201.12582175926</v>
      </c>
      <c r="C2746" t="n">
        <v>0</v>
      </c>
      <c r="D2746" t="n">
        <v>0</v>
      </c>
      <c r="E2746" t="s">
        <v>2712</v>
      </c>
      <c r="F2746" t="s"/>
      <c r="G2746" t="s"/>
      <c r="H2746" t="s"/>
      <c r="I2746" t="s"/>
      <c r="J2746" t="n">
        <v>-0.1531</v>
      </c>
      <c r="K2746" t="n">
        <v>0.097</v>
      </c>
      <c r="L2746" t="n">
        <v>0.824</v>
      </c>
      <c r="M2746" t="n">
        <v>0.079</v>
      </c>
    </row>
    <row r="2747" spans="1:13">
      <c r="A2747" s="1">
        <f>HYPERLINK("http://www.twitter.com/NathanBLawrence/status/983877358414331904", "983877358414331904")</f>
        <v/>
      </c>
      <c r="B2747" s="2" t="n">
        <v>43201.05574074074</v>
      </c>
      <c r="C2747" t="n">
        <v>5</v>
      </c>
      <c r="D2747" t="n">
        <v>2</v>
      </c>
      <c r="E2747" t="s">
        <v>2713</v>
      </c>
      <c r="F2747" t="s"/>
      <c r="G2747" t="s"/>
      <c r="H2747" t="s"/>
      <c r="I2747" t="s"/>
      <c r="J2747" t="n">
        <v>-0.8126</v>
      </c>
      <c r="K2747" t="n">
        <v>0.514</v>
      </c>
      <c r="L2747" t="n">
        <v>0.486</v>
      </c>
      <c r="M2747" t="n">
        <v>0</v>
      </c>
    </row>
    <row r="2748" spans="1:13">
      <c r="A2748" s="1">
        <f>HYPERLINK("http://www.twitter.com/NathanBLawrence/status/983877313602433024", "983877313602433024")</f>
        <v/>
      </c>
      <c r="B2748" s="2" t="n">
        <v>43201.05561342592</v>
      </c>
      <c r="C2748" t="n">
        <v>3</v>
      </c>
      <c r="D2748" t="n">
        <v>0</v>
      </c>
      <c r="E2748" t="s">
        <v>2714</v>
      </c>
      <c r="F2748" t="s"/>
      <c r="G2748" t="s"/>
      <c r="H2748" t="s"/>
      <c r="I2748" t="s"/>
      <c r="J2748" t="n">
        <v>-0.4767</v>
      </c>
      <c r="K2748" t="n">
        <v>0.307</v>
      </c>
      <c r="L2748" t="n">
        <v>0.6929999999999999</v>
      </c>
      <c r="M2748" t="n">
        <v>0</v>
      </c>
    </row>
    <row r="2749" spans="1:13">
      <c r="A2749" s="1">
        <f>HYPERLINK("http://www.twitter.com/NathanBLawrence/status/983841941438771202", "983841941438771202")</f>
        <v/>
      </c>
      <c r="B2749" s="2" t="n">
        <v>43200.95800925926</v>
      </c>
      <c r="C2749" t="n">
        <v>0</v>
      </c>
      <c r="D2749" t="n">
        <v>2</v>
      </c>
      <c r="E2749" t="s">
        <v>2715</v>
      </c>
      <c r="F2749">
        <f>HYPERLINK("http://pbs.twimg.com/media/DadDbc5VwAA5Kps.jpg", "http://pbs.twimg.com/media/DadDbc5VwAA5Kps.jpg")</f>
        <v/>
      </c>
      <c r="G2749" t="s"/>
      <c r="H2749" t="s"/>
      <c r="I2749" t="s"/>
      <c r="J2749" t="n">
        <v>-0.4767</v>
      </c>
      <c r="K2749" t="n">
        <v>0.154</v>
      </c>
      <c r="L2749" t="n">
        <v>0.846</v>
      </c>
      <c r="M2749" t="n">
        <v>0</v>
      </c>
    </row>
    <row r="2750" spans="1:13">
      <c r="A2750" s="1">
        <f>HYPERLINK("http://www.twitter.com/NathanBLawrence/status/983841887567122435", "983841887567122435")</f>
        <v/>
      </c>
      <c r="B2750" s="2" t="n">
        <v>43200.9578587963</v>
      </c>
      <c r="C2750" t="n">
        <v>0</v>
      </c>
      <c r="D2750" t="n">
        <v>622</v>
      </c>
      <c r="E2750" t="s">
        <v>2716</v>
      </c>
      <c r="F2750">
        <f>HYPERLINK("http://pbs.twimg.com/media/DadAIzvVwAA5v10.jpg", "http://pbs.twimg.com/media/DadAIzvVwAA5v10.jpg")</f>
        <v/>
      </c>
      <c r="G2750" t="s"/>
      <c r="H2750" t="s"/>
      <c r="I2750" t="s"/>
      <c r="J2750" t="n">
        <v>0.2846</v>
      </c>
      <c r="K2750" t="n">
        <v>0.124</v>
      </c>
      <c r="L2750" t="n">
        <v>0.663</v>
      </c>
      <c r="M2750" t="n">
        <v>0.213</v>
      </c>
    </row>
    <row r="2751" spans="1:13">
      <c r="A2751" s="1">
        <f>HYPERLINK("http://www.twitter.com/NathanBLawrence/status/983841718473777153", "983841718473777153")</f>
        <v/>
      </c>
      <c r="B2751" s="2" t="n">
        <v>43200.95739583333</v>
      </c>
      <c r="C2751" t="n">
        <v>0</v>
      </c>
      <c r="D2751" t="n">
        <v>982</v>
      </c>
      <c r="E2751" t="s">
        <v>2717</v>
      </c>
      <c r="F2751">
        <f>HYPERLINK("http://pbs.twimg.com/media/DacDMutWsAAn0tA.jpg", "http://pbs.twimg.com/media/DacDMutWsAAn0tA.jpg")</f>
        <v/>
      </c>
      <c r="G2751" t="s"/>
      <c r="H2751" t="s"/>
      <c r="I2751" t="s"/>
      <c r="J2751" t="n">
        <v>0</v>
      </c>
      <c r="K2751" t="n">
        <v>0</v>
      </c>
      <c r="L2751" t="n">
        <v>1</v>
      </c>
      <c r="M2751" t="n">
        <v>0</v>
      </c>
    </row>
    <row r="2752" spans="1:13">
      <c r="A2752" s="1">
        <f>HYPERLINK("http://www.twitter.com/NathanBLawrence/status/983841687104577536", "983841687104577536")</f>
        <v/>
      </c>
      <c r="B2752" s="2" t="n">
        <v>43200.95730324074</v>
      </c>
      <c r="C2752" t="n">
        <v>0</v>
      </c>
      <c r="D2752" t="n">
        <v>49</v>
      </c>
      <c r="E2752" t="s">
        <v>2718</v>
      </c>
      <c r="F2752">
        <f>HYPERLINK("http://pbs.twimg.com/media/DaRXsHNVMAAQZOR.png", "http://pbs.twimg.com/media/DaRXsHNVMAAQZOR.png")</f>
        <v/>
      </c>
      <c r="G2752" t="s"/>
      <c r="H2752" t="s"/>
      <c r="I2752" t="s"/>
      <c r="J2752" t="n">
        <v>0.34</v>
      </c>
      <c r="K2752" t="n">
        <v>0</v>
      </c>
      <c r="L2752" t="n">
        <v>0.876</v>
      </c>
      <c r="M2752" t="n">
        <v>0.124</v>
      </c>
    </row>
    <row r="2753" spans="1:13">
      <c r="A2753" s="1">
        <f>HYPERLINK("http://www.twitter.com/NathanBLawrence/status/983841630645047297", "983841630645047297")</f>
        <v/>
      </c>
      <c r="B2753" s="2" t="n">
        <v>43200.95715277778</v>
      </c>
      <c r="C2753" t="n">
        <v>0</v>
      </c>
      <c r="D2753" t="n">
        <v>150</v>
      </c>
      <c r="E2753" t="s">
        <v>2719</v>
      </c>
      <c r="F2753" t="s"/>
      <c r="G2753" t="s"/>
      <c r="H2753" t="s"/>
      <c r="I2753" t="s"/>
      <c r="J2753" t="n">
        <v>-0.7013</v>
      </c>
      <c r="K2753" t="n">
        <v>0.234</v>
      </c>
      <c r="L2753" t="n">
        <v>0.766</v>
      </c>
      <c r="M2753" t="n">
        <v>0</v>
      </c>
    </row>
    <row r="2754" spans="1:13">
      <c r="A2754" s="1">
        <f>HYPERLINK("http://www.twitter.com/NathanBLawrence/status/983841600945229824", "983841600945229824")</f>
        <v/>
      </c>
      <c r="B2754" s="2" t="n">
        <v>43200.95707175926</v>
      </c>
      <c r="C2754" t="n">
        <v>0</v>
      </c>
      <c r="D2754" t="n">
        <v>553</v>
      </c>
      <c r="E2754" t="s">
        <v>2720</v>
      </c>
      <c r="F2754" t="s"/>
      <c r="G2754" t="s"/>
      <c r="H2754" t="s"/>
      <c r="I2754" t="s"/>
      <c r="J2754" t="n">
        <v>0.4939</v>
      </c>
      <c r="K2754" t="n">
        <v>0</v>
      </c>
      <c r="L2754" t="n">
        <v>0.802</v>
      </c>
      <c r="M2754" t="n">
        <v>0.198</v>
      </c>
    </row>
    <row r="2755" spans="1:13">
      <c r="A2755" s="1">
        <f>HYPERLINK("http://www.twitter.com/NathanBLawrence/status/983841578421772288", "983841578421772288")</f>
        <v/>
      </c>
      <c r="B2755" s="2" t="n">
        <v>43200.95700231481</v>
      </c>
      <c r="C2755" t="n">
        <v>0</v>
      </c>
      <c r="D2755" t="n">
        <v>4</v>
      </c>
      <c r="E2755" t="s">
        <v>2721</v>
      </c>
      <c r="F2755">
        <f>HYPERLINK("http://pbs.twimg.com/media/DadOcrdUQAAc60T.jpg", "http://pbs.twimg.com/media/DadOcrdUQAAc60T.jpg")</f>
        <v/>
      </c>
      <c r="G2755" t="s"/>
      <c r="H2755" t="s"/>
      <c r="I2755" t="s"/>
      <c r="J2755" t="n">
        <v>0.3818</v>
      </c>
      <c r="K2755" t="n">
        <v>0</v>
      </c>
      <c r="L2755" t="n">
        <v>0.874</v>
      </c>
      <c r="M2755" t="n">
        <v>0.126</v>
      </c>
    </row>
    <row r="2756" spans="1:13">
      <c r="A2756" s="1">
        <f>HYPERLINK("http://www.twitter.com/NathanBLawrence/status/983841529021321217", "983841529021321217")</f>
        <v/>
      </c>
      <c r="B2756" s="2" t="n">
        <v>43200.956875</v>
      </c>
      <c r="C2756" t="n">
        <v>0</v>
      </c>
      <c r="D2756" t="n">
        <v>3225</v>
      </c>
      <c r="E2756" t="s">
        <v>2722</v>
      </c>
      <c r="F2756" t="s"/>
      <c r="G2756" t="s"/>
      <c r="H2756" t="s"/>
      <c r="I2756" t="s"/>
      <c r="J2756" t="n">
        <v>0</v>
      </c>
      <c r="K2756" t="n">
        <v>0</v>
      </c>
      <c r="L2756" t="n">
        <v>1</v>
      </c>
      <c r="M2756" t="n">
        <v>0</v>
      </c>
    </row>
    <row r="2757" spans="1:13">
      <c r="A2757" s="1">
        <f>HYPERLINK("http://www.twitter.com/NathanBLawrence/status/983841500542001152", "983841500542001152")</f>
        <v/>
      </c>
      <c r="B2757" s="2" t="n">
        <v>43200.95679398148</v>
      </c>
      <c r="C2757" t="n">
        <v>0</v>
      </c>
      <c r="D2757" t="n">
        <v>8622</v>
      </c>
      <c r="E2757" t="s">
        <v>2723</v>
      </c>
      <c r="F2757" t="s"/>
      <c r="G2757" t="s"/>
      <c r="H2757" t="s"/>
      <c r="I2757" t="s"/>
      <c r="J2757" t="n">
        <v>0.2263</v>
      </c>
      <c r="K2757" t="n">
        <v>0</v>
      </c>
      <c r="L2757" t="n">
        <v>0.909</v>
      </c>
      <c r="M2757" t="n">
        <v>0.091</v>
      </c>
    </row>
    <row r="2758" spans="1:13">
      <c r="A2758" s="1">
        <f>HYPERLINK("http://www.twitter.com/NathanBLawrence/status/983841477968220160", "983841477968220160")</f>
        <v/>
      </c>
      <c r="B2758" s="2" t="n">
        <v>43200.95672453703</v>
      </c>
      <c r="C2758" t="n">
        <v>0</v>
      </c>
      <c r="D2758" t="n">
        <v>8758</v>
      </c>
      <c r="E2758" t="s">
        <v>2724</v>
      </c>
      <c r="F2758" t="s"/>
      <c r="G2758" t="s"/>
      <c r="H2758" t="s"/>
      <c r="I2758" t="s"/>
      <c r="J2758" t="n">
        <v>0.3612</v>
      </c>
      <c r="K2758" t="n">
        <v>0.121</v>
      </c>
      <c r="L2758" t="n">
        <v>0.673</v>
      </c>
      <c r="M2758" t="n">
        <v>0.205</v>
      </c>
    </row>
    <row r="2759" spans="1:13">
      <c r="A2759" s="1">
        <f>HYPERLINK("http://www.twitter.com/NathanBLawrence/status/983841218458210305", "983841218458210305")</f>
        <v/>
      </c>
      <c r="B2759" s="2" t="n">
        <v>43200.95601851852</v>
      </c>
      <c r="C2759" t="n">
        <v>0</v>
      </c>
      <c r="D2759" t="n">
        <v>5</v>
      </c>
      <c r="E2759" t="s">
        <v>2725</v>
      </c>
      <c r="F2759">
        <f>HYPERLINK("https://video.twimg.com/ext_tw_video/983777437707223040/pu/vid/334x180/elbHMeJt1wCbNmiQ.mp4?tag=2", "https://video.twimg.com/ext_tw_video/983777437707223040/pu/vid/334x180/elbHMeJt1wCbNmiQ.mp4?tag=2")</f>
        <v/>
      </c>
      <c r="G2759" t="s"/>
      <c r="H2759" t="s"/>
      <c r="I2759" t="s"/>
      <c r="J2759" t="n">
        <v>-0.7579</v>
      </c>
      <c r="K2759" t="n">
        <v>0.289</v>
      </c>
      <c r="L2759" t="n">
        <v>0.711</v>
      </c>
      <c r="M2759" t="n">
        <v>0</v>
      </c>
    </row>
    <row r="2760" spans="1:13">
      <c r="A2760" s="1">
        <f>HYPERLINK("http://www.twitter.com/NathanBLawrence/status/983840915637919744", "983840915637919744")</f>
        <v/>
      </c>
      <c r="B2760" s="2" t="n">
        <v>43200.95517361111</v>
      </c>
      <c r="C2760" t="n">
        <v>0</v>
      </c>
      <c r="D2760" t="n">
        <v>0</v>
      </c>
      <c r="E2760" t="s">
        <v>2726</v>
      </c>
      <c r="F2760" t="s"/>
      <c r="G2760" t="s"/>
      <c r="H2760" t="s"/>
      <c r="I2760" t="s"/>
      <c r="J2760" t="n">
        <v>0.5994</v>
      </c>
      <c r="K2760" t="n">
        <v>0.063</v>
      </c>
      <c r="L2760" t="n">
        <v>0.762</v>
      </c>
      <c r="M2760" t="n">
        <v>0.175</v>
      </c>
    </row>
    <row r="2761" spans="1:13">
      <c r="A2761" s="1">
        <f>HYPERLINK("http://www.twitter.com/NathanBLawrence/status/983831721891192835", "983831721891192835")</f>
        <v/>
      </c>
      <c r="B2761" s="2" t="n">
        <v>43200.92980324074</v>
      </c>
      <c r="C2761" t="n">
        <v>0</v>
      </c>
      <c r="D2761" t="n">
        <v>10</v>
      </c>
      <c r="E2761" t="s">
        <v>2727</v>
      </c>
      <c r="F2761" t="s"/>
      <c r="G2761" t="s"/>
      <c r="H2761" t="s"/>
      <c r="I2761" t="s"/>
      <c r="J2761" t="n">
        <v>-0.0772</v>
      </c>
      <c r="K2761" t="n">
        <v>0.075</v>
      </c>
      <c r="L2761" t="n">
        <v>0.925</v>
      </c>
      <c r="M2761" t="n">
        <v>0</v>
      </c>
    </row>
    <row r="2762" spans="1:13">
      <c r="A2762" s="1">
        <f>HYPERLINK("http://www.twitter.com/NathanBLawrence/status/983831618333921281", "983831618333921281")</f>
        <v/>
      </c>
      <c r="B2762" s="2" t="n">
        <v>43200.92952546296</v>
      </c>
      <c r="C2762" t="n">
        <v>4</v>
      </c>
      <c r="D2762" t="n">
        <v>2</v>
      </c>
      <c r="E2762" t="s">
        <v>2728</v>
      </c>
      <c r="F2762" t="s"/>
      <c r="G2762" t="s"/>
      <c r="H2762" t="s"/>
      <c r="I2762" t="s"/>
      <c r="J2762" t="n">
        <v>-0.6114000000000001</v>
      </c>
      <c r="K2762" t="n">
        <v>0.266</v>
      </c>
      <c r="L2762" t="n">
        <v>0.734</v>
      </c>
      <c r="M2762" t="n">
        <v>0</v>
      </c>
    </row>
    <row r="2763" spans="1:13">
      <c r="A2763" s="1">
        <f>HYPERLINK("http://www.twitter.com/NathanBLawrence/status/983831490265051136", "983831490265051136")</f>
        <v/>
      </c>
      <c r="B2763" s="2" t="n">
        <v>43200.92916666667</v>
      </c>
      <c r="C2763" t="n">
        <v>1</v>
      </c>
      <c r="D2763" t="n">
        <v>0</v>
      </c>
      <c r="E2763" t="s">
        <v>2729</v>
      </c>
      <c r="F2763" t="s"/>
      <c r="G2763" t="s"/>
      <c r="H2763" t="s"/>
      <c r="I2763" t="s"/>
      <c r="J2763" t="n">
        <v>0.4215</v>
      </c>
      <c r="K2763" t="n">
        <v>0</v>
      </c>
      <c r="L2763" t="n">
        <v>0.417</v>
      </c>
      <c r="M2763" t="n">
        <v>0.583</v>
      </c>
    </row>
    <row r="2764" spans="1:13">
      <c r="A2764" s="1">
        <f>HYPERLINK("http://www.twitter.com/NathanBLawrence/status/983831463979307008", "983831463979307008")</f>
        <v/>
      </c>
      <c r="B2764" s="2" t="n">
        <v>43200.92909722222</v>
      </c>
      <c r="C2764" t="n">
        <v>0</v>
      </c>
      <c r="D2764" t="n">
        <v>6</v>
      </c>
      <c r="E2764" t="s">
        <v>2730</v>
      </c>
      <c r="F2764" t="s"/>
      <c r="G2764" t="s"/>
      <c r="H2764" t="s"/>
      <c r="I2764" t="s"/>
      <c r="J2764" t="n">
        <v>0</v>
      </c>
      <c r="K2764" t="n">
        <v>0</v>
      </c>
      <c r="L2764" t="n">
        <v>1</v>
      </c>
      <c r="M2764" t="n">
        <v>0</v>
      </c>
    </row>
    <row r="2765" spans="1:13">
      <c r="A2765" s="1">
        <f>HYPERLINK("http://www.twitter.com/NathanBLawrence/status/983831351177760768", "983831351177760768")</f>
        <v/>
      </c>
      <c r="B2765" s="2" t="n">
        <v>43200.92878472222</v>
      </c>
      <c r="C2765" t="n">
        <v>0</v>
      </c>
      <c r="D2765" t="n">
        <v>5</v>
      </c>
      <c r="E2765" t="s">
        <v>2731</v>
      </c>
      <c r="F2765" t="s"/>
      <c r="G2765" t="s"/>
      <c r="H2765" t="s"/>
      <c r="I2765" t="s"/>
      <c r="J2765" t="n">
        <v>0.3182</v>
      </c>
      <c r="K2765" t="n">
        <v>0</v>
      </c>
      <c r="L2765" t="n">
        <v>0.905</v>
      </c>
      <c r="M2765" t="n">
        <v>0.095</v>
      </c>
    </row>
    <row r="2766" spans="1:13">
      <c r="A2766" s="1">
        <f>HYPERLINK("http://www.twitter.com/NathanBLawrence/status/983830894921289729", "983830894921289729")</f>
        <v/>
      </c>
      <c r="B2766" s="2" t="n">
        <v>43200.92752314815</v>
      </c>
      <c r="C2766" t="n">
        <v>0</v>
      </c>
      <c r="D2766" t="n">
        <v>3</v>
      </c>
      <c r="E2766" t="s">
        <v>2732</v>
      </c>
      <c r="F2766" t="s"/>
      <c r="G2766" t="s"/>
      <c r="H2766" t="s"/>
      <c r="I2766" t="s"/>
      <c r="J2766" t="n">
        <v>0.923</v>
      </c>
      <c r="K2766" t="n">
        <v>0</v>
      </c>
      <c r="L2766" t="n">
        <v>0.53</v>
      </c>
      <c r="M2766" t="n">
        <v>0.47</v>
      </c>
    </row>
    <row r="2767" spans="1:13">
      <c r="A2767" s="1">
        <f>HYPERLINK("http://www.twitter.com/NathanBLawrence/status/983830822515105792", "983830822515105792")</f>
        <v/>
      </c>
      <c r="B2767" s="2" t="n">
        <v>43200.92732638889</v>
      </c>
      <c r="C2767" t="n">
        <v>9</v>
      </c>
      <c r="D2767" t="n">
        <v>4</v>
      </c>
      <c r="E2767" t="s">
        <v>2733</v>
      </c>
      <c r="F2767" t="s"/>
      <c r="G2767" t="s"/>
      <c r="H2767" t="s"/>
      <c r="I2767" t="s"/>
      <c r="J2767" t="n">
        <v>0</v>
      </c>
      <c r="K2767" t="n">
        <v>0</v>
      </c>
      <c r="L2767" t="n">
        <v>1</v>
      </c>
      <c r="M2767" t="n">
        <v>0</v>
      </c>
    </row>
    <row r="2768" spans="1:13">
      <c r="A2768" s="1">
        <f>HYPERLINK("http://www.twitter.com/NathanBLawrence/status/983830726222254080", "983830726222254080")</f>
        <v/>
      </c>
      <c r="B2768" s="2" t="n">
        <v>43200.92706018518</v>
      </c>
      <c r="C2768" t="n">
        <v>0</v>
      </c>
      <c r="D2768" t="n">
        <v>8</v>
      </c>
      <c r="E2768" t="s">
        <v>2734</v>
      </c>
      <c r="F2768" t="s"/>
      <c r="G2768" t="s"/>
      <c r="H2768" t="s"/>
      <c r="I2768" t="s"/>
      <c r="J2768" t="n">
        <v>-0.7717000000000001</v>
      </c>
      <c r="K2768" t="n">
        <v>0.358</v>
      </c>
      <c r="L2768" t="n">
        <v>0.642</v>
      </c>
      <c r="M2768" t="n">
        <v>0</v>
      </c>
    </row>
    <row r="2769" spans="1:13">
      <c r="A2769" s="1">
        <f>HYPERLINK("http://www.twitter.com/NathanBLawrence/status/983830677358612480", "983830677358612480")</f>
        <v/>
      </c>
      <c r="B2769" s="2" t="n">
        <v>43200.9269212963</v>
      </c>
      <c r="C2769" t="n">
        <v>0</v>
      </c>
      <c r="D2769" t="n">
        <v>8</v>
      </c>
      <c r="E2769" t="s">
        <v>2735</v>
      </c>
      <c r="F2769" t="s"/>
      <c r="G2769" t="s"/>
      <c r="H2769" t="s"/>
      <c r="I2769" t="s"/>
      <c r="J2769" t="n">
        <v>0</v>
      </c>
      <c r="K2769" t="n">
        <v>0</v>
      </c>
      <c r="L2769" t="n">
        <v>1</v>
      </c>
      <c r="M2769" t="n">
        <v>0</v>
      </c>
    </row>
    <row r="2770" spans="1:13">
      <c r="A2770" s="1">
        <f>HYPERLINK("http://www.twitter.com/NathanBLawrence/status/983830616750870528", "983830616750870528")</f>
        <v/>
      </c>
      <c r="B2770" s="2" t="n">
        <v>43200.92675925926</v>
      </c>
      <c r="C2770" t="n">
        <v>0</v>
      </c>
      <c r="D2770" t="n">
        <v>39</v>
      </c>
      <c r="E2770" t="s">
        <v>2736</v>
      </c>
      <c r="F2770" t="s"/>
      <c r="G2770" t="s"/>
      <c r="H2770" t="s"/>
      <c r="I2770" t="s"/>
      <c r="J2770" t="n">
        <v>0</v>
      </c>
      <c r="K2770" t="n">
        <v>0</v>
      </c>
      <c r="L2770" t="n">
        <v>1</v>
      </c>
      <c r="M2770" t="n">
        <v>0</v>
      </c>
    </row>
    <row r="2771" spans="1:13">
      <c r="A2771" s="1">
        <f>HYPERLINK("http://www.twitter.com/NathanBLawrence/status/983825126557970432", "983825126557970432")</f>
        <v/>
      </c>
      <c r="B2771" s="2" t="n">
        <v>43200.9116087963</v>
      </c>
      <c r="C2771" t="n">
        <v>0</v>
      </c>
      <c r="D2771" t="n">
        <v>3</v>
      </c>
      <c r="E2771" t="s">
        <v>2737</v>
      </c>
      <c r="F2771" t="s"/>
      <c r="G2771" t="s"/>
      <c r="H2771" t="s"/>
      <c r="I2771" t="s"/>
      <c r="J2771" t="n">
        <v>0.3818</v>
      </c>
      <c r="K2771" t="n">
        <v>0</v>
      </c>
      <c r="L2771" t="n">
        <v>0.902</v>
      </c>
      <c r="M2771" t="n">
        <v>0.098</v>
      </c>
    </row>
    <row r="2772" spans="1:13">
      <c r="A2772" s="1">
        <f>HYPERLINK("http://www.twitter.com/NathanBLawrence/status/983824896210952193", "983824896210952193")</f>
        <v/>
      </c>
      <c r="B2772" s="2" t="n">
        <v>43200.91097222222</v>
      </c>
      <c r="C2772" t="n">
        <v>0</v>
      </c>
      <c r="D2772" t="n">
        <v>4</v>
      </c>
      <c r="E2772" t="s">
        <v>2738</v>
      </c>
      <c r="F2772" t="s"/>
      <c r="G2772" t="s"/>
      <c r="H2772" t="s"/>
      <c r="I2772" t="s"/>
      <c r="J2772" t="n">
        <v>0</v>
      </c>
      <c r="K2772" t="n">
        <v>0</v>
      </c>
      <c r="L2772" t="n">
        <v>1</v>
      </c>
      <c r="M2772" t="n">
        <v>0</v>
      </c>
    </row>
    <row r="2773" spans="1:13">
      <c r="A2773" s="1">
        <f>HYPERLINK("http://www.twitter.com/NathanBLawrence/status/983824873645576192", "983824873645576192")</f>
        <v/>
      </c>
      <c r="B2773" s="2" t="n">
        <v>43200.91091435185</v>
      </c>
      <c r="C2773" t="n">
        <v>0</v>
      </c>
      <c r="D2773" t="n">
        <v>1268</v>
      </c>
      <c r="E2773" t="s">
        <v>2739</v>
      </c>
      <c r="F2773" t="s"/>
      <c r="G2773" t="s"/>
      <c r="H2773" t="s"/>
      <c r="I2773" t="s"/>
      <c r="J2773" t="n">
        <v>0.31</v>
      </c>
      <c r="K2773" t="n">
        <v>0.228</v>
      </c>
      <c r="L2773" t="n">
        <v>0.505</v>
      </c>
      <c r="M2773" t="n">
        <v>0.267</v>
      </c>
    </row>
    <row r="2774" spans="1:13">
      <c r="A2774" s="1">
        <f>HYPERLINK("http://www.twitter.com/NathanBLawrence/status/983821919467311105", "983821919467311105")</f>
        <v/>
      </c>
      <c r="B2774" s="2" t="n">
        <v>43200.90275462963</v>
      </c>
      <c r="C2774" t="n">
        <v>0</v>
      </c>
      <c r="D2774" t="n">
        <v>9</v>
      </c>
      <c r="E2774" t="s">
        <v>2740</v>
      </c>
      <c r="F2774">
        <f>HYPERLINK("http://pbs.twimg.com/media/Dac8YAsU0AAm1lz.jpg", "http://pbs.twimg.com/media/Dac8YAsU0AAm1lz.jpg")</f>
        <v/>
      </c>
      <c r="G2774" t="s"/>
      <c r="H2774" t="s"/>
      <c r="I2774" t="s"/>
      <c r="J2774" t="n">
        <v>-0.7003</v>
      </c>
      <c r="K2774" t="n">
        <v>0.195</v>
      </c>
      <c r="L2774" t="n">
        <v>0.805</v>
      </c>
      <c r="M2774" t="n">
        <v>0</v>
      </c>
    </row>
    <row r="2775" spans="1:13">
      <c r="A2775" s="1">
        <f>HYPERLINK("http://www.twitter.com/NathanBLawrence/status/983821711337492480", "983821711337492480")</f>
        <v/>
      </c>
      <c r="B2775" s="2" t="n">
        <v>43200.9021875</v>
      </c>
      <c r="C2775" t="n">
        <v>0</v>
      </c>
      <c r="D2775" t="n">
        <v>3</v>
      </c>
      <c r="E2775" t="s">
        <v>2741</v>
      </c>
      <c r="F2775" t="s"/>
      <c r="G2775" t="s"/>
      <c r="H2775" t="s"/>
      <c r="I2775" t="s"/>
      <c r="J2775" t="n">
        <v>-0.3612</v>
      </c>
      <c r="K2775" t="n">
        <v>0.281</v>
      </c>
      <c r="L2775" t="n">
        <v>0.456</v>
      </c>
      <c r="M2775" t="n">
        <v>0.263</v>
      </c>
    </row>
    <row r="2776" spans="1:13">
      <c r="A2776" s="1">
        <f>HYPERLINK("http://www.twitter.com/NathanBLawrence/status/983821437235539969", "983821437235539969")</f>
        <v/>
      </c>
      <c r="B2776" s="2" t="n">
        <v>43200.90142361111</v>
      </c>
      <c r="C2776" t="n">
        <v>8</v>
      </c>
      <c r="D2776" t="n">
        <v>9</v>
      </c>
      <c r="E2776" t="s">
        <v>2742</v>
      </c>
      <c r="F2776">
        <f>HYPERLINK("http://pbs.twimg.com/media/Dac8YAsU0AAm1lz.jpg", "http://pbs.twimg.com/media/Dac8YAsU0AAm1lz.jpg")</f>
        <v/>
      </c>
      <c r="G2776" t="s"/>
      <c r="H2776" t="s"/>
      <c r="I2776" t="s"/>
      <c r="J2776" t="n">
        <v>-0.7003</v>
      </c>
      <c r="K2776" t="n">
        <v>0.162</v>
      </c>
      <c r="L2776" t="n">
        <v>0.838</v>
      </c>
      <c r="M2776" t="n">
        <v>0</v>
      </c>
    </row>
    <row r="2777" spans="1:13">
      <c r="A2777" s="1">
        <f>HYPERLINK("http://www.twitter.com/NathanBLawrence/status/983820173886058497", "983820173886058497")</f>
        <v/>
      </c>
      <c r="B2777" s="2" t="n">
        <v>43200.89793981481</v>
      </c>
      <c r="C2777" t="n">
        <v>3</v>
      </c>
      <c r="D2777" t="n">
        <v>3</v>
      </c>
      <c r="E2777" t="s">
        <v>2743</v>
      </c>
      <c r="F2777" t="s"/>
      <c r="G2777" t="s"/>
      <c r="H2777" t="s"/>
      <c r="I2777" t="s"/>
      <c r="J2777" t="n">
        <v>0.508</v>
      </c>
      <c r="K2777" t="n">
        <v>0.199</v>
      </c>
      <c r="L2777" t="n">
        <v>0.472</v>
      </c>
      <c r="M2777" t="n">
        <v>0.33</v>
      </c>
    </row>
    <row r="2778" spans="1:13">
      <c r="A2778" s="1">
        <f>HYPERLINK("http://www.twitter.com/NathanBLawrence/status/983819771748732929", "983819771748732929")</f>
        <v/>
      </c>
      <c r="B2778" s="2" t="n">
        <v>43200.89682870371</v>
      </c>
      <c r="C2778" t="n">
        <v>0</v>
      </c>
      <c r="D2778" t="n">
        <v>4</v>
      </c>
      <c r="E2778" t="s">
        <v>2744</v>
      </c>
      <c r="F2778">
        <f>HYPERLINK("https://video.twimg.com/ext_tw_video/983809792715173888/pu/vid/720x1280/M_pAynQWtJnVsvJr.mp4?tag=2", "https://video.twimg.com/ext_tw_video/983809792715173888/pu/vid/720x1280/M_pAynQWtJnVsvJr.mp4?tag=2")</f>
        <v/>
      </c>
      <c r="G2778" t="s"/>
      <c r="H2778" t="s"/>
      <c r="I2778" t="s"/>
      <c r="J2778" t="n">
        <v>0.5574</v>
      </c>
      <c r="K2778" t="n">
        <v>0</v>
      </c>
      <c r="L2778" t="n">
        <v>0.82</v>
      </c>
      <c r="M2778" t="n">
        <v>0.18</v>
      </c>
    </row>
    <row r="2779" spans="1:13">
      <c r="A2779" s="1">
        <f>HYPERLINK("http://www.twitter.com/NathanBLawrence/status/983819604253446147", "983819604253446147")</f>
        <v/>
      </c>
      <c r="B2779" s="2" t="n">
        <v>43200.89636574074</v>
      </c>
      <c r="C2779" t="n">
        <v>0</v>
      </c>
      <c r="D2779" t="n">
        <v>6</v>
      </c>
      <c r="E2779" t="s">
        <v>2745</v>
      </c>
      <c r="F2779">
        <f>HYPERLINK("http://pbs.twimg.com/media/Dac6YzCWAAA1pXk.jpg", "http://pbs.twimg.com/media/Dac6YzCWAAA1pXk.jpg")</f>
        <v/>
      </c>
      <c r="G2779" t="s"/>
      <c r="H2779" t="s"/>
      <c r="I2779" t="s"/>
      <c r="J2779" t="n">
        <v>-0.7003</v>
      </c>
      <c r="K2779" t="n">
        <v>0.201</v>
      </c>
      <c r="L2779" t="n">
        <v>0.799</v>
      </c>
      <c r="M2779" t="n">
        <v>0</v>
      </c>
    </row>
    <row r="2780" spans="1:13">
      <c r="A2780" s="1">
        <f>HYPERLINK("http://www.twitter.com/NathanBLawrence/status/983819451547246592", "983819451547246592")</f>
        <v/>
      </c>
      <c r="B2780" s="2" t="n">
        <v>43200.89594907407</v>
      </c>
      <c r="C2780" t="n">
        <v>0</v>
      </c>
      <c r="D2780" t="n">
        <v>7</v>
      </c>
      <c r="E2780" t="s">
        <v>2746</v>
      </c>
      <c r="F2780" t="s"/>
      <c r="G2780" t="s"/>
      <c r="H2780" t="s"/>
      <c r="I2780" t="s"/>
      <c r="J2780" t="n">
        <v>-0.296</v>
      </c>
      <c r="K2780" t="n">
        <v>0.121</v>
      </c>
      <c r="L2780" t="n">
        <v>0.879</v>
      </c>
      <c r="M2780" t="n">
        <v>0</v>
      </c>
    </row>
    <row r="2781" spans="1:13">
      <c r="A2781" s="1">
        <f>HYPERLINK("http://www.twitter.com/NathanBLawrence/status/983819187213697025", "983819187213697025")</f>
        <v/>
      </c>
      <c r="B2781" s="2" t="n">
        <v>43200.8952199074</v>
      </c>
      <c r="C2781" t="n">
        <v>0</v>
      </c>
      <c r="D2781" t="n">
        <v>8</v>
      </c>
      <c r="E2781" t="s">
        <v>2747</v>
      </c>
      <c r="F2781" t="s"/>
      <c r="G2781" t="s"/>
      <c r="H2781" t="s"/>
      <c r="I2781" t="s"/>
      <c r="J2781" t="n">
        <v>0.3182</v>
      </c>
      <c r="K2781" t="n">
        <v>0.081</v>
      </c>
      <c r="L2781" t="n">
        <v>0.709</v>
      </c>
      <c r="M2781" t="n">
        <v>0.211</v>
      </c>
    </row>
    <row r="2782" spans="1:13">
      <c r="A2782" s="1">
        <f>HYPERLINK("http://www.twitter.com/NathanBLawrence/status/983819160978419712", "983819160978419712")</f>
        <v/>
      </c>
      <c r="B2782" s="2" t="n">
        <v>43200.89515046297</v>
      </c>
      <c r="C2782" t="n">
        <v>0</v>
      </c>
      <c r="D2782" t="n">
        <v>8</v>
      </c>
      <c r="E2782" t="s">
        <v>2748</v>
      </c>
      <c r="F2782" t="s"/>
      <c r="G2782" t="s"/>
      <c r="H2782" t="s"/>
      <c r="I2782" t="s"/>
      <c r="J2782" t="n">
        <v>0</v>
      </c>
      <c r="K2782" t="n">
        <v>0</v>
      </c>
      <c r="L2782" t="n">
        <v>1</v>
      </c>
      <c r="M2782" t="n">
        <v>0</v>
      </c>
    </row>
    <row r="2783" spans="1:13">
      <c r="A2783" s="1">
        <f>HYPERLINK("http://www.twitter.com/NathanBLawrence/status/983819133518254081", "983819133518254081")</f>
        <v/>
      </c>
      <c r="B2783" s="2" t="n">
        <v>43200.89506944444</v>
      </c>
      <c r="C2783" t="n">
        <v>0</v>
      </c>
      <c r="D2783" t="n">
        <v>5</v>
      </c>
      <c r="E2783" t="s">
        <v>2749</v>
      </c>
      <c r="F2783" t="s"/>
      <c r="G2783" t="s"/>
      <c r="H2783" t="s"/>
      <c r="I2783" t="s"/>
      <c r="J2783" t="n">
        <v>0.8054</v>
      </c>
      <c r="K2783" t="n">
        <v>0.124</v>
      </c>
      <c r="L2783" t="n">
        <v>0.589</v>
      </c>
      <c r="M2783" t="n">
        <v>0.287</v>
      </c>
    </row>
    <row r="2784" spans="1:13">
      <c r="A2784" s="1">
        <f>HYPERLINK("http://www.twitter.com/NathanBLawrence/status/983819105567326208", "983819105567326208")</f>
        <v/>
      </c>
      <c r="B2784" s="2" t="n">
        <v>43200.89498842593</v>
      </c>
      <c r="C2784" t="n">
        <v>0</v>
      </c>
      <c r="D2784" t="n">
        <v>6</v>
      </c>
      <c r="E2784" t="s">
        <v>2750</v>
      </c>
      <c r="F2784" t="s"/>
      <c r="G2784" t="s"/>
      <c r="H2784" t="s"/>
      <c r="I2784" t="s"/>
      <c r="J2784" t="n">
        <v>0.128</v>
      </c>
      <c r="K2784" t="n">
        <v>0.105</v>
      </c>
      <c r="L2784" t="n">
        <v>0.766</v>
      </c>
      <c r="M2784" t="n">
        <v>0.129</v>
      </c>
    </row>
    <row r="2785" spans="1:13">
      <c r="A2785" s="1">
        <f>HYPERLINK("http://www.twitter.com/NathanBLawrence/status/983815319666987008", "983815319666987008")</f>
        <v/>
      </c>
      <c r="B2785" s="2" t="n">
        <v>43200.88454861111</v>
      </c>
      <c r="C2785" t="n">
        <v>0</v>
      </c>
      <c r="D2785" t="n">
        <v>3</v>
      </c>
      <c r="E2785" t="s">
        <v>2751</v>
      </c>
      <c r="F2785" t="s"/>
      <c r="G2785" t="s"/>
      <c r="H2785" t="s"/>
      <c r="I2785" t="s"/>
      <c r="J2785" t="n">
        <v>0.2023</v>
      </c>
      <c r="K2785" t="n">
        <v>0.103</v>
      </c>
      <c r="L2785" t="n">
        <v>0.725</v>
      </c>
      <c r="M2785" t="n">
        <v>0.172</v>
      </c>
    </row>
    <row r="2786" spans="1:13">
      <c r="A2786" s="1">
        <f>HYPERLINK("http://www.twitter.com/NathanBLawrence/status/983797648460320768", "983797648460320768")</f>
        <v/>
      </c>
      <c r="B2786" s="2" t="n">
        <v>43200.83578703704</v>
      </c>
      <c r="C2786" t="n">
        <v>0</v>
      </c>
      <c r="D2786" t="n">
        <v>0</v>
      </c>
      <c r="E2786" t="s">
        <v>2752</v>
      </c>
      <c r="F2786">
        <f>HYPERLINK("http://pbs.twimg.com/media/Dacms26UwAE5Ywc.jpg", "http://pbs.twimg.com/media/Dacms26UwAE5Ywc.jpg")</f>
        <v/>
      </c>
      <c r="G2786" t="s"/>
      <c r="H2786" t="s"/>
      <c r="I2786" t="s"/>
      <c r="J2786" t="n">
        <v>0.7141999999999999</v>
      </c>
      <c r="K2786" t="n">
        <v>0</v>
      </c>
      <c r="L2786" t="n">
        <v>0.892</v>
      </c>
      <c r="M2786" t="n">
        <v>0.108</v>
      </c>
    </row>
    <row r="2787" spans="1:13">
      <c r="A2787" s="1">
        <f>HYPERLINK("http://www.twitter.com/NathanBLawrence/status/983796954508427264", "983796954508427264")</f>
        <v/>
      </c>
      <c r="B2787" s="2" t="n">
        <v>43200.83386574074</v>
      </c>
      <c r="C2787" t="n">
        <v>0</v>
      </c>
      <c r="D2787" t="n">
        <v>14</v>
      </c>
      <c r="E2787" t="s">
        <v>2753</v>
      </c>
      <c r="F2787">
        <f>HYPERLINK("http://pbs.twimg.com/media/Daca9pAXcAA72xD.jpg", "http://pbs.twimg.com/media/Daca9pAXcAA72xD.jpg")</f>
        <v/>
      </c>
      <c r="G2787">
        <f>HYPERLINK("http://pbs.twimg.com/media/Daca_biXkAAOHYK.jpg", "http://pbs.twimg.com/media/Daca_biXkAAOHYK.jpg")</f>
        <v/>
      </c>
      <c r="H2787">
        <f>HYPERLINK("http://pbs.twimg.com/media/DacbBDQWsAAkEKx.jpg", "http://pbs.twimg.com/media/DacbBDQWsAAkEKx.jpg")</f>
        <v/>
      </c>
      <c r="I2787">
        <f>HYPERLINK("http://pbs.twimg.com/media/DacbCkZX0AYiCh_.jpg", "http://pbs.twimg.com/media/DacbCkZX0AYiCh_.jpg")</f>
        <v/>
      </c>
      <c r="J2787" t="n">
        <v>0.5411</v>
      </c>
      <c r="K2787" t="n">
        <v>0</v>
      </c>
      <c r="L2787" t="n">
        <v>0.759</v>
      </c>
      <c r="M2787" t="n">
        <v>0.241</v>
      </c>
    </row>
    <row r="2788" spans="1:13">
      <c r="A2788" s="1">
        <f>HYPERLINK("http://www.twitter.com/NathanBLawrence/status/983796162904936451", "983796162904936451")</f>
        <v/>
      </c>
      <c r="B2788" s="2" t="n">
        <v>43200.83167824074</v>
      </c>
      <c r="C2788" t="n">
        <v>5</v>
      </c>
      <c r="D2788" t="n">
        <v>3</v>
      </c>
      <c r="E2788" t="s">
        <v>2754</v>
      </c>
      <c r="F2788" t="s"/>
      <c r="G2788" t="s"/>
      <c r="H2788" t="s"/>
      <c r="I2788" t="s"/>
      <c r="J2788" t="n">
        <v>-0.2593</v>
      </c>
      <c r="K2788" t="n">
        <v>0.12</v>
      </c>
      <c r="L2788" t="n">
        <v>0.782</v>
      </c>
      <c r="M2788" t="n">
        <v>0.098</v>
      </c>
    </row>
    <row r="2789" spans="1:13">
      <c r="A2789" s="1">
        <f>HYPERLINK("http://www.twitter.com/NathanBLawrence/status/983776025740967937", "983776025740967937")</f>
        <v/>
      </c>
      <c r="B2789" s="2" t="n">
        <v>43200.77611111111</v>
      </c>
      <c r="C2789" t="n">
        <v>0</v>
      </c>
      <c r="D2789" t="n">
        <v>14</v>
      </c>
      <c r="E2789" t="s">
        <v>2755</v>
      </c>
      <c r="F2789">
        <f>HYPERLINK("http://pbs.twimg.com/media/Daa-nolW0AAt2Iz.jpg", "http://pbs.twimg.com/media/Daa-nolW0AAt2Iz.jpg")</f>
        <v/>
      </c>
      <c r="G2789" t="s"/>
      <c r="H2789" t="s"/>
      <c r="I2789" t="s"/>
      <c r="J2789" t="n">
        <v>0.34</v>
      </c>
      <c r="K2789" t="n">
        <v>0</v>
      </c>
      <c r="L2789" t="n">
        <v>0.888</v>
      </c>
      <c r="M2789" t="n">
        <v>0.112</v>
      </c>
    </row>
    <row r="2790" spans="1:13">
      <c r="A2790" s="1">
        <f>HYPERLINK("http://www.twitter.com/NathanBLawrence/status/983770778188632065", "983770778188632065")</f>
        <v/>
      </c>
      <c r="B2790" s="2" t="n">
        <v>43200.76163194444</v>
      </c>
      <c r="C2790" t="n">
        <v>0</v>
      </c>
      <c r="D2790" t="n">
        <v>7</v>
      </c>
      <c r="E2790" t="s">
        <v>2756</v>
      </c>
      <c r="F2790" t="s"/>
      <c r="G2790" t="s"/>
      <c r="H2790" t="s"/>
      <c r="I2790" t="s"/>
      <c r="J2790" t="n">
        <v>0.25</v>
      </c>
      <c r="K2790" t="n">
        <v>0</v>
      </c>
      <c r="L2790" t="n">
        <v>0.917</v>
      </c>
      <c r="M2790" t="n">
        <v>0.083</v>
      </c>
    </row>
    <row r="2791" spans="1:13">
      <c r="A2791" s="1">
        <f>HYPERLINK("http://www.twitter.com/NathanBLawrence/status/983768319475019776", "983768319475019776")</f>
        <v/>
      </c>
      <c r="B2791" s="2" t="n">
        <v>43200.75484953704</v>
      </c>
      <c r="C2791" t="n">
        <v>0</v>
      </c>
      <c r="D2791" t="n">
        <v>4</v>
      </c>
      <c r="E2791" t="s">
        <v>2757</v>
      </c>
      <c r="F2791" t="s"/>
      <c r="G2791" t="s"/>
      <c r="H2791" t="s"/>
      <c r="I2791" t="s"/>
      <c r="J2791" t="n">
        <v>0.6369</v>
      </c>
      <c r="K2791" t="n">
        <v>0</v>
      </c>
      <c r="L2791" t="n">
        <v>0.819</v>
      </c>
      <c r="M2791" t="n">
        <v>0.181</v>
      </c>
    </row>
    <row r="2792" spans="1:13">
      <c r="A2792" s="1">
        <f>HYPERLINK("http://www.twitter.com/NathanBLawrence/status/983764346303021056", "983764346303021056")</f>
        <v/>
      </c>
      <c r="B2792" s="2" t="n">
        <v>43200.74388888889</v>
      </c>
      <c r="C2792" t="n">
        <v>0</v>
      </c>
      <c r="D2792" t="n">
        <v>13</v>
      </c>
      <c r="E2792" t="s">
        <v>1339</v>
      </c>
      <c r="F2792">
        <f>HYPERLINK("http://pbs.twimg.com/media/DacHjiAWAAAKsz-.jpg", "http://pbs.twimg.com/media/DacHjiAWAAAKsz-.jpg")</f>
        <v/>
      </c>
      <c r="G2792" t="s"/>
      <c r="H2792" t="s"/>
      <c r="I2792" t="s"/>
      <c r="J2792" t="n">
        <v>-0.5266999999999999</v>
      </c>
      <c r="K2792" t="n">
        <v>0.227</v>
      </c>
      <c r="L2792" t="n">
        <v>0.773</v>
      </c>
      <c r="M2792" t="n">
        <v>0</v>
      </c>
    </row>
    <row r="2793" spans="1:13">
      <c r="A2793" s="1">
        <f>HYPERLINK("http://www.twitter.com/NathanBLawrence/status/983759683990315010", "983759683990315010")</f>
        <v/>
      </c>
      <c r="B2793" s="2" t="n">
        <v>43200.73101851852</v>
      </c>
      <c r="C2793" t="n">
        <v>0</v>
      </c>
      <c r="D2793" t="n">
        <v>5</v>
      </c>
      <c r="E2793" t="s">
        <v>2758</v>
      </c>
      <c r="F2793">
        <f>HYPERLINK("http://pbs.twimg.com/media/DaZdJUAX4AAIS8d.jpg", "http://pbs.twimg.com/media/DaZdJUAX4AAIS8d.jpg")</f>
        <v/>
      </c>
      <c r="G2793" t="s"/>
      <c r="H2793" t="s"/>
      <c r="I2793" t="s"/>
      <c r="J2793" t="n">
        <v>0</v>
      </c>
      <c r="K2793" t="n">
        <v>0</v>
      </c>
      <c r="L2793" t="n">
        <v>1</v>
      </c>
      <c r="M2793" t="n">
        <v>0</v>
      </c>
    </row>
    <row r="2794" spans="1:13">
      <c r="A2794" s="1">
        <f>HYPERLINK("http://www.twitter.com/NathanBLawrence/status/983759660678369281", "983759660678369281")</f>
        <v/>
      </c>
      <c r="B2794" s="2" t="n">
        <v>43200.73096064815</v>
      </c>
      <c r="C2794" t="n">
        <v>0</v>
      </c>
      <c r="D2794" t="n">
        <v>3</v>
      </c>
      <c r="E2794" t="s">
        <v>2759</v>
      </c>
      <c r="F2794">
        <f>HYPERLINK("http://pbs.twimg.com/media/DaZc9xHXUAAmPMX.jpg", "http://pbs.twimg.com/media/DaZc9xHXUAAmPMX.jpg")</f>
        <v/>
      </c>
      <c r="G2794" t="s"/>
      <c r="H2794" t="s"/>
      <c r="I2794" t="s"/>
      <c r="J2794" t="n">
        <v>0</v>
      </c>
      <c r="K2794" t="n">
        <v>0</v>
      </c>
      <c r="L2794" t="n">
        <v>1</v>
      </c>
      <c r="M2794" t="n">
        <v>0</v>
      </c>
    </row>
    <row r="2795" spans="1:13">
      <c r="A2795" s="1">
        <f>HYPERLINK("http://www.twitter.com/NathanBLawrence/status/983759570857353221", "983759570857353221")</f>
        <v/>
      </c>
      <c r="B2795" s="2" t="n">
        <v>43200.73070601852</v>
      </c>
      <c r="C2795" t="n">
        <v>0</v>
      </c>
      <c r="D2795" t="n">
        <v>3</v>
      </c>
      <c r="E2795" t="s">
        <v>2760</v>
      </c>
      <c r="F2795" t="s"/>
      <c r="G2795" t="s"/>
      <c r="H2795" t="s"/>
      <c r="I2795" t="s"/>
      <c r="J2795" t="n">
        <v>-0.7845</v>
      </c>
      <c r="K2795" t="n">
        <v>0.257</v>
      </c>
      <c r="L2795" t="n">
        <v>0.743</v>
      </c>
      <c r="M2795" t="n">
        <v>0</v>
      </c>
    </row>
    <row r="2796" spans="1:13">
      <c r="A2796" s="1">
        <f>HYPERLINK("http://www.twitter.com/NathanBLawrence/status/983748372526960640", "983748372526960640")</f>
        <v/>
      </c>
      <c r="B2796" s="2" t="n">
        <v>43200.69980324074</v>
      </c>
      <c r="C2796" t="n">
        <v>0</v>
      </c>
      <c r="D2796" t="n">
        <v>11</v>
      </c>
      <c r="E2796" t="s">
        <v>2761</v>
      </c>
      <c r="F2796">
        <f>HYPERLINK("http://pbs.twimg.com/media/Dab5b5KVwAAAxNZ.jpg", "http://pbs.twimg.com/media/Dab5b5KVwAAAxNZ.jpg")</f>
        <v/>
      </c>
      <c r="G2796" t="s"/>
      <c r="H2796" t="s"/>
      <c r="I2796" t="s"/>
      <c r="J2796" t="n">
        <v>0</v>
      </c>
      <c r="K2796" t="n">
        <v>0</v>
      </c>
      <c r="L2796" t="n">
        <v>1</v>
      </c>
      <c r="M2796" t="n">
        <v>0</v>
      </c>
    </row>
    <row r="2797" spans="1:13">
      <c r="A2797" s="1">
        <f>HYPERLINK("http://www.twitter.com/NathanBLawrence/status/983748339761139715", "983748339761139715")</f>
        <v/>
      </c>
      <c r="B2797" s="2" t="n">
        <v>43200.69972222222</v>
      </c>
      <c r="C2797" t="n">
        <v>0</v>
      </c>
      <c r="D2797" t="n">
        <v>6</v>
      </c>
      <c r="E2797" t="s">
        <v>2762</v>
      </c>
      <c r="F2797" t="s"/>
      <c r="G2797" t="s"/>
      <c r="H2797" t="s"/>
      <c r="I2797" t="s"/>
      <c r="J2797" t="n">
        <v>0.3182</v>
      </c>
      <c r="K2797" t="n">
        <v>0</v>
      </c>
      <c r="L2797" t="n">
        <v>0.859</v>
      </c>
      <c r="M2797" t="n">
        <v>0.141</v>
      </c>
    </row>
    <row r="2798" spans="1:13">
      <c r="A2798" s="1">
        <f>HYPERLINK("http://www.twitter.com/NathanBLawrence/status/983748297562128384", "983748297562128384")</f>
        <v/>
      </c>
      <c r="B2798" s="2" t="n">
        <v>43200.6995949074</v>
      </c>
      <c r="C2798" t="n">
        <v>0</v>
      </c>
      <c r="D2798" t="n">
        <v>6</v>
      </c>
      <c r="E2798" t="s">
        <v>2763</v>
      </c>
      <c r="F2798" t="s"/>
      <c r="G2798" t="s"/>
      <c r="H2798" t="s"/>
      <c r="I2798" t="s"/>
      <c r="J2798" t="n">
        <v>0</v>
      </c>
      <c r="K2798" t="n">
        <v>0</v>
      </c>
      <c r="L2798" t="n">
        <v>1</v>
      </c>
      <c r="M2798" t="n">
        <v>0</v>
      </c>
    </row>
    <row r="2799" spans="1:13">
      <c r="A2799" s="1">
        <f>HYPERLINK("http://www.twitter.com/NathanBLawrence/status/983748275839881218", "983748275839881218")</f>
        <v/>
      </c>
      <c r="B2799" s="2" t="n">
        <v>43200.69953703704</v>
      </c>
      <c r="C2799" t="n">
        <v>0</v>
      </c>
      <c r="D2799" t="n">
        <v>6</v>
      </c>
      <c r="E2799" t="s">
        <v>2764</v>
      </c>
      <c r="F2799">
        <f>HYPERLINK("http://pbs.twimg.com/media/DabzGjjUQAAVOex.jpg", "http://pbs.twimg.com/media/DabzGjjUQAAVOex.jpg")</f>
        <v/>
      </c>
      <c r="G2799" t="s"/>
      <c r="H2799" t="s"/>
      <c r="I2799" t="s"/>
      <c r="J2799" t="n">
        <v>0.2023</v>
      </c>
      <c r="K2799" t="n">
        <v>0</v>
      </c>
      <c r="L2799" t="n">
        <v>0.909</v>
      </c>
      <c r="M2799" t="n">
        <v>0.091</v>
      </c>
    </row>
    <row r="2800" spans="1:13">
      <c r="A2800" s="1">
        <f>HYPERLINK("http://www.twitter.com/NathanBLawrence/status/983748264875917313", "983748264875917313")</f>
        <v/>
      </c>
      <c r="B2800" s="2" t="n">
        <v>43200.69951388889</v>
      </c>
      <c r="C2800" t="n">
        <v>0</v>
      </c>
      <c r="D2800" t="n">
        <v>3</v>
      </c>
      <c r="E2800" t="s">
        <v>2765</v>
      </c>
      <c r="F2800" t="s"/>
      <c r="G2800" t="s"/>
      <c r="H2800" t="s"/>
      <c r="I2800" t="s"/>
      <c r="J2800" t="n">
        <v>-0.8779</v>
      </c>
      <c r="K2800" t="n">
        <v>0.461</v>
      </c>
      <c r="L2800" t="n">
        <v>0.539</v>
      </c>
      <c r="M2800" t="n">
        <v>0</v>
      </c>
    </row>
    <row r="2801" spans="1:13">
      <c r="A2801" s="1">
        <f>HYPERLINK("http://www.twitter.com/NathanBLawrence/status/983748231040561155", "983748231040561155")</f>
        <v/>
      </c>
      <c r="B2801" s="2" t="n">
        <v>43200.6994212963</v>
      </c>
      <c r="C2801" t="n">
        <v>0</v>
      </c>
      <c r="D2801" t="n">
        <v>8</v>
      </c>
      <c r="E2801" t="s">
        <v>2766</v>
      </c>
      <c r="F2801" t="s"/>
      <c r="G2801" t="s"/>
      <c r="H2801" t="s"/>
      <c r="I2801" t="s"/>
      <c r="J2801" t="n">
        <v>0.0516</v>
      </c>
      <c r="K2801" t="n">
        <v>0.077</v>
      </c>
      <c r="L2801" t="n">
        <v>0.839</v>
      </c>
      <c r="M2801" t="n">
        <v>0.08400000000000001</v>
      </c>
    </row>
    <row r="2802" spans="1:13">
      <c r="A2802" s="1">
        <f>HYPERLINK("http://www.twitter.com/NathanBLawrence/status/983748198769614849", "983748198769614849")</f>
        <v/>
      </c>
      <c r="B2802" s="2" t="n">
        <v>43200.6993287037</v>
      </c>
      <c r="C2802" t="n">
        <v>0</v>
      </c>
      <c r="D2802" t="n">
        <v>9</v>
      </c>
      <c r="E2802" t="s">
        <v>2767</v>
      </c>
      <c r="F2802" t="s"/>
      <c r="G2802" t="s"/>
      <c r="H2802" t="s"/>
      <c r="I2802" t="s"/>
      <c r="J2802" t="n">
        <v>0.6486</v>
      </c>
      <c r="K2802" t="n">
        <v>0</v>
      </c>
      <c r="L2802" t="n">
        <v>0.739</v>
      </c>
      <c r="M2802" t="n">
        <v>0.261</v>
      </c>
    </row>
    <row r="2803" spans="1:13">
      <c r="A2803" s="1">
        <f>HYPERLINK("http://www.twitter.com/NathanBLawrence/status/983741648260780032", "983741648260780032")</f>
        <v/>
      </c>
      <c r="B2803" s="2" t="n">
        <v>43200.68125</v>
      </c>
      <c r="C2803" t="n">
        <v>0</v>
      </c>
      <c r="D2803" t="n">
        <v>0</v>
      </c>
      <c r="E2803" t="s">
        <v>2768</v>
      </c>
      <c r="F2803" t="s"/>
      <c r="G2803" t="s"/>
      <c r="H2803" t="s"/>
      <c r="I2803" t="s"/>
      <c r="J2803" t="n">
        <v>-0.7003</v>
      </c>
      <c r="K2803" t="n">
        <v>0.209</v>
      </c>
      <c r="L2803" t="n">
        <v>0.791</v>
      </c>
      <c r="M2803" t="n">
        <v>0</v>
      </c>
    </row>
    <row r="2804" spans="1:13">
      <c r="A2804" s="1">
        <f>HYPERLINK("http://www.twitter.com/NathanBLawrence/status/983740927142395904", "983740927142395904")</f>
        <v/>
      </c>
      <c r="B2804" s="2" t="n">
        <v>43200.67925925926</v>
      </c>
      <c r="C2804" t="n">
        <v>0</v>
      </c>
      <c r="D2804" t="n">
        <v>0</v>
      </c>
      <c r="E2804" t="s">
        <v>2769</v>
      </c>
      <c r="F2804" t="s"/>
      <c r="G2804" t="s"/>
      <c r="H2804" t="s"/>
      <c r="I2804" t="s"/>
      <c r="J2804" t="n">
        <v>0</v>
      </c>
      <c r="K2804" t="n">
        <v>0</v>
      </c>
      <c r="L2804" t="n">
        <v>1</v>
      </c>
      <c r="M2804" t="n">
        <v>0</v>
      </c>
    </row>
    <row r="2805" spans="1:13">
      <c r="A2805" s="1">
        <f>HYPERLINK("http://www.twitter.com/NathanBLawrence/status/983590770509778945", "983590770509778945")</f>
        <v/>
      </c>
      <c r="B2805" s="2" t="n">
        <v>43200.26490740741</v>
      </c>
      <c r="C2805" t="n">
        <v>0</v>
      </c>
      <c r="D2805" t="n">
        <v>12984</v>
      </c>
      <c r="E2805" t="s">
        <v>2770</v>
      </c>
      <c r="F2805" t="s"/>
      <c r="G2805" t="s"/>
      <c r="H2805" t="s"/>
      <c r="I2805" t="s"/>
      <c r="J2805" t="n">
        <v>-0.5949</v>
      </c>
      <c r="K2805" t="n">
        <v>0.144</v>
      </c>
      <c r="L2805" t="n">
        <v>0.856</v>
      </c>
      <c r="M2805" t="n">
        <v>0</v>
      </c>
    </row>
    <row r="2806" spans="1:13">
      <c r="A2806" s="1">
        <f>HYPERLINK("http://www.twitter.com/NathanBLawrence/status/983590684795047936", "983590684795047936")</f>
        <v/>
      </c>
      <c r="B2806" s="2" t="n">
        <v>43200.26467592592</v>
      </c>
      <c r="C2806" t="n">
        <v>1</v>
      </c>
      <c r="D2806" t="n">
        <v>0</v>
      </c>
      <c r="E2806" t="s">
        <v>2771</v>
      </c>
      <c r="F2806" t="s"/>
      <c r="G2806" t="s"/>
      <c r="H2806" t="s"/>
      <c r="I2806" t="s"/>
      <c r="J2806" t="n">
        <v>-0.3875</v>
      </c>
      <c r="K2806" t="n">
        <v>0.158</v>
      </c>
      <c r="L2806" t="n">
        <v>0.842</v>
      </c>
      <c r="M2806" t="n">
        <v>0</v>
      </c>
    </row>
    <row r="2807" spans="1:13">
      <c r="A2807" s="1">
        <f>HYPERLINK("http://www.twitter.com/NathanBLawrence/status/983590279897911296", "983590279897911296")</f>
        <v/>
      </c>
      <c r="B2807" s="2" t="n">
        <v>43200.26355324074</v>
      </c>
      <c r="C2807" t="n">
        <v>0</v>
      </c>
      <c r="D2807" t="n">
        <v>0</v>
      </c>
      <c r="E2807" t="s">
        <v>2772</v>
      </c>
      <c r="F2807">
        <f>HYPERLINK("http://pbs.twimg.com/media/DaZqIRVXUAA1hrZ.jpg", "http://pbs.twimg.com/media/DaZqIRVXUAA1hrZ.jpg")</f>
        <v/>
      </c>
      <c r="G2807" t="s"/>
      <c r="H2807" t="s"/>
      <c r="I2807" t="s"/>
      <c r="J2807" t="n">
        <v>0</v>
      </c>
      <c r="K2807" t="n">
        <v>0</v>
      </c>
      <c r="L2807" t="n">
        <v>1</v>
      </c>
      <c r="M2807" t="n">
        <v>0</v>
      </c>
    </row>
    <row r="2808" spans="1:13">
      <c r="A2808" s="1">
        <f>HYPERLINK("http://www.twitter.com/NathanBLawrence/status/983589913697439744", "983589913697439744")</f>
        <v/>
      </c>
      <c r="B2808" s="2" t="n">
        <v>43200.2625462963</v>
      </c>
      <c r="C2808" t="n">
        <v>0</v>
      </c>
      <c r="D2808" t="n">
        <v>3336</v>
      </c>
      <c r="E2808" t="s">
        <v>2773</v>
      </c>
      <c r="F2808" t="s"/>
      <c r="G2808" t="s"/>
      <c r="H2808" t="s"/>
      <c r="I2808" t="s"/>
      <c r="J2808" t="n">
        <v>0.7269</v>
      </c>
      <c r="K2808" t="n">
        <v>0</v>
      </c>
      <c r="L2808" t="n">
        <v>0.728</v>
      </c>
      <c r="M2808" t="n">
        <v>0.272</v>
      </c>
    </row>
    <row r="2809" spans="1:13">
      <c r="A2809" s="1">
        <f>HYPERLINK("http://www.twitter.com/NathanBLawrence/status/983589878641451008", "983589878641451008")</f>
        <v/>
      </c>
      <c r="B2809" s="2" t="n">
        <v>43200.26244212963</v>
      </c>
      <c r="C2809" t="n">
        <v>0</v>
      </c>
      <c r="D2809" t="n">
        <v>495</v>
      </c>
      <c r="E2809" t="s">
        <v>2774</v>
      </c>
      <c r="F2809" t="s"/>
      <c r="G2809" t="s"/>
      <c r="H2809" t="s"/>
      <c r="I2809" t="s"/>
      <c r="J2809" t="n">
        <v>-0.7346</v>
      </c>
      <c r="K2809" t="n">
        <v>0.228</v>
      </c>
      <c r="L2809" t="n">
        <v>0.772</v>
      </c>
      <c r="M2809" t="n">
        <v>0</v>
      </c>
    </row>
    <row r="2810" spans="1:13">
      <c r="A2810" s="1">
        <f>HYPERLINK("http://www.twitter.com/NathanBLawrence/status/983589617290051584", "983589617290051584")</f>
        <v/>
      </c>
      <c r="B2810" s="2" t="n">
        <v>43200.26172453703</v>
      </c>
      <c r="C2810" t="n">
        <v>0</v>
      </c>
      <c r="D2810" t="n">
        <v>3</v>
      </c>
      <c r="E2810" t="s">
        <v>2775</v>
      </c>
      <c r="F2810" t="s"/>
      <c r="G2810" t="s"/>
      <c r="H2810" t="s"/>
      <c r="I2810" t="s"/>
      <c r="J2810" t="n">
        <v>0</v>
      </c>
      <c r="K2810" t="n">
        <v>0</v>
      </c>
      <c r="L2810" t="n">
        <v>1</v>
      </c>
      <c r="M2810" t="n">
        <v>0</v>
      </c>
    </row>
    <row r="2811" spans="1:13">
      <c r="A2811" s="1">
        <f>HYPERLINK("http://www.twitter.com/NathanBLawrence/status/983589573782622208", "983589573782622208")</f>
        <v/>
      </c>
      <c r="B2811" s="2" t="n">
        <v>43200.2616087963</v>
      </c>
      <c r="C2811" t="n">
        <v>0</v>
      </c>
      <c r="D2811" t="n">
        <v>6</v>
      </c>
      <c r="E2811" t="s">
        <v>2776</v>
      </c>
      <c r="F2811" t="s"/>
      <c r="G2811" t="s"/>
      <c r="H2811" t="s"/>
      <c r="I2811" t="s"/>
      <c r="J2811" t="n">
        <v>0.4753</v>
      </c>
      <c r="K2811" t="n">
        <v>0</v>
      </c>
      <c r="L2811" t="n">
        <v>0.721</v>
      </c>
      <c r="M2811" t="n">
        <v>0.279</v>
      </c>
    </row>
    <row r="2812" spans="1:13">
      <c r="A2812" s="1">
        <f>HYPERLINK("http://www.twitter.com/NathanBLawrence/status/983589486671073280", "983589486671073280")</f>
        <v/>
      </c>
      <c r="B2812" s="2" t="n">
        <v>43200.26136574074</v>
      </c>
      <c r="C2812" t="n">
        <v>0</v>
      </c>
      <c r="D2812" t="n">
        <v>10</v>
      </c>
      <c r="E2812" t="s">
        <v>2777</v>
      </c>
      <c r="F2812" t="s"/>
      <c r="G2812" t="s"/>
      <c r="H2812" t="s"/>
      <c r="I2812" t="s"/>
      <c r="J2812" t="n">
        <v>-0.7096</v>
      </c>
      <c r="K2812" t="n">
        <v>0.247</v>
      </c>
      <c r="L2812" t="n">
        <v>0.753</v>
      </c>
      <c r="M2812" t="n">
        <v>0</v>
      </c>
    </row>
    <row r="2813" spans="1:13">
      <c r="A2813" s="1">
        <f>HYPERLINK("http://www.twitter.com/NathanBLawrence/status/983589467956154369", "983589467956154369")</f>
        <v/>
      </c>
      <c r="B2813" s="2" t="n">
        <v>43200.26131944444</v>
      </c>
      <c r="C2813" t="n">
        <v>0</v>
      </c>
      <c r="D2813" t="n">
        <v>21</v>
      </c>
      <c r="E2813" t="s">
        <v>2778</v>
      </c>
      <c r="F2813" t="s"/>
      <c r="G2813" t="s"/>
      <c r="H2813" t="s"/>
      <c r="I2813" t="s"/>
      <c r="J2813" t="n">
        <v>0</v>
      </c>
      <c r="K2813" t="n">
        <v>0</v>
      </c>
      <c r="L2813" t="n">
        <v>1</v>
      </c>
      <c r="M2813" t="n">
        <v>0</v>
      </c>
    </row>
    <row r="2814" spans="1:13">
      <c r="A2814" s="1">
        <f>HYPERLINK("http://www.twitter.com/NathanBLawrence/status/983589275546644480", "983589275546644480")</f>
        <v/>
      </c>
      <c r="B2814" s="2" t="n">
        <v>43200.26078703703</v>
      </c>
      <c r="C2814" t="n">
        <v>0</v>
      </c>
      <c r="D2814" t="n">
        <v>1</v>
      </c>
      <c r="E2814" t="s">
        <v>2779</v>
      </c>
      <c r="F2814" t="s"/>
      <c r="G2814" t="s"/>
      <c r="H2814" t="s"/>
      <c r="I2814" t="s"/>
      <c r="J2814" t="n">
        <v>-0.1027</v>
      </c>
      <c r="K2814" t="n">
        <v>0.106</v>
      </c>
      <c r="L2814" t="n">
        <v>0.805</v>
      </c>
      <c r="M2814" t="n">
        <v>0.089</v>
      </c>
    </row>
    <row r="2815" spans="1:13">
      <c r="A2815" s="1">
        <f>HYPERLINK("http://www.twitter.com/NathanBLawrence/status/983589254327619584", "983589254327619584")</f>
        <v/>
      </c>
      <c r="B2815" s="2" t="n">
        <v>43200.26072916666</v>
      </c>
      <c r="C2815" t="n">
        <v>0</v>
      </c>
      <c r="D2815" t="n">
        <v>3</v>
      </c>
      <c r="E2815" t="s">
        <v>2780</v>
      </c>
      <c r="F2815" t="s"/>
      <c r="G2815" t="s"/>
      <c r="H2815" t="s"/>
      <c r="I2815" t="s"/>
      <c r="J2815" t="n">
        <v>0.1285</v>
      </c>
      <c r="K2815" t="n">
        <v>0.092</v>
      </c>
      <c r="L2815" t="n">
        <v>0.795</v>
      </c>
      <c r="M2815" t="n">
        <v>0.113</v>
      </c>
    </row>
    <row r="2816" spans="1:13">
      <c r="A2816" s="1">
        <f>HYPERLINK("http://www.twitter.com/NathanBLawrence/status/983589083577503744", "983589083577503744")</f>
        <v/>
      </c>
      <c r="B2816" s="2" t="n">
        <v>43200.26025462963</v>
      </c>
      <c r="C2816" t="n">
        <v>0</v>
      </c>
      <c r="D2816" t="n">
        <v>616</v>
      </c>
      <c r="E2816" t="s">
        <v>2781</v>
      </c>
      <c r="F2816" t="s"/>
      <c r="G2816" t="s"/>
      <c r="H2816" t="s"/>
      <c r="I2816" t="s"/>
      <c r="J2816" t="n">
        <v>-0.743</v>
      </c>
      <c r="K2816" t="n">
        <v>0.231</v>
      </c>
      <c r="L2816" t="n">
        <v>0.769</v>
      </c>
      <c r="M2816" t="n">
        <v>0</v>
      </c>
    </row>
    <row r="2817" spans="1:13">
      <c r="A2817" s="1">
        <f>HYPERLINK("http://www.twitter.com/NathanBLawrence/status/983588991462203392", "983588991462203392")</f>
        <v/>
      </c>
      <c r="B2817" s="2" t="n">
        <v>43200.26</v>
      </c>
      <c r="C2817" t="n">
        <v>0</v>
      </c>
      <c r="D2817" t="n">
        <v>88</v>
      </c>
      <c r="E2817" t="s">
        <v>2782</v>
      </c>
      <c r="F2817">
        <f>HYPERLINK("http://pbs.twimg.com/media/DaVd2nPWkAAw0cV.jpg", "http://pbs.twimg.com/media/DaVd2nPWkAAw0cV.jpg")</f>
        <v/>
      </c>
      <c r="G2817" t="s"/>
      <c r="H2817" t="s"/>
      <c r="I2817" t="s"/>
      <c r="J2817" t="n">
        <v>0.9036999999999999</v>
      </c>
      <c r="K2817" t="n">
        <v>0</v>
      </c>
      <c r="L2817" t="n">
        <v>0.603</v>
      </c>
      <c r="M2817" t="n">
        <v>0.397</v>
      </c>
    </row>
    <row r="2818" spans="1:13">
      <c r="A2818" s="1">
        <f>HYPERLINK("http://www.twitter.com/NathanBLawrence/status/983588772653780992", "983588772653780992")</f>
        <v/>
      </c>
      <c r="B2818" s="2" t="n">
        <v>43200.25939814815</v>
      </c>
      <c r="C2818" t="n">
        <v>0</v>
      </c>
      <c r="D2818" t="n">
        <v>1762</v>
      </c>
      <c r="E2818" t="s">
        <v>2783</v>
      </c>
      <c r="F2818" t="s"/>
      <c r="G2818" t="s"/>
      <c r="H2818" t="s"/>
      <c r="I2818" t="s"/>
      <c r="J2818" t="n">
        <v>0.3612</v>
      </c>
      <c r="K2818" t="n">
        <v>0</v>
      </c>
      <c r="L2818" t="n">
        <v>0.898</v>
      </c>
      <c r="M2818" t="n">
        <v>0.102</v>
      </c>
    </row>
    <row r="2819" spans="1:13">
      <c r="A2819" s="1">
        <f>HYPERLINK("http://www.twitter.com/NathanBLawrence/status/983588756367314945", "983588756367314945")</f>
        <v/>
      </c>
      <c r="B2819" s="2" t="n">
        <v>43200.25935185186</v>
      </c>
      <c r="C2819" t="n">
        <v>0</v>
      </c>
      <c r="D2819" t="n">
        <v>375</v>
      </c>
      <c r="E2819" t="s">
        <v>2784</v>
      </c>
      <c r="F2819">
        <f>HYPERLINK("http://pbs.twimg.com/media/DaMFTbMXUAAHRKj.jpg", "http://pbs.twimg.com/media/DaMFTbMXUAAHRKj.jpg")</f>
        <v/>
      </c>
      <c r="G2819">
        <f>HYPERLINK("http://pbs.twimg.com/media/DaMFT9IXUAA432y.jpg", "http://pbs.twimg.com/media/DaMFT9IXUAA432y.jpg")</f>
        <v/>
      </c>
      <c r="H2819">
        <f>HYPERLINK("http://pbs.twimg.com/media/DaMFUOKW4AAdE5C.jpg", "http://pbs.twimg.com/media/DaMFUOKW4AAdE5C.jpg")</f>
        <v/>
      </c>
      <c r="I2819">
        <f>HYPERLINK("http://pbs.twimg.com/media/DaMFVDlWAAAkfA5.jpg", "http://pbs.twimg.com/media/DaMFVDlWAAAkfA5.jpg")</f>
        <v/>
      </c>
      <c r="J2819" t="n">
        <v>-0.6249</v>
      </c>
      <c r="K2819" t="n">
        <v>0.227</v>
      </c>
      <c r="L2819" t="n">
        <v>0.6870000000000001</v>
      </c>
      <c r="M2819" t="n">
        <v>0.08599999999999999</v>
      </c>
    </row>
    <row r="2820" spans="1:13">
      <c r="A2820" s="1">
        <f>HYPERLINK("http://www.twitter.com/NathanBLawrence/status/983588648972115968", "983588648972115968")</f>
        <v/>
      </c>
      <c r="B2820" s="2" t="n">
        <v>43200.25905092592</v>
      </c>
      <c r="C2820" t="n">
        <v>0</v>
      </c>
      <c r="D2820" t="n">
        <v>1250</v>
      </c>
      <c r="E2820" t="s">
        <v>2785</v>
      </c>
      <c r="F2820" t="s"/>
      <c r="G2820" t="s"/>
      <c r="H2820" t="s"/>
      <c r="I2820" t="s"/>
      <c r="J2820" t="n">
        <v>0.7096</v>
      </c>
      <c r="K2820" t="n">
        <v>0</v>
      </c>
      <c r="L2820" t="n">
        <v>0.781</v>
      </c>
      <c r="M2820" t="n">
        <v>0.219</v>
      </c>
    </row>
    <row r="2821" spans="1:13">
      <c r="A2821" s="1">
        <f>HYPERLINK("http://www.twitter.com/NathanBLawrence/status/983588609264582656", "983588609264582656")</f>
        <v/>
      </c>
      <c r="B2821" s="2" t="n">
        <v>43200.25894675926</v>
      </c>
      <c r="C2821" t="n">
        <v>0</v>
      </c>
      <c r="D2821" t="n">
        <v>13</v>
      </c>
      <c r="E2821" t="s">
        <v>2786</v>
      </c>
      <c r="F2821" t="s"/>
      <c r="G2821" t="s"/>
      <c r="H2821" t="s"/>
      <c r="I2821" t="s"/>
      <c r="J2821" t="n">
        <v>0</v>
      </c>
      <c r="K2821" t="n">
        <v>0</v>
      </c>
      <c r="L2821" t="n">
        <v>1</v>
      </c>
      <c r="M2821" t="n">
        <v>0</v>
      </c>
    </row>
    <row r="2822" spans="1:13">
      <c r="A2822" s="1">
        <f>HYPERLINK("http://www.twitter.com/NathanBLawrence/status/983588373297328128", "983588373297328128")</f>
        <v/>
      </c>
      <c r="B2822" s="2" t="n">
        <v>43200.25829861111</v>
      </c>
      <c r="C2822" t="n">
        <v>0</v>
      </c>
      <c r="D2822" t="n">
        <v>2</v>
      </c>
      <c r="E2822" t="s">
        <v>2786</v>
      </c>
      <c r="F2822" t="s"/>
      <c r="G2822" t="s"/>
      <c r="H2822" t="s"/>
      <c r="I2822" t="s"/>
      <c r="J2822" t="n">
        <v>0</v>
      </c>
      <c r="K2822" t="n">
        <v>0</v>
      </c>
      <c r="L2822" t="n">
        <v>1</v>
      </c>
      <c r="M2822" t="n">
        <v>0</v>
      </c>
    </row>
    <row r="2823" spans="1:13">
      <c r="A2823" s="1">
        <f>HYPERLINK("http://www.twitter.com/NathanBLawrence/status/983588347967950848", "983588347967950848")</f>
        <v/>
      </c>
      <c r="B2823" s="2" t="n">
        <v>43200.25822916667</v>
      </c>
      <c r="C2823" t="n">
        <v>0</v>
      </c>
      <c r="D2823" t="n">
        <v>6</v>
      </c>
      <c r="E2823" t="s">
        <v>2787</v>
      </c>
      <c r="F2823" t="s"/>
      <c r="G2823" t="s"/>
      <c r="H2823" t="s"/>
      <c r="I2823" t="s"/>
      <c r="J2823" t="n">
        <v>0</v>
      </c>
      <c r="K2823" t="n">
        <v>0</v>
      </c>
      <c r="L2823" t="n">
        <v>1</v>
      </c>
      <c r="M2823" t="n">
        <v>0</v>
      </c>
    </row>
    <row r="2824" spans="1:13">
      <c r="A2824" s="1">
        <f>HYPERLINK("http://www.twitter.com/NathanBLawrence/status/983588012427829248", "983588012427829248")</f>
        <v/>
      </c>
      <c r="B2824" s="2" t="n">
        <v>43200.25730324074</v>
      </c>
      <c r="C2824" t="n">
        <v>1</v>
      </c>
      <c r="D2824" t="n">
        <v>0</v>
      </c>
      <c r="E2824" t="s">
        <v>2788</v>
      </c>
      <c r="F2824" t="s"/>
      <c r="G2824" t="s"/>
      <c r="H2824" t="s"/>
      <c r="I2824" t="s"/>
      <c r="J2824" t="n">
        <v>-0.5423</v>
      </c>
      <c r="K2824" t="n">
        <v>0.259</v>
      </c>
      <c r="L2824" t="n">
        <v>0.741</v>
      </c>
      <c r="M2824" t="n">
        <v>0</v>
      </c>
    </row>
    <row r="2825" spans="1:13">
      <c r="A2825" s="1">
        <f>HYPERLINK("http://www.twitter.com/NathanBLawrence/status/983586721521700864", "983586721521700864")</f>
        <v/>
      </c>
      <c r="B2825" s="2" t="n">
        <v>43200.25373842593</v>
      </c>
      <c r="C2825" t="n">
        <v>0</v>
      </c>
      <c r="D2825" t="n">
        <v>0</v>
      </c>
      <c r="E2825" t="s">
        <v>2789</v>
      </c>
      <c r="F2825" t="s"/>
      <c r="G2825" t="s"/>
      <c r="H2825" t="s"/>
      <c r="I2825" t="s"/>
      <c r="J2825" t="n">
        <v>0</v>
      </c>
      <c r="K2825" t="n">
        <v>0</v>
      </c>
      <c r="L2825" t="n">
        <v>1</v>
      </c>
      <c r="M2825" t="n">
        <v>0</v>
      </c>
    </row>
    <row r="2826" spans="1:13">
      <c r="A2826" s="1">
        <f>HYPERLINK("http://www.twitter.com/NathanBLawrence/status/983576260004777984", "983576260004777984")</f>
        <v/>
      </c>
      <c r="B2826" s="2" t="n">
        <v>43200.22487268518</v>
      </c>
      <c r="C2826" t="n">
        <v>0</v>
      </c>
      <c r="D2826" t="n">
        <v>2833</v>
      </c>
      <c r="E2826" t="s">
        <v>2790</v>
      </c>
      <c r="F2826">
        <f>HYPERLINK("http://pbs.twimg.com/media/DaS93R7VMAAJ2hz.jpg", "http://pbs.twimg.com/media/DaS93R7VMAAJ2hz.jpg")</f>
        <v/>
      </c>
      <c r="G2826" t="s"/>
      <c r="H2826" t="s"/>
      <c r="I2826" t="s"/>
      <c r="J2826" t="n">
        <v>-0.4767</v>
      </c>
      <c r="K2826" t="n">
        <v>0.119</v>
      </c>
      <c r="L2826" t="n">
        <v>0.881</v>
      </c>
      <c r="M2826" t="n">
        <v>0</v>
      </c>
    </row>
    <row r="2827" spans="1:13">
      <c r="A2827" s="1">
        <f>HYPERLINK("http://www.twitter.com/NathanBLawrence/status/983576222029570048", "983576222029570048")</f>
        <v/>
      </c>
      <c r="B2827" s="2" t="n">
        <v>43200.22475694444</v>
      </c>
      <c r="C2827" t="n">
        <v>0</v>
      </c>
      <c r="D2827" t="n">
        <v>1763</v>
      </c>
      <c r="E2827" t="s">
        <v>2791</v>
      </c>
      <c r="F2827">
        <f>HYPERLINK("http://pbs.twimg.com/media/DaYDc_GUMAA_AxX.jpg", "http://pbs.twimg.com/media/DaYDc_GUMAA_AxX.jpg")</f>
        <v/>
      </c>
      <c r="G2827" t="s"/>
      <c r="H2827" t="s"/>
      <c r="I2827" t="s"/>
      <c r="J2827" t="n">
        <v>-0.7809</v>
      </c>
      <c r="K2827" t="n">
        <v>0.265</v>
      </c>
      <c r="L2827" t="n">
        <v>0.735</v>
      </c>
      <c r="M2827" t="n">
        <v>0</v>
      </c>
    </row>
    <row r="2828" spans="1:13">
      <c r="A2828" s="1">
        <f>HYPERLINK("http://www.twitter.com/NathanBLawrence/status/983575996761812993", "983575996761812993")</f>
        <v/>
      </c>
      <c r="B2828" s="2" t="n">
        <v>43200.22414351852</v>
      </c>
      <c r="C2828" t="n">
        <v>7</v>
      </c>
      <c r="D2828" t="n">
        <v>5</v>
      </c>
      <c r="E2828" t="s">
        <v>2792</v>
      </c>
      <c r="F2828">
        <f>HYPERLINK("http://pbs.twimg.com/media/DaZdJUAX4AAIS8d.jpg", "http://pbs.twimg.com/media/DaZdJUAX4AAIS8d.jpg")</f>
        <v/>
      </c>
      <c r="G2828" t="s"/>
      <c r="H2828" t="s"/>
      <c r="I2828" t="s"/>
      <c r="J2828" t="n">
        <v>0</v>
      </c>
      <c r="K2828" t="n">
        <v>0</v>
      </c>
      <c r="L2828" t="n">
        <v>1</v>
      </c>
      <c r="M2828" t="n">
        <v>0</v>
      </c>
    </row>
    <row r="2829" spans="1:13">
      <c r="A2829" s="1">
        <f>HYPERLINK("http://www.twitter.com/NathanBLawrence/status/983575826162683905", "983575826162683905")</f>
        <v/>
      </c>
      <c r="B2829" s="2" t="n">
        <v>43200.22366898148</v>
      </c>
      <c r="C2829" t="n">
        <v>0</v>
      </c>
      <c r="D2829" t="n">
        <v>4</v>
      </c>
      <c r="E2829" t="s">
        <v>2793</v>
      </c>
      <c r="F2829">
        <f>HYPERLINK("http://pbs.twimg.com/media/DaZZE8XWsAAOeXj.jpg", "http://pbs.twimg.com/media/DaZZE8XWsAAOeXj.jpg")</f>
        <v/>
      </c>
      <c r="G2829" t="s"/>
      <c r="H2829" t="s"/>
      <c r="I2829" t="s"/>
      <c r="J2829" t="n">
        <v>0.3612</v>
      </c>
      <c r="K2829" t="n">
        <v>0</v>
      </c>
      <c r="L2829" t="n">
        <v>0.872</v>
      </c>
      <c r="M2829" t="n">
        <v>0.128</v>
      </c>
    </row>
    <row r="2830" spans="1:13">
      <c r="A2830" s="1">
        <f>HYPERLINK("http://www.twitter.com/NathanBLawrence/status/983575797255548928", "983575797255548928")</f>
        <v/>
      </c>
      <c r="B2830" s="2" t="n">
        <v>43200.22358796297</v>
      </c>
      <c r="C2830" t="n">
        <v>11</v>
      </c>
      <c r="D2830" t="n">
        <v>3</v>
      </c>
      <c r="E2830" t="s">
        <v>2794</v>
      </c>
      <c r="F2830">
        <f>HYPERLINK("http://pbs.twimg.com/media/DaZc9xHXUAAmPMX.jpg", "http://pbs.twimg.com/media/DaZc9xHXUAAmPMX.jpg")</f>
        <v/>
      </c>
      <c r="G2830" t="s"/>
      <c r="H2830" t="s"/>
      <c r="I2830" t="s"/>
      <c r="J2830" t="n">
        <v>0</v>
      </c>
      <c r="K2830" t="n">
        <v>0</v>
      </c>
      <c r="L2830" t="n">
        <v>1</v>
      </c>
      <c r="M2830" t="n">
        <v>0</v>
      </c>
    </row>
    <row r="2831" spans="1:13">
      <c r="A2831" s="1">
        <f>HYPERLINK("http://www.twitter.com/NathanBLawrence/status/983575653051224064", "983575653051224064")</f>
        <v/>
      </c>
      <c r="B2831" s="2" t="n">
        <v>43200.22319444444</v>
      </c>
      <c r="C2831" t="n">
        <v>0</v>
      </c>
      <c r="D2831" t="n">
        <v>5</v>
      </c>
      <c r="E2831" t="s">
        <v>2795</v>
      </c>
      <c r="F2831">
        <f>HYPERLINK("http://pbs.twimg.com/media/DaZZntLXUAANoSA.jpg", "http://pbs.twimg.com/media/DaZZntLXUAANoSA.jpg")</f>
        <v/>
      </c>
      <c r="G2831" t="s"/>
      <c r="H2831" t="s"/>
      <c r="I2831" t="s"/>
      <c r="J2831" t="n">
        <v>-0.5574</v>
      </c>
      <c r="K2831" t="n">
        <v>0.213</v>
      </c>
      <c r="L2831" t="n">
        <v>0.787</v>
      </c>
      <c r="M2831" t="n">
        <v>0</v>
      </c>
    </row>
    <row r="2832" spans="1:13">
      <c r="A2832" s="1">
        <f>HYPERLINK("http://www.twitter.com/NathanBLawrence/status/983575614815916032", "983575614815916032")</f>
        <v/>
      </c>
      <c r="B2832" s="2" t="n">
        <v>43200.22309027778</v>
      </c>
      <c r="C2832" t="n">
        <v>0</v>
      </c>
      <c r="D2832" t="n">
        <v>10</v>
      </c>
      <c r="E2832" t="s">
        <v>2796</v>
      </c>
      <c r="F2832">
        <f>HYPERLINK("http://pbs.twimg.com/media/DaZYbrxW0AAw-TG.jpg", "http://pbs.twimg.com/media/DaZYbrxW0AAw-TG.jpg")</f>
        <v/>
      </c>
      <c r="G2832" t="s"/>
      <c r="H2832" t="s"/>
      <c r="I2832" t="s"/>
      <c r="J2832" t="n">
        <v>0.3054</v>
      </c>
      <c r="K2832" t="n">
        <v>0</v>
      </c>
      <c r="L2832" t="n">
        <v>0.877</v>
      </c>
      <c r="M2832" t="n">
        <v>0.123</v>
      </c>
    </row>
    <row r="2833" spans="1:13">
      <c r="A2833" s="1">
        <f>HYPERLINK("http://www.twitter.com/NathanBLawrence/status/983572974979698688", "983572974979698688")</f>
        <v/>
      </c>
      <c r="B2833" s="2" t="n">
        <v>43200.21579861111</v>
      </c>
      <c r="C2833" t="n">
        <v>0</v>
      </c>
      <c r="D2833" t="n">
        <v>0</v>
      </c>
      <c r="E2833" t="s">
        <v>2797</v>
      </c>
      <c r="F2833">
        <f>HYPERLINK("http://pbs.twimg.com/media/DaZaZqJW0AA1L5-.jpg", "http://pbs.twimg.com/media/DaZaZqJW0AA1L5-.jpg")</f>
        <v/>
      </c>
      <c r="G2833" t="s"/>
      <c r="H2833" t="s"/>
      <c r="I2833" t="s"/>
      <c r="J2833" t="n">
        <v>0.3939</v>
      </c>
      <c r="K2833" t="n">
        <v>0</v>
      </c>
      <c r="L2833" t="n">
        <v>0.865</v>
      </c>
      <c r="M2833" t="n">
        <v>0.135</v>
      </c>
    </row>
    <row r="2834" spans="1:13">
      <c r="A2834" s="1">
        <f>HYPERLINK("http://www.twitter.com/NathanBLawrence/status/983572715683635200", "983572715683635200")</f>
        <v/>
      </c>
      <c r="B2834" s="2" t="n">
        <v>43200.21508101852</v>
      </c>
      <c r="C2834" t="n">
        <v>0</v>
      </c>
      <c r="D2834" t="n">
        <v>1</v>
      </c>
      <c r="E2834" t="s">
        <v>2798</v>
      </c>
      <c r="F2834" t="s"/>
      <c r="G2834" t="s"/>
      <c r="H2834" t="s"/>
      <c r="I2834" t="s"/>
      <c r="J2834" t="n">
        <v>-0.4753</v>
      </c>
      <c r="K2834" t="n">
        <v>0.134</v>
      </c>
      <c r="L2834" t="n">
        <v>0.866</v>
      </c>
      <c r="M2834" t="n">
        <v>0</v>
      </c>
    </row>
    <row r="2835" spans="1:13">
      <c r="A2835" s="1">
        <f>HYPERLINK("http://www.twitter.com/NathanBLawrence/status/983572662281818113", "983572662281818113")</f>
        <v/>
      </c>
      <c r="B2835" s="2" t="n">
        <v>43200.21494212963</v>
      </c>
      <c r="C2835" t="n">
        <v>0</v>
      </c>
      <c r="D2835" t="n">
        <v>0</v>
      </c>
      <c r="E2835" t="s">
        <v>2799</v>
      </c>
      <c r="F2835" t="s"/>
      <c r="G2835" t="s"/>
      <c r="H2835" t="s"/>
      <c r="I2835" t="s"/>
      <c r="J2835" t="n">
        <v>0</v>
      </c>
      <c r="K2835" t="n">
        <v>0</v>
      </c>
      <c r="L2835" t="n">
        <v>1</v>
      </c>
      <c r="M2835" t="n">
        <v>0</v>
      </c>
    </row>
    <row r="2836" spans="1:13">
      <c r="A2836" s="1">
        <f>HYPERLINK("http://www.twitter.com/NathanBLawrence/status/983572509210632192", "983572509210632192")</f>
        <v/>
      </c>
      <c r="B2836" s="2" t="n">
        <v>43200.21451388889</v>
      </c>
      <c r="C2836" t="n">
        <v>0</v>
      </c>
      <c r="D2836" t="n">
        <v>1</v>
      </c>
      <c r="E2836" t="s">
        <v>2800</v>
      </c>
      <c r="F2836">
        <f>HYPERLINK("http://pbs.twimg.com/media/DaZZ-jaWsAA0ftd.jpg", "http://pbs.twimg.com/media/DaZZ-jaWsAA0ftd.jpg")</f>
        <v/>
      </c>
      <c r="G2836" t="s"/>
      <c r="H2836" t="s"/>
      <c r="I2836" t="s"/>
      <c r="J2836" t="n">
        <v>0</v>
      </c>
      <c r="K2836" t="n">
        <v>0</v>
      </c>
      <c r="L2836" t="n">
        <v>1</v>
      </c>
      <c r="M2836" t="n">
        <v>0</v>
      </c>
    </row>
    <row r="2837" spans="1:13">
      <c r="A2837" s="1">
        <f>HYPERLINK("http://www.twitter.com/NathanBLawrence/status/983572345355980800", "983572345355980800")</f>
        <v/>
      </c>
      <c r="B2837" s="2" t="n">
        <v>43200.2140625</v>
      </c>
      <c r="C2837" t="n">
        <v>1</v>
      </c>
      <c r="D2837" t="n">
        <v>0</v>
      </c>
      <c r="E2837" t="s">
        <v>2801</v>
      </c>
      <c r="F2837" t="s"/>
      <c r="G2837" t="s"/>
      <c r="H2837" t="s"/>
      <c r="I2837" t="s"/>
      <c r="J2837" t="n">
        <v>-0.5719</v>
      </c>
      <c r="K2837" t="n">
        <v>0.236</v>
      </c>
      <c r="L2837" t="n">
        <v>0.764</v>
      </c>
      <c r="M2837" t="n">
        <v>0</v>
      </c>
    </row>
    <row r="2838" spans="1:13">
      <c r="A2838" s="1">
        <f>HYPERLINK("http://www.twitter.com/NathanBLawrence/status/983572129248575488", "983572129248575488")</f>
        <v/>
      </c>
      <c r="B2838" s="2" t="n">
        <v>43200.21347222223</v>
      </c>
      <c r="C2838" t="n">
        <v>9</v>
      </c>
      <c r="D2838" t="n">
        <v>5</v>
      </c>
      <c r="E2838" t="s">
        <v>2802</v>
      </c>
      <c r="F2838">
        <f>HYPERLINK("http://pbs.twimg.com/media/DaZZntLXUAANoSA.jpg", "http://pbs.twimg.com/media/DaZZntLXUAANoSA.jpg")</f>
        <v/>
      </c>
      <c r="G2838" t="s"/>
      <c r="H2838" t="s"/>
      <c r="I2838" t="s"/>
      <c r="J2838" t="n">
        <v>-0.6072</v>
      </c>
      <c r="K2838" t="n">
        <v>0.199</v>
      </c>
      <c r="L2838" t="n">
        <v>0.801</v>
      </c>
      <c r="M2838" t="n">
        <v>0</v>
      </c>
    </row>
    <row r="2839" spans="1:13">
      <c r="A2839" s="1">
        <f>HYPERLINK("http://www.twitter.com/NathanBLawrence/status/983571628633264128", "983571628633264128")</f>
        <v/>
      </c>
      <c r="B2839" s="2" t="n">
        <v>43200.21208333333</v>
      </c>
      <c r="C2839" t="n">
        <v>6</v>
      </c>
      <c r="D2839" t="n">
        <v>4</v>
      </c>
      <c r="E2839" t="s">
        <v>2803</v>
      </c>
      <c r="F2839">
        <f>HYPERLINK("http://pbs.twimg.com/media/DaZZE8XWsAAOeXj.jpg", "http://pbs.twimg.com/media/DaZZE8XWsAAOeXj.jpg")</f>
        <v/>
      </c>
      <c r="G2839" t="s"/>
      <c r="H2839" t="s"/>
      <c r="I2839" t="s"/>
      <c r="J2839" t="n">
        <v>0.3612</v>
      </c>
      <c r="K2839" t="n">
        <v>0</v>
      </c>
      <c r="L2839" t="n">
        <v>0.93</v>
      </c>
      <c r="M2839" t="n">
        <v>0.07000000000000001</v>
      </c>
    </row>
    <row r="2840" spans="1:13">
      <c r="A2840" s="1">
        <f>HYPERLINK("http://www.twitter.com/NathanBLawrence/status/983571098662068224", "983571098662068224")</f>
        <v/>
      </c>
      <c r="B2840" s="2" t="n">
        <v>43200.210625</v>
      </c>
      <c r="C2840" t="n">
        <v>4</v>
      </c>
      <c r="D2840" t="n">
        <v>0</v>
      </c>
      <c r="E2840" t="s">
        <v>2804</v>
      </c>
      <c r="F2840" t="s"/>
      <c r="G2840" t="s"/>
      <c r="H2840" t="s"/>
      <c r="I2840" t="s"/>
      <c r="J2840" t="n">
        <v>0.2023</v>
      </c>
      <c r="K2840" t="n">
        <v>0.109</v>
      </c>
      <c r="L2840" t="n">
        <v>0.724</v>
      </c>
      <c r="M2840" t="n">
        <v>0.168</v>
      </c>
    </row>
    <row r="2841" spans="1:13">
      <c r="A2841" s="1">
        <f>HYPERLINK("http://www.twitter.com/NathanBLawrence/status/983570812841222144", "983570812841222144")</f>
        <v/>
      </c>
      <c r="B2841" s="2" t="n">
        <v>43200.20983796296</v>
      </c>
      <c r="C2841" t="n">
        <v>15</v>
      </c>
      <c r="D2841" t="n">
        <v>10</v>
      </c>
      <c r="E2841" t="s">
        <v>2805</v>
      </c>
      <c r="F2841">
        <f>HYPERLINK("http://pbs.twimg.com/media/DaZYbrxW0AAw-TG.jpg", "http://pbs.twimg.com/media/DaZYbrxW0AAw-TG.jpg")</f>
        <v/>
      </c>
      <c r="G2841" t="s"/>
      <c r="H2841" t="s"/>
      <c r="I2841" t="s"/>
      <c r="J2841" t="n">
        <v>-0.6348</v>
      </c>
      <c r="K2841" t="n">
        <v>0.183</v>
      </c>
      <c r="L2841" t="n">
        <v>0.697</v>
      </c>
      <c r="M2841" t="n">
        <v>0.12</v>
      </c>
    </row>
    <row r="2842" spans="1:13">
      <c r="A2842" s="1">
        <f>HYPERLINK("http://www.twitter.com/NathanBLawrence/status/983570436037505024", "983570436037505024")</f>
        <v/>
      </c>
      <c r="B2842" s="2" t="n">
        <v>43200.2087962963</v>
      </c>
      <c r="C2842" t="n">
        <v>4</v>
      </c>
      <c r="D2842" t="n">
        <v>3</v>
      </c>
      <c r="E2842" t="s">
        <v>2806</v>
      </c>
      <c r="F2842" t="s"/>
      <c r="G2842" t="s"/>
      <c r="H2842" t="s"/>
      <c r="I2842" t="s"/>
      <c r="J2842" t="n">
        <v>-0.8381</v>
      </c>
      <c r="K2842" t="n">
        <v>0.254</v>
      </c>
      <c r="L2842" t="n">
        <v>0.611</v>
      </c>
      <c r="M2842" t="n">
        <v>0.135</v>
      </c>
    </row>
    <row r="2843" spans="1:13">
      <c r="A2843" s="1">
        <f>HYPERLINK("http://www.twitter.com/NathanBLawrence/status/983568845414785024", "983568845414785024")</f>
        <v/>
      </c>
      <c r="B2843" s="2" t="n">
        <v>43200.20440972222</v>
      </c>
      <c r="C2843" t="n">
        <v>2</v>
      </c>
      <c r="D2843" t="n">
        <v>1</v>
      </c>
      <c r="E2843" t="s">
        <v>2807</v>
      </c>
      <c r="F2843" t="s"/>
      <c r="G2843" t="s"/>
      <c r="H2843" t="s"/>
      <c r="I2843" t="s"/>
      <c r="J2843" t="n">
        <v>-0.1114</v>
      </c>
      <c r="K2843" t="n">
        <v>0.165</v>
      </c>
      <c r="L2843" t="n">
        <v>0.697</v>
      </c>
      <c r="M2843" t="n">
        <v>0.138</v>
      </c>
    </row>
    <row r="2844" spans="1:13">
      <c r="A2844" s="1">
        <f>HYPERLINK("http://www.twitter.com/NathanBLawrence/status/983567599689756672", "983567599689756672")</f>
        <v/>
      </c>
      <c r="B2844" s="2" t="n">
        <v>43200.20097222222</v>
      </c>
      <c r="C2844" t="n">
        <v>0</v>
      </c>
      <c r="D2844" t="n">
        <v>5</v>
      </c>
      <c r="E2844" t="s">
        <v>2808</v>
      </c>
      <c r="F2844">
        <f>HYPERLINK("http://pbs.twimg.com/media/DaZN2COWsAAZkO_.jpg", "http://pbs.twimg.com/media/DaZN2COWsAAZkO_.jpg")</f>
        <v/>
      </c>
      <c r="G2844" t="s"/>
      <c r="H2844" t="s"/>
      <c r="I2844" t="s"/>
      <c r="J2844" t="n">
        <v>-0.7096</v>
      </c>
      <c r="K2844" t="n">
        <v>0.296</v>
      </c>
      <c r="L2844" t="n">
        <v>0.704</v>
      </c>
      <c r="M2844" t="n">
        <v>0</v>
      </c>
    </row>
    <row r="2845" spans="1:13">
      <c r="A2845" s="1">
        <f>HYPERLINK("http://www.twitter.com/NathanBLawrence/status/983567585714335744", "983567585714335744")</f>
        <v/>
      </c>
      <c r="B2845" s="2" t="n">
        <v>43200.20092592593</v>
      </c>
      <c r="C2845" t="n">
        <v>0</v>
      </c>
      <c r="D2845" t="n">
        <v>7</v>
      </c>
      <c r="E2845" t="s">
        <v>2809</v>
      </c>
      <c r="F2845">
        <f>HYPERLINK("http://pbs.twimg.com/media/DaZOPKnWAAEV5Zz.jpg", "http://pbs.twimg.com/media/DaZOPKnWAAEV5Zz.jpg")</f>
        <v/>
      </c>
      <c r="G2845" t="s"/>
      <c r="H2845" t="s"/>
      <c r="I2845" t="s"/>
      <c r="J2845" t="n">
        <v>0.4939</v>
      </c>
      <c r="K2845" t="n">
        <v>0</v>
      </c>
      <c r="L2845" t="n">
        <v>0.824</v>
      </c>
      <c r="M2845" t="n">
        <v>0.176</v>
      </c>
    </row>
    <row r="2846" spans="1:13">
      <c r="A2846" s="1">
        <f>HYPERLINK("http://www.twitter.com/NathanBLawrence/status/983567533973409792", "983567533973409792")</f>
        <v/>
      </c>
      <c r="B2846" s="2" t="n">
        <v>43200.20078703704</v>
      </c>
      <c r="C2846" t="n">
        <v>0</v>
      </c>
      <c r="D2846" t="n">
        <v>11</v>
      </c>
      <c r="E2846" t="s">
        <v>2810</v>
      </c>
      <c r="F2846">
        <f>HYPERLINK("http://pbs.twimg.com/media/DaZSx_oWAAAMgNe.jpg", "http://pbs.twimg.com/media/DaZSx_oWAAAMgNe.jpg")</f>
        <v/>
      </c>
      <c r="G2846" t="s"/>
      <c r="H2846" t="s"/>
      <c r="I2846" t="s"/>
      <c r="J2846" t="n">
        <v>-0.3612</v>
      </c>
      <c r="K2846" t="n">
        <v>0.122</v>
      </c>
      <c r="L2846" t="n">
        <v>0.878</v>
      </c>
      <c r="M2846" t="n">
        <v>0</v>
      </c>
    </row>
    <row r="2847" spans="1:13">
      <c r="A2847" s="1">
        <f>HYPERLINK("http://www.twitter.com/NathanBLawrence/status/983567378792550400", "983567378792550400")</f>
        <v/>
      </c>
      <c r="B2847" s="2" t="n">
        <v>43200.2003587963</v>
      </c>
      <c r="C2847" t="n">
        <v>0</v>
      </c>
      <c r="D2847" t="n">
        <v>3555</v>
      </c>
      <c r="E2847" t="s">
        <v>2811</v>
      </c>
      <c r="F2847" t="s"/>
      <c r="G2847" t="s"/>
      <c r="H2847" t="s"/>
      <c r="I2847" t="s"/>
      <c r="J2847" t="n">
        <v>-0.5256</v>
      </c>
      <c r="K2847" t="n">
        <v>0.145</v>
      </c>
      <c r="L2847" t="n">
        <v>0.855</v>
      </c>
      <c r="M2847" t="n">
        <v>0</v>
      </c>
    </row>
    <row r="2848" spans="1:13">
      <c r="A2848" s="1">
        <f>HYPERLINK("http://www.twitter.com/NathanBLawrence/status/983567348081876992", "983567348081876992")</f>
        <v/>
      </c>
      <c r="B2848" s="2" t="n">
        <v>43200.20027777777</v>
      </c>
      <c r="C2848" t="n">
        <v>0</v>
      </c>
      <c r="D2848" t="n">
        <v>3645</v>
      </c>
      <c r="E2848" t="s">
        <v>2812</v>
      </c>
      <c r="F2848" t="s"/>
      <c r="G2848" t="s"/>
      <c r="H2848" t="s"/>
      <c r="I2848" t="s"/>
      <c r="J2848" t="n">
        <v>-0.6705</v>
      </c>
      <c r="K2848" t="n">
        <v>0.22</v>
      </c>
      <c r="L2848" t="n">
        <v>0.78</v>
      </c>
      <c r="M2848" t="n">
        <v>0</v>
      </c>
    </row>
    <row r="2849" spans="1:13">
      <c r="A2849" s="1">
        <f>HYPERLINK("http://www.twitter.com/NathanBLawrence/status/983567295963389952", "983567295963389952")</f>
        <v/>
      </c>
      <c r="B2849" s="2" t="n">
        <v>43200.20012731481</v>
      </c>
      <c r="C2849" t="n">
        <v>0</v>
      </c>
      <c r="D2849" t="n">
        <v>1411</v>
      </c>
      <c r="E2849" t="s">
        <v>2813</v>
      </c>
      <c r="F2849" t="s"/>
      <c r="G2849" t="s"/>
      <c r="H2849" t="s"/>
      <c r="I2849" t="s"/>
      <c r="J2849" t="n">
        <v>0.128</v>
      </c>
      <c r="K2849" t="n">
        <v>0.092</v>
      </c>
      <c r="L2849" t="n">
        <v>0.757</v>
      </c>
      <c r="M2849" t="n">
        <v>0.151</v>
      </c>
    </row>
    <row r="2850" spans="1:13">
      <c r="A2850" s="1">
        <f>HYPERLINK("http://www.twitter.com/NathanBLawrence/status/983567175498850304", "983567175498850304")</f>
        <v/>
      </c>
      <c r="B2850" s="2" t="n">
        <v>43200.19980324074</v>
      </c>
      <c r="C2850" t="n">
        <v>0</v>
      </c>
      <c r="D2850" t="n">
        <v>5590</v>
      </c>
      <c r="E2850" t="s">
        <v>2814</v>
      </c>
      <c r="F2850">
        <f>HYPERLINK("https://video.twimg.com/amplify_video/983510430567096320/vid/1280x720/qSRzCU8H1P_v9f8a.mp4?tag=2", "https://video.twimg.com/amplify_video/983510430567096320/vid/1280x720/qSRzCU8H1P_v9f8a.mp4?tag=2")</f>
        <v/>
      </c>
      <c r="G2850" t="s"/>
      <c r="H2850" t="s"/>
      <c r="I2850" t="s"/>
      <c r="J2850" t="n">
        <v>0.3818</v>
      </c>
      <c r="K2850" t="n">
        <v>0</v>
      </c>
      <c r="L2850" t="n">
        <v>0.874</v>
      </c>
      <c r="M2850" t="n">
        <v>0.126</v>
      </c>
    </row>
    <row r="2851" spans="1:13">
      <c r="A2851" s="1">
        <f>HYPERLINK("http://www.twitter.com/NathanBLawrence/status/983567144666443776", "983567144666443776")</f>
        <v/>
      </c>
      <c r="B2851" s="2" t="n">
        <v>43200.19971064815</v>
      </c>
      <c r="C2851" t="n">
        <v>0</v>
      </c>
      <c r="D2851" t="n">
        <v>2562</v>
      </c>
      <c r="E2851" t="s">
        <v>2815</v>
      </c>
      <c r="F2851" t="s"/>
      <c r="G2851" t="s"/>
      <c r="H2851" t="s"/>
      <c r="I2851" t="s"/>
      <c r="J2851" t="n">
        <v>0</v>
      </c>
      <c r="K2851" t="n">
        <v>0</v>
      </c>
      <c r="L2851" t="n">
        <v>1</v>
      </c>
      <c r="M2851" t="n">
        <v>0</v>
      </c>
    </row>
    <row r="2852" spans="1:13">
      <c r="A2852" s="1">
        <f>HYPERLINK("http://www.twitter.com/NathanBLawrence/status/983567130535833600", "983567130535833600")</f>
        <v/>
      </c>
      <c r="B2852" s="2" t="n">
        <v>43200.19967592593</v>
      </c>
      <c r="C2852" t="n">
        <v>0</v>
      </c>
      <c r="D2852" t="n">
        <v>1488</v>
      </c>
      <c r="E2852" t="s">
        <v>2816</v>
      </c>
      <c r="F2852" t="s"/>
      <c r="G2852" t="s"/>
      <c r="H2852" t="s"/>
      <c r="I2852" t="s"/>
      <c r="J2852" t="n">
        <v>0</v>
      </c>
      <c r="K2852" t="n">
        <v>0</v>
      </c>
      <c r="L2852" t="n">
        <v>1</v>
      </c>
      <c r="M2852" t="n">
        <v>0</v>
      </c>
    </row>
    <row r="2853" spans="1:13">
      <c r="A2853" s="1">
        <f>HYPERLINK("http://www.twitter.com/NathanBLawrence/status/983567097514135552", "983567097514135552")</f>
        <v/>
      </c>
      <c r="B2853" s="2" t="n">
        <v>43200.19958333333</v>
      </c>
      <c r="C2853" t="n">
        <v>0</v>
      </c>
      <c r="D2853" t="n">
        <v>805</v>
      </c>
      <c r="E2853" t="s">
        <v>2817</v>
      </c>
      <c r="F2853" t="s"/>
      <c r="G2853" t="s"/>
      <c r="H2853" t="s"/>
      <c r="I2853" t="s"/>
      <c r="J2853" t="n">
        <v>0</v>
      </c>
      <c r="K2853" t="n">
        <v>0</v>
      </c>
      <c r="L2853" t="n">
        <v>1</v>
      </c>
      <c r="M2853" t="n">
        <v>0</v>
      </c>
    </row>
    <row r="2854" spans="1:13">
      <c r="A2854" s="1">
        <f>HYPERLINK("http://www.twitter.com/NathanBLawrence/status/983566973245239297", "983566973245239297")</f>
        <v/>
      </c>
      <c r="B2854" s="2" t="n">
        <v>43200.19923611111</v>
      </c>
      <c r="C2854" t="n">
        <v>0</v>
      </c>
      <c r="D2854" t="n">
        <v>5</v>
      </c>
      <c r="E2854" t="s">
        <v>2818</v>
      </c>
      <c r="F2854">
        <f>HYPERLINK("http://pbs.twimg.com/media/DaZPHgFU0AAZra_.jpg", "http://pbs.twimg.com/media/DaZPHgFU0AAZra_.jpg")</f>
        <v/>
      </c>
      <c r="G2854">
        <f>HYPERLINK("http://pbs.twimg.com/media/DaZPHgEV4AA9sV3.jpg", "http://pbs.twimg.com/media/DaZPHgEV4AA9sV3.jpg")</f>
        <v/>
      </c>
      <c r="H2854" t="s"/>
      <c r="I2854" t="s"/>
      <c r="J2854" t="n">
        <v>-0.5719</v>
      </c>
      <c r="K2854" t="n">
        <v>0.188</v>
      </c>
      <c r="L2854" t="n">
        <v>0.8120000000000001</v>
      </c>
      <c r="M2854" t="n">
        <v>0</v>
      </c>
    </row>
    <row r="2855" spans="1:13">
      <c r="A2855" s="1">
        <f>HYPERLINK("http://www.twitter.com/NathanBLawrence/status/983566944149360640", "983566944149360640")</f>
        <v/>
      </c>
      <c r="B2855" s="2" t="n">
        <v>43200.1991550926</v>
      </c>
      <c r="C2855" t="n">
        <v>0</v>
      </c>
      <c r="D2855" t="n">
        <v>6</v>
      </c>
      <c r="E2855" t="s">
        <v>2819</v>
      </c>
      <c r="F2855">
        <f>HYPERLINK("http://pbs.twimg.com/media/DaZOvYiVMAA0iSy.jpg", "http://pbs.twimg.com/media/DaZOvYiVMAA0iSy.jpg")</f>
        <v/>
      </c>
      <c r="G2855" t="s"/>
      <c r="H2855" t="s"/>
      <c r="I2855" t="s"/>
      <c r="J2855" t="n">
        <v>0</v>
      </c>
      <c r="K2855" t="n">
        <v>0</v>
      </c>
      <c r="L2855" t="n">
        <v>1</v>
      </c>
      <c r="M2855" t="n">
        <v>0</v>
      </c>
    </row>
    <row r="2856" spans="1:13">
      <c r="A2856" s="1">
        <f>HYPERLINK("http://www.twitter.com/NathanBLawrence/status/983565649556463616", "983565649556463616")</f>
        <v/>
      </c>
      <c r="B2856" s="2" t="n">
        <v>43200.19559027778</v>
      </c>
      <c r="C2856" t="n">
        <v>0</v>
      </c>
      <c r="D2856" t="n">
        <v>3</v>
      </c>
      <c r="E2856" t="s">
        <v>2820</v>
      </c>
      <c r="F2856">
        <f>HYPERLINK("http://pbs.twimg.com/media/DaZKuneWsAAEOOm.jpg", "http://pbs.twimg.com/media/DaZKuneWsAAEOOm.jpg")</f>
        <v/>
      </c>
      <c r="G2856" t="s"/>
      <c r="H2856" t="s"/>
      <c r="I2856" t="s"/>
      <c r="J2856" t="n">
        <v>0</v>
      </c>
      <c r="K2856" t="n">
        <v>0</v>
      </c>
      <c r="L2856" t="n">
        <v>1</v>
      </c>
      <c r="M2856" t="n">
        <v>0</v>
      </c>
    </row>
    <row r="2857" spans="1:13">
      <c r="A2857" s="1">
        <f>HYPERLINK("http://www.twitter.com/NathanBLawrence/status/983565425307942912", "983565425307942912")</f>
        <v/>
      </c>
      <c r="B2857" s="2" t="n">
        <v>43200.19496527778</v>
      </c>
      <c r="C2857" t="n">
        <v>0</v>
      </c>
      <c r="D2857" t="n">
        <v>3</v>
      </c>
      <c r="E2857" t="s">
        <v>2821</v>
      </c>
      <c r="F2857">
        <f>HYPERLINK("http://pbs.twimg.com/media/DaZP0W2U0AA24EV.jpg", "http://pbs.twimg.com/media/DaZP0W2U0AA24EV.jpg")</f>
        <v/>
      </c>
      <c r="G2857" t="s"/>
      <c r="H2857" t="s"/>
      <c r="I2857" t="s"/>
      <c r="J2857" t="n">
        <v>-0.6808</v>
      </c>
      <c r="K2857" t="n">
        <v>0.28</v>
      </c>
      <c r="L2857" t="n">
        <v>0.72</v>
      </c>
      <c r="M2857" t="n">
        <v>0</v>
      </c>
    </row>
    <row r="2858" spans="1:13">
      <c r="A2858" s="1">
        <f>HYPERLINK("http://www.twitter.com/NathanBLawrence/status/983565264800419840", "983565264800419840")</f>
        <v/>
      </c>
      <c r="B2858" s="2" t="n">
        <v>43200.19452546296</v>
      </c>
      <c r="C2858" t="n">
        <v>0</v>
      </c>
      <c r="D2858" t="n">
        <v>11</v>
      </c>
      <c r="E2858" t="s">
        <v>1339</v>
      </c>
      <c r="F2858">
        <f>HYPERLINK("http://pbs.twimg.com/media/DaXBBz8U8AAOH2V.jpg", "http://pbs.twimg.com/media/DaXBBz8U8AAOH2V.jpg")</f>
        <v/>
      </c>
      <c r="G2858">
        <f>HYPERLINK("http://pbs.twimg.com/media/DaXBBz-U0AEmjAG.jpg", "http://pbs.twimg.com/media/DaXBBz-U0AEmjAG.jpg")</f>
        <v/>
      </c>
      <c r="H2858">
        <f>HYPERLINK("http://pbs.twimg.com/media/DaXBB09V4AE-6xh.jpg", "http://pbs.twimg.com/media/DaXBB09V4AE-6xh.jpg")</f>
        <v/>
      </c>
      <c r="I2858">
        <f>HYPERLINK("http://pbs.twimg.com/media/DaXBB08U8AAdFYD.jpg", "http://pbs.twimg.com/media/DaXBB08U8AAdFYD.jpg")</f>
        <v/>
      </c>
      <c r="J2858" t="n">
        <v>-0.5266999999999999</v>
      </c>
      <c r="K2858" t="n">
        <v>0.227</v>
      </c>
      <c r="L2858" t="n">
        <v>0.773</v>
      </c>
      <c r="M2858" t="n">
        <v>0</v>
      </c>
    </row>
    <row r="2859" spans="1:13">
      <c r="A2859" s="1">
        <f>HYPERLINK("http://www.twitter.com/NathanBLawrence/status/983565232202305536", "983565232202305536")</f>
        <v/>
      </c>
      <c r="B2859" s="2" t="n">
        <v>43200.19443287037</v>
      </c>
      <c r="C2859" t="n">
        <v>0</v>
      </c>
      <c r="D2859" t="n">
        <v>52</v>
      </c>
      <c r="E2859" t="s">
        <v>1632</v>
      </c>
      <c r="F2859" t="s"/>
      <c r="G2859" t="s"/>
      <c r="H2859" t="s"/>
      <c r="I2859" t="s"/>
      <c r="J2859" t="n">
        <v>0</v>
      </c>
      <c r="K2859" t="n">
        <v>0</v>
      </c>
      <c r="L2859" t="n">
        <v>1</v>
      </c>
      <c r="M2859" t="n">
        <v>0</v>
      </c>
    </row>
    <row r="2860" spans="1:13">
      <c r="A2860" s="1">
        <f>HYPERLINK("http://www.twitter.com/NathanBLawrence/status/983555740710375424", "983555740710375424")</f>
        <v/>
      </c>
      <c r="B2860" s="2" t="n">
        <v>43200.16824074074</v>
      </c>
      <c r="C2860" t="n">
        <v>5</v>
      </c>
      <c r="D2860" t="n">
        <v>3</v>
      </c>
      <c r="E2860" t="s">
        <v>2822</v>
      </c>
      <c r="F2860">
        <f>HYPERLINK("http://pbs.twimg.com/media/DaZKuneWsAAEOOm.jpg", "http://pbs.twimg.com/media/DaZKuneWsAAEOOm.jpg")</f>
        <v/>
      </c>
      <c r="G2860" t="s"/>
      <c r="H2860" t="s"/>
      <c r="I2860" t="s"/>
      <c r="J2860" t="n">
        <v>0</v>
      </c>
      <c r="K2860" t="n">
        <v>0</v>
      </c>
      <c r="L2860" t="n">
        <v>1</v>
      </c>
      <c r="M2860" t="n">
        <v>0</v>
      </c>
    </row>
    <row r="2861" spans="1:13">
      <c r="A2861" s="1">
        <f>HYPERLINK("http://www.twitter.com/NathanBLawrence/status/983555545687904259", "983555545687904259")</f>
        <v/>
      </c>
      <c r="B2861" s="2" t="n">
        <v>43200.16770833333</v>
      </c>
      <c r="C2861" t="n">
        <v>4</v>
      </c>
      <c r="D2861" t="n">
        <v>0</v>
      </c>
      <c r="E2861" t="s">
        <v>2823</v>
      </c>
      <c r="F2861" t="s"/>
      <c r="G2861" t="s"/>
      <c r="H2861" t="s"/>
      <c r="I2861" t="s"/>
      <c r="J2861" t="n">
        <v>-0.296</v>
      </c>
      <c r="K2861" t="n">
        <v>0.355</v>
      </c>
      <c r="L2861" t="n">
        <v>0.645</v>
      </c>
      <c r="M2861" t="n">
        <v>0</v>
      </c>
    </row>
    <row r="2862" spans="1:13">
      <c r="A2862" s="1">
        <f>HYPERLINK("http://www.twitter.com/NathanBLawrence/status/983555496501268481", "983555496501268481")</f>
        <v/>
      </c>
      <c r="B2862" s="2" t="n">
        <v>43200.16756944444</v>
      </c>
      <c r="C2862" t="n">
        <v>2</v>
      </c>
      <c r="D2862" t="n">
        <v>0</v>
      </c>
      <c r="E2862" t="s">
        <v>2824</v>
      </c>
      <c r="F2862" t="s"/>
      <c r="G2862" t="s"/>
      <c r="H2862" t="s"/>
      <c r="I2862" t="s"/>
      <c r="J2862" t="n">
        <v>0.34</v>
      </c>
      <c r="K2862" t="n">
        <v>0</v>
      </c>
      <c r="L2862" t="n">
        <v>0.676</v>
      </c>
      <c r="M2862" t="n">
        <v>0.324</v>
      </c>
    </row>
    <row r="2863" spans="1:13">
      <c r="A2863" s="1">
        <f>HYPERLINK("http://www.twitter.com/NathanBLawrence/status/983555464628768769", "983555464628768769")</f>
        <v/>
      </c>
      <c r="B2863" s="2" t="n">
        <v>43200.16748842593</v>
      </c>
      <c r="C2863" t="n">
        <v>0</v>
      </c>
      <c r="D2863" t="n">
        <v>172</v>
      </c>
      <c r="E2863" t="s">
        <v>2825</v>
      </c>
      <c r="F2863" t="s"/>
      <c r="G2863" t="s"/>
      <c r="H2863" t="s"/>
      <c r="I2863" t="s"/>
      <c r="J2863" t="n">
        <v>0</v>
      </c>
      <c r="K2863" t="n">
        <v>0</v>
      </c>
      <c r="L2863" t="n">
        <v>1</v>
      </c>
      <c r="M2863" t="n">
        <v>0</v>
      </c>
    </row>
    <row r="2864" spans="1:13">
      <c r="A2864" s="1">
        <f>HYPERLINK("http://www.twitter.com/NathanBLawrence/status/983537471332941824", "983537471332941824")</f>
        <v/>
      </c>
      <c r="B2864" s="2" t="n">
        <v>43200.11783564815</v>
      </c>
      <c r="C2864" t="n">
        <v>0</v>
      </c>
      <c r="D2864" t="n">
        <v>2887</v>
      </c>
      <c r="E2864" t="s">
        <v>2826</v>
      </c>
      <c r="F2864" t="s"/>
      <c r="G2864" t="s"/>
      <c r="H2864" t="s"/>
      <c r="I2864" t="s"/>
      <c r="J2864" t="n">
        <v>-0.6597</v>
      </c>
      <c r="K2864" t="n">
        <v>0.221</v>
      </c>
      <c r="L2864" t="n">
        <v>0.779</v>
      </c>
      <c r="M2864" t="n">
        <v>0</v>
      </c>
    </row>
    <row r="2865" spans="1:13">
      <c r="A2865" s="1">
        <f>HYPERLINK("http://www.twitter.com/NathanBLawrence/status/983537314931597312", "983537314931597312")</f>
        <v/>
      </c>
      <c r="B2865" s="2" t="n">
        <v>43200.11739583333</v>
      </c>
      <c r="C2865" t="n">
        <v>0</v>
      </c>
      <c r="D2865" t="n">
        <v>6070</v>
      </c>
      <c r="E2865" t="s">
        <v>2827</v>
      </c>
      <c r="F2865" t="s"/>
      <c r="G2865" t="s"/>
      <c r="H2865" t="s"/>
      <c r="I2865" t="s"/>
      <c r="J2865" t="n">
        <v>-0.5719</v>
      </c>
      <c r="K2865" t="n">
        <v>0.198</v>
      </c>
      <c r="L2865" t="n">
        <v>0.802</v>
      </c>
      <c r="M2865" t="n">
        <v>0</v>
      </c>
    </row>
    <row r="2866" spans="1:13">
      <c r="A2866" s="1">
        <f>HYPERLINK("http://www.twitter.com/NathanBLawrence/status/983536866971607041", "983536866971607041")</f>
        <v/>
      </c>
      <c r="B2866" s="2" t="n">
        <v>43200.11615740741</v>
      </c>
      <c r="C2866" t="n">
        <v>1</v>
      </c>
      <c r="D2866" t="n">
        <v>0</v>
      </c>
      <c r="E2866" t="s">
        <v>2828</v>
      </c>
      <c r="F2866" t="s"/>
      <c r="G2866" t="s"/>
      <c r="H2866" t="s"/>
      <c r="I2866" t="s"/>
      <c r="J2866" t="n">
        <v>-0.802</v>
      </c>
      <c r="K2866" t="n">
        <v>0.227</v>
      </c>
      <c r="L2866" t="n">
        <v>0.773</v>
      </c>
      <c r="M2866" t="n">
        <v>0</v>
      </c>
    </row>
    <row r="2867" spans="1:13">
      <c r="A2867" s="1">
        <f>HYPERLINK("http://www.twitter.com/NathanBLawrence/status/983536523181285377", "983536523181285377")</f>
        <v/>
      </c>
      <c r="B2867" s="2" t="n">
        <v>43200.11521990741</v>
      </c>
      <c r="C2867" t="n">
        <v>0</v>
      </c>
      <c r="D2867" t="n">
        <v>0</v>
      </c>
      <c r="E2867" t="s">
        <v>2829</v>
      </c>
      <c r="F2867" t="s"/>
      <c r="G2867" t="s"/>
      <c r="H2867" t="s"/>
      <c r="I2867" t="s"/>
      <c r="J2867" t="n">
        <v>0.1779</v>
      </c>
      <c r="K2867" t="n">
        <v>0.159</v>
      </c>
      <c r="L2867" t="n">
        <v>0.661</v>
      </c>
      <c r="M2867" t="n">
        <v>0.18</v>
      </c>
    </row>
    <row r="2868" spans="1:13">
      <c r="A2868" s="1">
        <f>HYPERLINK("http://www.twitter.com/NathanBLawrence/status/983531431572967424", "983531431572967424")</f>
        <v/>
      </c>
      <c r="B2868" s="2" t="n">
        <v>43200.10116898148</v>
      </c>
      <c r="C2868" t="n">
        <v>0</v>
      </c>
      <c r="D2868" t="n">
        <v>0</v>
      </c>
      <c r="E2868" t="s">
        <v>2830</v>
      </c>
      <c r="F2868" t="s"/>
      <c r="G2868" t="s"/>
      <c r="H2868" t="s"/>
      <c r="I2868" t="s"/>
      <c r="J2868" t="n">
        <v>0.6249</v>
      </c>
      <c r="K2868" t="n">
        <v>0.051</v>
      </c>
      <c r="L2868" t="n">
        <v>0.739</v>
      </c>
      <c r="M2868" t="n">
        <v>0.21</v>
      </c>
    </row>
    <row r="2869" spans="1:13">
      <c r="A2869" s="1">
        <f>HYPERLINK("http://www.twitter.com/NathanBLawrence/status/983530974091907072", "983530974091907072")</f>
        <v/>
      </c>
      <c r="B2869" s="2" t="n">
        <v>43200.09990740741</v>
      </c>
      <c r="C2869" t="n">
        <v>0</v>
      </c>
      <c r="D2869" t="n">
        <v>0</v>
      </c>
      <c r="E2869" t="s">
        <v>2831</v>
      </c>
      <c r="F2869">
        <f>HYPERLINK("http://pbs.twimg.com/media/DaY0M7AW0AAIiCP.jpg", "http://pbs.twimg.com/media/DaY0M7AW0AAIiCP.jpg")</f>
        <v/>
      </c>
      <c r="G2869" t="s"/>
      <c r="H2869" t="s"/>
      <c r="I2869" t="s"/>
      <c r="J2869" t="n">
        <v>0</v>
      </c>
      <c r="K2869" t="n">
        <v>0</v>
      </c>
      <c r="L2869" t="n">
        <v>1</v>
      </c>
      <c r="M2869" t="n">
        <v>0</v>
      </c>
    </row>
    <row r="2870" spans="1:13">
      <c r="A2870" s="1">
        <f>HYPERLINK("http://www.twitter.com/NathanBLawrence/status/983501129723056130", "983501129723056130")</f>
        <v/>
      </c>
      <c r="B2870" s="2" t="n">
        <v>43200.01754629629</v>
      </c>
      <c r="C2870" t="n">
        <v>1</v>
      </c>
      <c r="D2870" t="n">
        <v>0</v>
      </c>
      <c r="E2870" t="s">
        <v>2832</v>
      </c>
      <c r="F2870" t="s"/>
      <c r="G2870" t="s"/>
      <c r="H2870" t="s"/>
      <c r="I2870" t="s"/>
      <c r="J2870" t="n">
        <v>0.2173</v>
      </c>
      <c r="K2870" t="n">
        <v>0.158</v>
      </c>
      <c r="L2870" t="n">
        <v>0.602</v>
      </c>
      <c r="M2870" t="n">
        <v>0.24</v>
      </c>
    </row>
    <row r="2871" spans="1:13">
      <c r="A2871" s="1">
        <f>HYPERLINK("http://www.twitter.com/NathanBLawrence/status/983500843071787008", "983500843071787008")</f>
        <v/>
      </c>
      <c r="B2871" s="2" t="n">
        <v>43200.01675925926</v>
      </c>
      <c r="C2871" t="n">
        <v>0</v>
      </c>
      <c r="D2871" t="n">
        <v>46366</v>
      </c>
      <c r="E2871" t="s">
        <v>2833</v>
      </c>
      <c r="F2871" t="s"/>
      <c r="G2871" t="s"/>
      <c r="H2871" t="s"/>
      <c r="I2871" t="s"/>
      <c r="J2871" t="n">
        <v>0.4215</v>
      </c>
      <c r="K2871" t="n">
        <v>0</v>
      </c>
      <c r="L2871" t="n">
        <v>0.899</v>
      </c>
      <c r="M2871" t="n">
        <v>0.101</v>
      </c>
    </row>
    <row r="2872" spans="1:13">
      <c r="A2872" s="1">
        <f>HYPERLINK("http://www.twitter.com/NathanBLawrence/status/983500824050569216", "983500824050569216")</f>
        <v/>
      </c>
      <c r="B2872" s="2" t="n">
        <v>43200.01670138889</v>
      </c>
      <c r="C2872" t="n">
        <v>0</v>
      </c>
      <c r="D2872" t="n">
        <v>26824</v>
      </c>
      <c r="E2872" t="s">
        <v>2834</v>
      </c>
      <c r="F2872">
        <f>HYPERLINK("https://video.twimg.com/amplify_video/983423134773555200/vid/1280x720/FQ0VrM2AWtT0FoiM.mp4?tag=2", "https://video.twimg.com/amplify_video/983423134773555200/vid/1280x720/FQ0VrM2AWtT0FoiM.mp4?tag=2")</f>
        <v/>
      </c>
      <c r="G2872" t="s"/>
      <c r="H2872" t="s"/>
      <c r="I2872" t="s"/>
      <c r="J2872" t="n">
        <v>0.4019</v>
      </c>
      <c r="K2872" t="n">
        <v>0</v>
      </c>
      <c r="L2872" t="n">
        <v>0.891</v>
      </c>
      <c r="M2872" t="n">
        <v>0.109</v>
      </c>
    </row>
    <row r="2873" spans="1:13">
      <c r="A2873" s="1">
        <f>HYPERLINK("http://www.twitter.com/NathanBLawrence/status/983500814164660224", "983500814164660224")</f>
        <v/>
      </c>
      <c r="B2873" s="2" t="n">
        <v>43200.01667824074</v>
      </c>
      <c r="C2873" t="n">
        <v>0</v>
      </c>
      <c r="D2873" t="n">
        <v>10396</v>
      </c>
      <c r="E2873" t="s">
        <v>2835</v>
      </c>
      <c r="F2873">
        <f>HYPERLINK("http://pbs.twimg.com/media/DaXWCDSXkAA4frN.jpg", "http://pbs.twimg.com/media/DaXWCDSXkAA4frN.jpg")</f>
        <v/>
      </c>
      <c r="G2873">
        <f>HYPERLINK("http://pbs.twimg.com/media/DaXWCDOX4AMf1Cn.jpg", "http://pbs.twimg.com/media/DaXWCDOX4AMf1Cn.jpg")</f>
        <v/>
      </c>
      <c r="H2873">
        <f>HYPERLINK("http://pbs.twimg.com/media/DaXWCDPWkAMAiJG.jpg", "http://pbs.twimg.com/media/DaXWCDPWkAMAiJG.jpg")</f>
        <v/>
      </c>
      <c r="I2873">
        <f>HYPERLINK("http://pbs.twimg.com/media/DaXWCDTW0AEqy55.jpg", "http://pbs.twimg.com/media/DaXWCDTW0AEqy55.jpg")</f>
        <v/>
      </c>
      <c r="J2873" t="n">
        <v>0.6588000000000001</v>
      </c>
      <c r="K2873" t="n">
        <v>0</v>
      </c>
      <c r="L2873" t="n">
        <v>0.715</v>
      </c>
      <c r="M2873" t="n">
        <v>0.285</v>
      </c>
    </row>
    <row r="2874" spans="1:13">
      <c r="A2874" s="1">
        <f>HYPERLINK("http://www.twitter.com/NathanBLawrence/status/983500746124660737", "983500746124660737")</f>
        <v/>
      </c>
      <c r="B2874" s="2" t="n">
        <v>43200.01649305555</v>
      </c>
      <c r="C2874" t="n">
        <v>0</v>
      </c>
      <c r="D2874" t="n">
        <v>5</v>
      </c>
      <c r="E2874" t="s">
        <v>2836</v>
      </c>
      <c r="F2874" t="s"/>
      <c r="G2874" t="s"/>
      <c r="H2874" t="s"/>
      <c r="I2874" t="s"/>
      <c r="J2874" t="n">
        <v>0</v>
      </c>
      <c r="K2874" t="n">
        <v>0</v>
      </c>
      <c r="L2874" t="n">
        <v>1</v>
      </c>
      <c r="M2874" t="n">
        <v>0</v>
      </c>
    </row>
    <row r="2875" spans="1:13">
      <c r="A2875" s="1">
        <f>HYPERLINK("http://www.twitter.com/NathanBLawrence/status/983500666441170944", "983500666441170944")</f>
        <v/>
      </c>
      <c r="B2875" s="2" t="n">
        <v>43200.01627314815</v>
      </c>
      <c r="C2875" t="n">
        <v>0</v>
      </c>
      <c r="D2875" t="n">
        <v>1</v>
      </c>
      <c r="E2875" t="s">
        <v>2837</v>
      </c>
      <c r="F2875" t="s"/>
      <c r="G2875" t="s"/>
      <c r="H2875" t="s"/>
      <c r="I2875" t="s"/>
      <c r="J2875" t="n">
        <v>0</v>
      </c>
      <c r="K2875" t="n">
        <v>0</v>
      </c>
      <c r="L2875" t="n">
        <v>1</v>
      </c>
      <c r="M2875" t="n">
        <v>0</v>
      </c>
    </row>
    <row r="2876" spans="1:13">
      <c r="A2876" s="1">
        <f>HYPERLINK("http://www.twitter.com/NathanBLawrence/status/983500557884297217", "983500557884297217")</f>
        <v/>
      </c>
      <c r="B2876" s="2" t="n">
        <v>43200.01597222222</v>
      </c>
      <c r="C2876" t="n">
        <v>0</v>
      </c>
      <c r="D2876" t="n">
        <v>2</v>
      </c>
      <c r="E2876" t="s">
        <v>2838</v>
      </c>
      <c r="F2876" t="s"/>
      <c r="G2876" t="s"/>
      <c r="H2876" t="s"/>
      <c r="I2876" t="s"/>
      <c r="J2876" t="n">
        <v>0</v>
      </c>
      <c r="K2876" t="n">
        <v>0</v>
      </c>
      <c r="L2876" t="n">
        <v>1</v>
      </c>
      <c r="M2876" t="n">
        <v>0</v>
      </c>
    </row>
    <row r="2877" spans="1:13">
      <c r="A2877" s="1">
        <f>HYPERLINK("http://www.twitter.com/NathanBLawrence/status/983500489940709377", "983500489940709377")</f>
        <v/>
      </c>
      <c r="B2877" s="2" t="n">
        <v>43200.01578703704</v>
      </c>
      <c r="C2877" t="n">
        <v>0</v>
      </c>
      <c r="D2877" t="n">
        <v>5</v>
      </c>
      <c r="E2877" t="s">
        <v>2839</v>
      </c>
      <c r="F2877" t="s"/>
      <c r="G2877" t="s"/>
      <c r="H2877" t="s"/>
      <c r="I2877" t="s"/>
      <c r="J2877" t="n">
        <v>0</v>
      </c>
      <c r="K2877" t="n">
        <v>0</v>
      </c>
      <c r="L2877" t="n">
        <v>1</v>
      </c>
      <c r="M2877" t="n">
        <v>0</v>
      </c>
    </row>
    <row r="2878" spans="1:13">
      <c r="A2878" s="1">
        <f>HYPERLINK("http://www.twitter.com/NathanBLawrence/status/983500211636068352", "983500211636068352")</f>
        <v/>
      </c>
      <c r="B2878" s="2" t="n">
        <v>43200.01501157408</v>
      </c>
      <c r="C2878" t="n">
        <v>3</v>
      </c>
      <c r="D2878" t="n">
        <v>0</v>
      </c>
      <c r="E2878" t="s">
        <v>2840</v>
      </c>
      <c r="F2878" t="s"/>
      <c r="G2878" t="s"/>
      <c r="H2878" t="s"/>
      <c r="I2878" t="s"/>
      <c r="J2878" t="n">
        <v>-0.9325</v>
      </c>
      <c r="K2878" t="n">
        <v>0.326</v>
      </c>
      <c r="L2878" t="n">
        <v>0.674</v>
      </c>
      <c r="M2878" t="n">
        <v>0</v>
      </c>
    </row>
    <row r="2879" spans="1:13">
      <c r="A2879" s="1">
        <f>HYPERLINK("http://www.twitter.com/NathanBLawrence/status/983499793937960960", "983499793937960960")</f>
        <v/>
      </c>
      <c r="B2879" s="2" t="n">
        <v>43200.01386574074</v>
      </c>
      <c r="C2879" t="n">
        <v>0</v>
      </c>
      <c r="D2879" t="n">
        <v>13</v>
      </c>
      <c r="E2879" t="s">
        <v>2841</v>
      </c>
      <c r="F2879" t="s"/>
      <c r="G2879" t="s"/>
      <c r="H2879" t="s"/>
      <c r="I2879" t="s"/>
      <c r="J2879" t="n">
        <v>0.4767</v>
      </c>
      <c r="K2879" t="n">
        <v>0</v>
      </c>
      <c r="L2879" t="n">
        <v>0.866</v>
      </c>
      <c r="M2879" t="n">
        <v>0.134</v>
      </c>
    </row>
    <row r="2880" spans="1:13">
      <c r="A2880" s="1">
        <f>HYPERLINK("http://www.twitter.com/NathanBLawrence/status/983499702112018432", "983499702112018432")</f>
        <v/>
      </c>
      <c r="B2880" s="2" t="n">
        <v>43200.01361111111</v>
      </c>
      <c r="C2880" t="n">
        <v>0</v>
      </c>
      <c r="D2880" t="n">
        <v>6</v>
      </c>
      <c r="E2880" t="s">
        <v>2842</v>
      </c>
      <c r="F2880" t="s"/>
      <c r="G2880" t="s"/>
      <c r="H2880" t="s"/>
      <c r="I2880" t="s"/>
      <c r="J2880" t="n">
        <v>0</v>
      </c>
      <c r="K2880" t="n">
        <v>0</v>
      </c>
      <c r="L2880" t="n">
        <v>1</v>
      </c>
      <c r="M2880" t="n">
        <v>0</v>
      </c>
    </row>
    <row r="2881" spans="1:13">
      <c r="A2881" s="1">
        <f>HYPERLINK("http://www.twitter.com/NathanBLawrence/status/983487999576100864", "983487999576100864")</f>
        <v/>
      </c>
      <c r="B2881" s="2" t="n">
        <v>43199.98131944444</v>
      </c>
      <c r="C2881" t="n">
        <v>0</v>
      </c>
      <c r="D2881" t="n">
        <v>6</v>
      </c>
      <c r="E2881" t="s">
        <v>2843</v>
      </c>
      <c r="F2881" t="s"/>
      <c r="G2881" t="s"/>
      <c r="H2881" t="s"/>
      <c r="I2881" t="s"/>
      <c r="J2881" t="n">
        <v>0</v>
      </c>
      <c r="K2881" t="n">
        <v>0</v>
      </c>
      <c r="L2881" t="n">
        <v>1</v>
      </c>
      <c r="M2881" t="n">
        <v>0</v>
      </c>
    </row>
    <row r="2882" spans="1:13">
      <c r="A2882" s="1">
        <f>HYPERLINK("http://www.twitter.com/NathanBLawrence/status/983487985495797760", "983487985495797760")</f>
        <v/>
      </c>
      <c r="B2882" s="2" t="n">
        <v>43199.98127314815</v>
      </c>
      <c r="C2882" t="n">
        <v>0</v>
      </c>
      <c r="D2882" t="n">
        <v>5</v>
      </c>
      <c r="E2882" t="s">
        <v>2844</v>
      </c>
      <c r="F2882" t="s"/>
      <c r="G2882" t="s"/>
      <c r="H2882" t="s"/>
      <c r="I2882" t="s"/>
      <c r="J2882" t="n">
        <v>0.8955</v>
      </c>
      <c r="K2882" t="n">
        <v>0</v>
      </c>
      <c r="L2882" t="n">
        <v>0.638</v>
      </c>
      <c r="M2882" t="n">
        <v>0.362</v>
      </c>
    </row>
    <row r="2883" spans="1:13">
      <c r="A2883" s="1">
        <f>HYPERLINK("http://www.twitter.com/NathanBLawrence/status/983487975504871426", "983487975504871426")</f>
        <v/>
      </c>
      <c r="B2883" s="2" t="n">
        <v>43199.98125</v>
      </c>
      <c r="C2883" t="n">
        <v>0</v>
      </c>
      <c r="D2883" t="n">
        <v>2</v>
      </c>
      <c r="E2883" t="s">
        <v>2845</v>
      </c>
      <c r="F2883" t="s"/>
      <c r="G2883" t="s"/>
      <c r="H2883" t="s"/>
      <c r="I2883" t="s"/>
      <c r="J2883" t="n">
        <v>0</v>
      </c>
      <c r="K2883" t="n">
        <v>0</v>
      </c>
      <c r="L2883" t="n">
        <v>1</v>
      </c>
      <c r="M2883" t="n">
        <v>0</v>
      </c>
    </row>
    <row r="2884" spans="1:13">
      <c r="A2884" s="1">
        <f>HYPERLINK("http://www.twitter.com/NathanBLawrence/status/983487959239483392", "983487959239483392")</f>
        <v/>
      </c>
      <c r="B2884" s="2" t="n">
        <v>43199.9812037037</v>
      </c>
      <c r="C2884" t="n">
        <v>0</v>
      </c>
      <c r="D2884" t="n">
        <v>2</v>
      </c>
      <c r="E2884" t="s">
        <v>2846</v>
      </c>
      <c r="F2884" t="s"/>
      <c r="G2884" t="s"/>
      <c r="H2884" t="s"/>
      <c r="I2884" t="s"/>
      <c r="J2884" t="n">
        <v>0</v>
      </c>
      <c r="K2884" t="n">
        <v>0</v>
      </c>
      <c r="L2884" t="n">
        <v>1</v>
      </c>
      <c r="M2884" t="n">
        <v>0</v>
      </c>
    </row>
    <row r="2885" spans="1:13">
      <c r="A2885" s="1">
        <f>HYPERLINK("http://www.twitter.com/NathanBLawrence/status/983487945494720513", "983487945494720513")</f>
        <v/>
      </c>
      <c r="B2885" s="2" t="n">
        <v>43199.98116898148</v>
      </c>
      <c r="C2885" t="n">
        <v>0</v>
      </c>
      <c r="D2885" t="n">
        <v>5</v>
      </c>
      <c r="E2885" t="s">
        <v>2847</v>
      </c>
      <c r="F2885" t="s"/>
      <c r="G2885" t="s"/>
      <c r="H2885" t="s"/>
      <c r="I2885" t="s"/>
      <c r="J2885" t="n">
        <v>0.1655</v>
      </c>
      <c r="K2885" t="n">
        <v>0</v>
      </c>
      <c r="L2885" t="n">
        <v>0.9330000000000001</v>
      </c>
      <c r="M2885" t="n">
        <v>0.067</v>
      </c>
    </row>
    <row r="2886" spans="1:13">
      <c r="A2886" s="1">
        <f>HYPERLINK("http://www.twitter.com/NathanBLawrence/status/983487930256814080", "983487930256814080")</f>
        <v/>
      </c>
      <c r="B2886" s="2" t="n">
        <v>43199.98112268518</v>
      </c>
      <c r="C2886" t="n">
        <v>0</v>
      </c>
      <c r="D2886" t="n">
        <v>3</v>
      </c>
      <c r="E2886" t="s">
        <v>2848</v>
      </c>
      <c r="F2886" t="s"/>
      <c r="G2886" t="s"/>
      <c r="H2886" t="s"/>
      <c r="I2886" t="s"/>
      <c r="J2886" t="n">
        <v>0.6072</v>
      </c>
      <c r="K2886" t="n">
        <v>0</v>
      </c>
      <c r="L2886" t="n">
        <v>0.784</v>
      </c>
      <c r="M2886" t="n">
        <v>0.216</v>
      </c>
    </row>
    <row r="2887" spans="1:13">
      <c r="A2887" s="1">
        <f>HYPERLINK("http://www.twitter.com/NathanBLawrence/status/983487914951806976", "983487914951806976")</f>
        <v/>
      </c>
      <c r="B2887" s="2" t="n">
        <v>43199.98107638889</v>
      </c>
      <c r="C2887" t="n">
        <v>0</v>
      </c>
      <c r="D2887" t="n">
        <v>4</v>
      </c>
      <c r="E2887" t="s">
        <v>2849</v>
      </c>
      <c r="F2887" t="s"/>
      <c r="G2887" t="s"/>
      <c r="H2887" t="s"/>
      <c r="I2887" t="s"/>
      <c r="J2887" t="n">
        <v>0</v>
      </c>
      <c r="K2887" t="n">
        <v>0</v>
      </c>
      <c r="L2887" t="n">
        <v>1</v>
      </c>
      <c r="M2887" t="n">
        <v>0</v>
      </c>
    </row>
    <row r="2888" spans="1:13">
      <c r="A2888" s="1">
        <f>HYPERLINK("http://www.twitter.com/NathanBLawrence/status/983487884081729537", "983487884081729537")</f>
        <v/>
      </c>
      <c r="B2888" s="2" t="n">
        <v>43199.98099537037</v>
      </c>
      <c r="C2888" t="n">
        <v>0</v>
      </c>
      <c r="D2888" t="n">
        <v>4</v>
      </c>
      <c r="E2888" t="s">
        <v>2850</v>
      </c>
      <c r="F2888" t="s"/>
      <c r="G2888" t="s"/>
      <c r="H2888" t="s"/>
      <c r="I2888" t="s"/>
      <c r="J2888" t="n">
        <v>0.3612</v>
      </c>
      <c r="K2888" t="n">
        <v>0</v>
      </c>
      <c r="L2888" t="n">
        <v>0.902</v>
      </c>
      <c r="M2888" t="n">
        <v>0.098</v>
      </c>
    </row>
    <row r="2889" spans="1:13">
      <c r="A2889" s="1">
        <f>HYPERLINK("http://www.twitter.com/NathanBLawrence/status/983487872597725185", "983487872597725185")</f>
        <v/>
      </c>
      <c r="B2889" s="2" t="n">
        <v>43199.98096064815</v>
      </c>
      <c r="C2889" t="n">
        <v>0</v>
      </c>
      <c r="D2889" t="n">
        <v>2</v>
      </c>
      <c r="E2889" t="s">
        <v>2851</v>
      </c>
      <c r="F2889" t="s"/>
      <c r="G2889" t="s"/>
      <c r="H2889" t="s"/>
      <c r="I2889" t="s"/>
      <c r="J2889" t="n">
        <v>-0.4939</v>
      </c>
      <c r="K2889" t="n">
        <v>0.158</v>
      </c>
      <c r="L2889" t="n">
        <v>0.842</v>
      </c>
      <c r="M2889" t="n">
        <v>0</v>
      </c>
    </row>
    <row r="2890" spans="1:13">
      <c r="A2890" s="1">
        <f>HYPERLINK("http://www.twitter.com/NathanBLawrence/status/983487853660442625", "983487853660442625")</f>
        <v/>
      </c>
      <c r="B2890" s="2" t="n">
        <v>43199.98091435185</v>
      </c>
      <c r="C2890" t="n">
        <v>0</v>
      </c>
      <c r="D2890" t="n">
        <v>2</v>
      </c>
      <c r="E2890" t="s">
        <v>2852</v>
      </c>
      <c r="F2890" t="s"/>
      <c r="G2890" t="s"/>
      <c r="H2890" t="s"/>
      <c r="I2890" t="s"/>
      <c r="J2890" t="n">
        <v>-0.4939</v>
      </c>
      <c r="K2890" t="n">
        <v>0.11</v>
      </c>
      <c r="L2890" t="n">
        <v>0.89</v>
      </c>
      <c r="M2890" t="n">
        <v>0</v>
      </c>
    </row>
    <row r="2891" spans="1:13">
      <c r="A2891" s="1">
        <f>HYPERLINK("http://www.twitter.com/NathanBLawrence/status/983487819027972096", "983487819027972096")</f>
        <v/>
      </c>
      <c r="B2891" s="2" t="n">
        <v>43199.98082175926</v>
      </c>
      <c r="C2891" t="n">
        <v>0</v>
      </c>
      <c r="D2891" t="n">
        <v>2</v>
      </c>
      <c r="E2891" t="s">
        <v>2853</v>
      </c>
      <c r="F2891" t="s"/>
      <c r="G2891" t="s"/>
      <c r="H2891" t="s"/>
      <c r="I2891" t="s"/>
      <c r="J2891" t="n">
        <v>0.3612</v>
      </c>
      <c r="K2891" t="n">
        <v>0</v>
      </c>
      <c r="L2891" t="n">
        <v>0.894</v>
      </c>
      <c r="M2891" t="n">
        <v>0.106</v>
      </c>
    </row>
    <row r="2892" spans="1:13">
      <c r="A2892" s="1">
        <f>HYPERLINK("http://www.twitter.com/NathanBLawrence/status/983487778322374657", "983487778322374657")</f>
        <v/>
      </c>
      <c r="B2892" s="2" t="n">
        <v>43199.98070601852</v>
      </c>
      <c r="C2892" t="n">
        <v>0</v>
      </c>
      <c r="D2892" t="n">
        <v>4</v>
      </c>
      <c r="E2892" t="s">
        <v>2854</v>
      </c>
      <c r="F2892" t="s"/>
      <c r="G2892" t="s"/>
      <c r="H2892" t="s"/>
      <c r="I2892" t="s"/>
      <c r="J2892" t="n">
        <v>0.128</v>
      </c>
      <c r="K2892" t="n">
        <v>0</v>
      </c>
      <c r="L2892" t="n">
        <v>0.93</v>
      </c>
      <c r="M2892" t="n">
        <v>0.07000000000000001</v>
      </c>
    </row>
    <row r="2893" spans="1:13">
      <c r="A2893" s="1">
        <f>HYPERLINK("http://www.twitter.com/NathanBLawrence/status/983487763214454785", "983487763214454785")</f>
        <v/>
      </c>
      <c r="B2893" s="2" t="n">
        <v>43199.98065972222</v>
      </c>
      <c r="C2893" t="n">
        <v>0</v>
      </c>
      <c r="D2893" t="n">
        <v>3</v>
      </c>
      <c r="E2893" t="s">
        <v>2855</v>
      </c>
      <c r="F2893" t="s"/>
      <c r="G2893" t="s"/>
      <c r="H2893" t="s"/>
      <c r="I2893" t="s"/>
      <c r="J2893" t="n">
        <v>0.4927</v>
      </c>
      <c r="K2893" t="n">
        <v>0</v>
      </c>
      <c r="L2893" t="n">
        <v>0.849</v>
      </c>
      <c r="M2893" t="n">
        <v>0.151</v>
      </c>
    </row>
    <row r="2894" spans="1:13">
      <c r="A2894" s="1">
        <f>HYPERLINK("http://www.twitter.com/NathanBLawrence/status/983487741303369728", "983487741303369728")</f>
        <v/>
      </c>
      <c r="B2894" s="2" t="n">
        <v>43199.98060185185</v>
      </c>
      <c r="C2894" t="n">
        <v>0</v>
      </c>
      <c r="D2894" t="n">
        <v>4</v>
      </c>
      <c r="E2894" t="s">
        <v>2856</v>
      </c>
      <c r="F2894" t="s"/>
      <c r="G2894" t="s"/>
      <c r="H2894" t="s"/>
      <c r="I2894" t="s"/>
      <c r="J2894" t="n">
        <v>0.5256</v>
      </c>
      <c r="K2894" t="n">
        <v>0</v>
      </c>
      <c r="L2894" t="n">
        <v>0.861</v>
      </c>
      <c r="M2894" t="n">
        <v>0.139</v>
      </c>
    </row>
    <row r="2895" spans="1:13">
      <c r="A2895" s="1">
        <f>HYPERLINK("http://www.twitter.com/NathanBLawrence/status/983487712048111616", "983487712048111616")</f>
        <v/>
      </c>
      <c r="B2895" s="2" t="n">
        <v>43199.98052083333</v>
      </c>
      <c r="C2895" t="n">
        <v>0</v>
      </c>
      <c r="D2895" t="n">
        <v>10</v>
      </c>
      <c r="E2895" t="s">
        <v>2857</v>
      </c>
      <c r="F2895" t="s"/>
      <c r="G2895" t="s"/>
      <c r="H2895" t="s"/>
      <c r="I2895" t="s"/>
      <c r="J2895" t="n">
        <v>0.5106000000000001</v>
      </c>
      <c r="K2895" t="n">
        <v>0</v>
      </c>
      <c r="L2895" t="n">
        <v>0.864</v>
      </c>
      <c r="M2895" t="n">
        <v>0.136</v>
      </c>
    </row>
    <row r="2896" spans="1:13">
      <c r="A2896" s="1">
        <f>HYPERLINK("http://www.twitter.com/NathanBLawrence/status/983486386736115712", "983486386736115712")</f>
        <v/>
      </c>
      <c r="B2896" s="2" t="n">
        <v>43199.97686342592</v>
      </c>
      <c r="C2896" t="n">
        <v>0</v>
      </c>
      <c r="D2896" t="n">
        <v>1557</v>
      </c>
      <c r="E2896" t="s">
        <v>2858</v>
      </c>
      <c r="F2896" t="s"/>
      <c r="G2896" t="s"/>
      <c r="H2896" t="s"/>
      <c r="I2896" t="s"/>
      <c r="J2896" t="n">
        <v>0.5574</v>
      </c>
      <c r="K2896" t="n">
        <v>0</v>
      </c>
      <c r="L2896" t="n">
        <v>0.465</v>
      </c>
      <c r="M2896" t="n">
        <v>0.535</v>
      </c>
    </row>
    <row r="2897" spans="1:13">
      <c r="A2897" s="1">
        <f>HYPERLINK("http://www.twitter.com/NathanBLawrence/status/983486373972889600", "983486373972889600")</f>
        <v/>
      </c>
      <c r="B2897" s="2" t="n">
        <v>43199.9768287037</v>
      </c>
      <c r="C2897" t="n">
        <v>0</v>
      </c>
      <c r="D2897" t="n">
        <v>11081</v>
      </c>
      <c r="E2897" t="s">
        <v>2859</v>
      </c>
      <c r="F2897" t="s"/>
      <c r="G2897" t="s"/>
      <c r="H2897" t="s"/>
      <c r="I2897" t="s"/>
      <c r="J2897" t="n">
        <v>-0.0516</v>
      </c>
      <c r="K2897" t="n">
        <v>0.165</v>
      </c>
      <c r="L2897" t="n">
        <v>0.677</v>
      </c>
      <c r="M2897" t="n">
        <v>0.158</v>
      </c>
    </row>
    <row r="2898" spans="1:13">
      <c r="A2898" s="1">
        <f>HYPERLINK("http://www.twitter.com/NathanBLawrence/status/983486348060512256", "983486348060512256")</f>
        <v/>
      </c>
      <c r="B2898" s="2" t="n">
        <v>43199.97675925926</v>
      </c>
      <c r="C2898" t="n">
        <v>0</v>
      </c>
      <c r="D2898" t="n">
        <v>1389</v>
      </c>
      <c r="E2898" t="s">
        <v>2860</v>
      </c>
      <c r="F2898" t="s"/>
      <c r="G2898" t="s"/>
      <c r="H2898" t="s"/>
      <c r="I2898" t="s"/>
      <c r="J2898" t="n">
        <v>0.7579</v>
      </c>
      <c r="K2898" t="n">
        <v>0.093</v>
      </c>
      <c r="L2898" t="n">
        <v>0.588</v>
      </c>
      <c r="M2898" t="n">
        <v>0.318</v>
      </c>
    </row>
    <row r="2899" spans="1:13">
      <c r="A2899" s="1">
        <f>HYPERLINK("http://www.twitter.com/NathanBLawrence/status/983486289562521601", "983486289562521601")</f>
        <v/>
      </c>
      <c r="B2899" s="2" t="n">
        <v>43199.97659722222</v>
      </c>
      <c r="C2899" t="n">
        <v>0</v>
      </c>
      <c r="D2899" t="n">
        <v>2044</v>
      </c>
      <c r="E2899" t="s">
        <v>2861</v>
      </c>
      <c r="F2899" t="s"/>
      <c r="G2899" t="s"/>
      <c r="H2899" t="s"/>
      <c r="I2899" t="s"/>
      <c r="J2899" t="n">
        <v>0.0772</v>
      </c>
      <c r="K2899" t="n">
        <v>0</v>
      </c>
      <c r="L2899" t="n">
        <v>0.915</v>
      </c>
      <c r="M2899" t="n">
        <v>0.08500000000000001</v>
      </c>
    </row>
    <row r="2900" spans="1:13">
      <c r="A2900" s="1">
        <f>HYPERLINK("http://www.twitter.com/NathanBLawrence/status/983486269220061184", "983486269220061184")</f>
        <v/>
      </c>
      <c r="B2900" s="2" t="n">
        <v>43199.97653935185</v>
      </c>
      <c r="C2900" t="n">
        <v>0</v>
      </c>
      <c r="D2900" t="n">
        <v>2920</v>
      </c>
      <c r="E2900" t="s">
        <v>2862</v>
      </c>
      <c r="F2900" t="s"/>
      <c r="G2900" t="s"/>
      <c r="H2900" t="s"/>
      <c r="I2900" t="s"/>
      <c r="J2900" t="n">
        <v>-0.4201</v>
      </c>
      <c r="K2900" t="n">
        <v>0.113</v>
      </c>
      <c r="L2900" t="n">
        <v>0.887</v>
      </c>
      <c r="M2900" t="n">
        <v>0</v>
      </c>
    </row>
    <row r="2901" spans="1:13">
      <c r="A2901" s="1">
        <f>HYPERLINK("http://www.twitter.com/NathanBLawrence/status/983486192212676608", "983486192212676608")</f>
        <v/>
      </c>
      <c r="B2901" s="2" t="n">
        <v>43199.97633101852</v>
      </c>
      <c r="C2901" t="n">
        <v>0</v>
      </c>
      <c r="D2901" t="n">
        <v>7527</v>
      </c>
      <c r="E2901" t="s">
        <v>2863</v>
      </c>
      <c r="F2901" t="s"/>
      <c r="G2901" t="s"/>
      <c r="H2901" t="s"/>
      <c r="I2901" t="s"/>
      <c r="J2901" t="n">
        <v>-0.6361</v>
      </c>
      <c r="K2901" t="n">
        <v>0.206</v>
      </c>
      <c r="L2901" t="n">
        <v>0.794</v>
      </c>
      <c r="M2901" t="n">
        <v>0</v>
      </c>
    </row>
    <row r="2902" spans="1:13">
      <c r="A2902" s="1">
        <f>HYPERLINK("http://www.twitter.com/NathanBLawrence/status/983486166308618241", "983486166308618241")</f>
        <v/>
      </c>
      <c r="B2902" s="2" t="n">
        <v>43199.97625</v>
      </c>
      <c r="C2902" t="n">
        <v>0</v>
      </c>
      <c r="D2902" t="n">
        <v>7708</v>
      </c>
      <c r="E2902" t="s">
        <v>2864</v>
      </c>
      <c r="F2902" t="s"/>
      <c r="G2902" t="s"/>
      <c r="H2902" t="s"/>
      <c r="I2902" t="s"/>
      <c r="J2902" t="n">
        <v>0.1531</v>
      </c>
      <c r="K2902" t="n">
        <v>0.153</v>
      </c>
      <c r="L2902" t="n">
        <v>0.709</v>
      </c>
      <c r="M2902" t="n">
        <v>0.138</v>
      </c>
    </row>
    <row r="2903" spans="1:13">
      <c r="A2903" s="1">
        <f>HYPERLINK("http://www.twitter.com/NathanBLawrence/status/983486154812125184", "983486154812125184")</f>
        <v/>
      </c>
      <c r="B2903" s="2" t="n">
        <v>43199.97622685185</v>
      </c>
      <c r="C2903" t="n">
        <v>0</v>
      </c>
      <c r="D2903" t="n">
        <v>20276</v>
      </c>
      <c r="E2903" t="s">
        <v>2865</v>
      </c>
      <c r="F2903">
        <f>HYPERLINK("http://pbs.twimg.com/media/DaN8K55VMAAmRKu.jpg", "http://pbs.twimg.com/media/DaN8K55VMAAmRKu.jpg")</f>
        <v/>
      </c>
      <c r="G2903" t="s"/>
      <c r="H2903" t="s"/>
      <c r="I2903" t="s"/>
      <c r="J2903" t="n">
        <v>0.2732</v>
      </c>
      <c r="K2903" t="n">
        <v>0</v>
      </c>
      <c r="L2903" t="n">
        <v>0.913</v>
      </c>
      <c r="M2903" t="n">
        <v>0.08699999999999999</v>
      </c>
    </row>
    <row r="2904" spans="1:13">
      <c r="A2904" s="1">
        <f>HYPERLINK("http://www.twitter.com/NathanBLawrence/status/983486132846563328", "983486132846563328")</f>
        <v/>
      </c>
      <c r="B2904" s="2" t="n">
        <v>43199.97616898148</v>
      </c>
      <c r="C2904" t="n">
        <v>0</v>
      </c>
      <c r="D2904" t="n">
        <v>16962</v>
      </c>
      <c r="E2904" t="s">
        <v>2866</v>
      </c>
      <c r="F2904" t="s"/>
      <c r="G2904" t="s"/>
      <c r="H2904" t="s"/>
      <c r="I2904" t="s"/>
      <c r="J2904" t="n">
        <v>0.2263</v>
      </c>
      <c r="K2904" t="n">
        <v>0.102</v>
      </c>
      <c r="L2904" t="n">
        <v>0.756</v>
      </c>
      <c r="M2904" t="n">
        <v>0.142</v>
      </c>
    </row>
    <row r="2905" spans="1:13">
      <c r="A2905" s="1">
        <f>HYPERLINK("http://www.twitter.com/NathanBLawrence/status/983296348349976576", "983296348349976576")</f>
        <v/>
      </c>
      <c r="B2905" s="2" t="n">
        <v>43199.45245370371</v>
      </c>
      <c r="C2905" t="n">
        <v>0</v>
      </c>
      <c r="D2905" t="n">
        <v>4</v>
      </c>
      <c r="E2905" t="s">
        <v>2867</v>
      </c>
      <c r="F2905">
        <f>HYPERLINK("http://pbs.twimg.com/media/DaUljdkXkAA6s-2.jpg", "http://pbs.twimg.com/media/DaUljdkXkAA6s-2.jpg")</f>
        <v/>
      </c>
      <c r="G2905" t="s"/>
      <c r="H2905" t="s"/>
      <c r="I2905" t="s"/>
      <c r="J2905" t="n">
        <v>0.2732</v>
      </c>
      <c r="K2905" t="n">
        <v>0</v>
      </c>
      <c r="L2905" t="n">
        <v>0.9</v>
      </c>
      <c r="M2905" t="n">
        <v>0.1</v>
      </c>
    </row>
    <row r="2906" spans="1:13">
      <c r="A2906" s="1">
        <f>HYPERLINK("http://www.twitter.com/NathanBLawrence/status/983296214417502209", "983296214417502209")</f>
        <v/>
      </c>
      <c r="B2906" s="2" t="n">
        <v>43199.45208333333</v>
      </c>
      <c r="C2906" t="n">
        <v>0</v>
      </c>
      <c r="D2906" t="n">
        <v>2</v>
      </c>
      <c r="E2906" t="s">
        <v>2868</v>
      </c>
      <c r="F2906" t="s"/>
      <c r="G2906" t="s"/>
      <c r="H2906" t="s"/>
      <c r="I2906" t="s"/>
      <c r="J2906" t="n">
        <v>0</v>
      </c>
      <c r="K2906" t="n">
        <v>0</v>
      </c>
      <c r="L2906" t="n">
        <v>1</v>
      </c>
      <c r="M2906" t="n">
        <v>0</v>
      </c>
    </row>
    <row r="2907" spans="1:13">
      <c r="A2907" s="1">
        <f>HYPERLINK("http://www.twitter.com/NathanBLawrence/status/983296057663778816", "983296057663778816")</f>
        <v/>
      </c>
      <c r="B2907" s="2" t="n">
        <v>43199.45165509259</v>
      </c>
      <c r="C2907" t="n">
        <v>0</v>
      </c>
      <c r="D2907" t="n">
        <v>11</v>
      </c>
      <c r="E2907" t="s">
        <v>2869</v>
      </c>
      <c r="F2907">
        <f>HYPERLINK("http://pbs.twimg.com/media/DaSp5BsVQAA3lY_.jpg", "http://pbs.twimg.com/media/DaSp5BsVQAA3lY_.jpg")</f>
        <v/>
      </c>
      <c r="G2907" t="s"/>
      <c r="H2907" t="s"/>
      <c r="I2907" t="s"/>
      <c r="J2907" t="n">
        <v>0</v>
      </c>
      <c r="K2907" t="n">
        <v>0</v>
      </c>
      <c r="L2907" t="n">
        <v>1</v>
      </c>
      <c r="M2907" t="n">
        <v>0</v>
      </c>
    </row>
    <row r="2908" spans="1:13">
      <c r="A2908" s="1">
        <f>HYPERLINK("http://www.twitter.com/NathanBLawrence/status/983296043491254272", "983296043491254272")</f>
        <v/>
      </c>
      <c r="B2908" s="2" t="n">
        <v>43199.45162037037</v>
      </c>
      <c r="C2908" t="n">
        <v>0</v>
      </c>
      <c r="D2908" t="n">
        <v>8</v>
      </c>
      <c r="E2908" t="s">
        <v>2870</v>
      </c>
      <c r="F2908">
        <f>HYPERLINK("http://pbs.twimg.com/media/DaUoZQwXUAEbuqm.jpg", "http://pbs.twimg.com/media/DaUoZQwXUAEbuqm.jpg")</f>
        <v/>
      </c>
      <c r="G2908" t="s"/>
      <c r="H2908" t="s"/>
      <c r="I2908" t="s"/>
      <c r="J2908" t="n">
        <v>-0.5423</v>
      </c>
      <c r="K2908" t="n">
        <v>0.143</v>
      </c>
      <c r="L2908" t="n">
        <v>0.857</v>
      </c>
      <c r="M2908" t="n">
        <v>0</v>
      </c>
    </row>
    <row r="2909" spans="1:13">
      <c r="A2909" s="1">
        <f>HYPERLINK("http://www.twitter.com/NathanBLawrence/status/983296018832941056", "983296018832941056")</f>
        <v/>
      </c>
      <c r="B2909" s="2" t="n">
        <v>43199.45155092593</v>
      </c>
      <c r="C2909" t="n">
        <v>0</v>
      </c>
      <c r="D2909" t="n">
        <v>8</v>
      </c>
      <c r="E2909" t="s">
        <v>2871</v>
      </c>
      <c r="F2909">
        <f>HYPERLINK("http://pbs.twimg.com/media/DaSwfhuWAAAi1hl.jpg", "http://pbs.twimg.com/media/DaSwfhuWAAAi1hl.jpg")</f>
        <v/>
      </c>
      <c r="G2909" t="s"/>
      <c r="H2909" t="s"/>
      <c r="I2909" t="s"/>
      <c r="J2909" t="n">
        <v>0.4588</v>
      </c>
      <c r="K2909" t="n">
        <v>0</v>
      </c>
      <c r="L2909" t="n">
        <v>0.875</v>
      </c>
      <c r="M2909" t="n">
        <v>0.125</v>
      </c>
    </row>
    <row r="2910" spans="1:13">
      <c r="A2910" s="1">
        <f>HYPERLINK("http://www.twitter.com/NathanBLawrence/status/983295967079424001", "983295967079424001")</f>
        <v/>
      </c>
      <c r="B2910" s="2" t="n">
        <v>43199.45140046296</v>
      </c>
      <c r="C2910" t="n">
        <v>0</v>
      </c>
      <c r="D2910" t="n">
        <v>5</v>
      </c>
      <c r="E2910" t="s">
        <v>2872</v>
      </c>
      <c r="F2910">
        <f>HYPERLINK("http://pbs.twimg.com/media/DaSu-WvVQAEiXDG.jpg", "http://pbs.twimg.com/media/DaSu-WvVQAEiXDG.jpg")</f>
        <v/>
      </c>
      <c r="G2910" t="s"/>
      <c r="H2910" t="s"/>
      <c r="I2910" t="s"/>
      <c r="J2910" t="n">
        <v>0</v>
      </c>
      <c r="K2910" t="n">
        <v>0</v>
      </c>
      <c r="L2910" t="n">
        <v>1</v>
      </c>
      <c r="M2910" t="n">
        <v>0</v>
      </c>
    </row>
    <row r="2911" spans="1:13">
      <c r="A2911" s="1">
        <f>HYPERLINK("http://www.twitter.com/NathanBLawrence/status/983295933130604544", "983295933130604544")</f>
        <v/>
      </c>
      <c r="B2911" s="2" t="n">
        <v>43199.45130787037</v>
      </c>
      <c r="C2911" t="n">
        <v>0</v>
      </c>
      <c r="D2911" t="n">
        <v>28</v>
      </c>
      <c r="E2911" t="s">
        <v>2215</v>
      </c>
      <c r="F2911">
        <f>HYPERLINK("http://pbs.twimg.com/media/DaUprJJW4AAxtwP.jpg", "http://pbs.twimg.com/media/DaUprJJW4AAxtwP.jpg")</f>
        <v/>
      </c>
      <c r="G2911" t="s"/>
      <c r="H2911" t="s"/>
      <c r="I2911" t="s"/>
      <c r="J2911" t="n">
        <v>-0.5106000000000001</v>
      </c>
      <c r="K2911" t="n">
        <v>0.134</v>
      </c>
      <c r="L2911" t="n">
        <v>0.8179999999999999</v>
      </c>
      <c r="M2911" t="n">
        <v>0.048</v>
      </c>
    </row>
    <row r="2912" spans="1:13">
      <c r="A2912" s="1">
        <f>HYPERLINK("http://www.twitter.com/NathanBLawrence/status/983295879653285889", "983295879653285889")</f>
        <v/>
      </c>
      <c r="B2912" s="2" t="n">
        <v>43199.45116898148</v>
      </c>
      <c r="C2912" t="n">
        <v>0</v>
      </c>
      <c r="D2912" t="n">
        <v>8</v>
      </c>
      <c r="E2912" t="s">
        <v>2873</v>
      </c>
      <c r="F2912" t="s"/>
      <c r="G2912" t="s"/>
      <c r="H2912" t="s"/>
      <c r="I2912" t="s"/>
      <c r="J2912" t="n">
        <v>-0.264</v>
      </c>
      <c r="K2912" t="n">
        <v>0.132</v>
      </c>
      <c r="L2912" t="n">
        <v>0.773</v>
      </c>
      <c r="M2912" t="n">
        <v>0.095</v>
      </c>
    </row>
    <row r="2913" spans="1:13">
      <c r="A2913" s="1">
        <f>HYPERLINK("http://www.twitter.com/NathanBLawrence/status/983295844039430145", "983295844039430145")</f>
        <v/>
      </c>
      <c r="B2913" s="2" t="n">
        <v>43199.45106481481</v>
      </c>
      <c r="C2913" t="n">
        <v>0</v>
      </c>
      <c r="D2913" t="n">
        <v>19</v>
      </c>
      <c r="E2913" t="s">
        <v>2874</v>
      </c>
      <c r="F2913" t="s"/>
      <c r="G2913" t="s"/>
      <c r="H2913" t="s"/>
      <c r="I2913" t="s"/>
      <c r="J2913" t="n">
        <v>0.7909</v>
      </c>
      <c r="K2913" t="n">
        <v>0</v>
      </c>
      <c r="L2913" t="n">
        <v>0.741</v>
      </c>
      <c r="M2913" t="n">
        <v>0.259</v>
      </c>
    </row>
    <row r="2914" spans="1:13">
      <c r="A2914" s="1">
        <f>HYPERLINK("http://www.twitter.com/NathanBLawrence/status/983295818810757120", "983295818810757120")</f>
        <v/>
      </c>
      <c r="B2914" s="2" t="n">
        <v>43199.45099537037</v>
      </c>
      <c r="C2914" t="n">
        <v>0</v>
      </c>
      <c r="D2914" t="n">
        <v>6</v>
      </c>
      <c r="E2914" t="s">
        <v>2875</v>
      </c>
      <c r="F2914" t="s"/>
      <c r="G2914" t="s"/>
      <c r="H2914" t="s"/>
      <c r="I2914" t="s"/>
      <c r="J2914" t="n">
        <v>-0.4019</v>
      </c>
      <c r="K2914" t="n">
        <v>0.119</v>
      </c>
      <c r="L2914" t="n">
        <v>0.881</v>
      </c>
      <c r="M2914" t="n">
        <v>0</v>
      </c>
    </row>
    <row r="2915" spans="1:13">
      <c r="A2915" s="1">
        <f>HYPERLINK("http://www.twitter.com/NathanBLawrence/status/983295694185394176", "983295694185394176")</f>
        <v/>
      </c>
      <c r="B2915" s="2" t="n">
        <v>43199.45064814815</v>
      </c>
      <c r="C2915" t="n">
        <v>0</v>
      </c>
      <c r="D2915" t="n">
        <v>10</v>
      </c>
      <c r="E2915" t="s">
        <v>2876</v>
      </c>
      <c r="F2915" t="s"/>
      <c r="G2915" t="s"/>
      <c r="H2915" t="s"/>
      <c r="I2915" t="s"/>
      <c r="J2915" t="n">
        <v>-0.3612</v>
      </c>
      <c r="K2915" t="n">
        <v>0.2</v>
      </c>
      <c r="L2915" t="n">
        <v>0.6909999999999999</v>
      </c>
      <c r="M2915" t="n">
        <v>0.109</v>
      </c>
    </row>
    <row r="2916" spans="1:13">
      <c r="A2916" s="1">
        <f>HYPERLINK("http://www.twitter.com/NathanBLawrence/status/983295666637168640", "983295666637168640")</f>
        <v/>
      </c>
      <c r="B2916" s="2" t="n">
        <v>43199.45057870371</v>
      </c>
      <c r="C2916" t="n">
        <v>0</v>
      </c>
      <c r="D2916" t="n">
        <v>2</v>
      </c>
      <c r="E2916" t="s">
        <v>2868</v>
      </c>
      <c r="F2916">
        <f>HYPERLINK("http://pbs.twimg.com/media/DaVa9k_VMAAoMV_.jpg", "http://pbs.twimg.com/media/DaVa9k_VMAAoMV_.jpg")</f>
        <v/>
      </c>
      <c r="G2916" t="s"/>
      <c r="H2916" t="s"/>
      <c r="I2916" t="s"/>
      <c r="J2916" t="n">
        <v>0</v>
      </c>
      <c r="K2916" t="n">
        <v>0</v>
      </c>
      <c r="L2916" t="n">
        <v>1</v>
      </c>
      <c r="M2916" t="n">
        <v>0</v>
      </c>
    </row>
    <row r="2917" spans="1:13">
      <c r="A2917" s="1">
        <f>HYPERLINK("http://www.twitter.com/NathanBLawrence/status/983295638120038400", "983295638120038400")</f>
        <v/>
      </c>
      <c r="B2917" s="2" t="n">
        <v>43199.45049768518</v>
      </c>
      <c r="C2917" t="n">
        <v>0</v>
      </c>
      <c r="D2917" t="n">
        <v>7</v>
      </c>
      <c r="E2917" t="s">
        <v>2877</v>
      </c>
      <c r="F2917">
        <f>HYPERLINK("http://pbs.twimg.com/media/DaS6tcMWsAEhnKV.jpg", "http://pbs.twimg.com/media/DaS6tcMWsAEhnKV.jpg")</f>
        <v/>
      </c>
      <c r="G2917" t="s"/>
      <c r="H2917" t="s"/>
      <c r="I2917" t="s"/>
      <c r="J2917" t="n">
        <v>0</v>
      </c>
      <c r="K2917" t="n">
        <v>0</v>
      </c>
      <c r="L2917" t="n">
        <v>1</v>
      </c>
      <c r="M2917" t="n">
        <v>0</v>
      </c>
    </row>
    <row r="2918" spans="1:13">
      <c r="A2918" s="1">
        <f>HYPERLINK("http://www.twitter.com/NathanBLawrence/status/983295616066510849", "983295616066510849")</f>
        <v/>
      </c>
      <c r="B2918" s="2" t="n">
        <v>43199.45043981481</v>
      </c>
      <c r="C2918" t="n">
        <v>0</v>
      </c>
      <c r="D2918" t="n">
        <v>8</v>
      </c>
      <c r="E2918" t="s">
        <v>2878</v>
      </c>
      <c r="F2918" t="s"/>
      <c r="G2918" t="s"/>
      <c r="H2918" t="s"/>
      <c r="I2918" t="s"/>
      <c r="J2918" t="n">
        <v>0</v>
      </c>
      <c r="K2918" t="n">
        <v>0</v>
      </c>
      <c r="L2918" t="n">
        <v>1</v>
      </c>
      <c r="M2918" t="n">
        <v>0</v>
      </c>
    </row>
    <row r="2919" spans="1:13">
      <c r="A2919" s="1">
        <f>HYPERLINK("http://www.twitter.com/NathanBLawrence/status/983295589193527296", "983295589193527296")</f>
        <v/>
      </c>
      <c r="B2919" s="2" t="n">
        <v>43199.4503587963</v>
      </c>
      <c r="C2919" t="n">
        <v>0</v>
      </c>
      <c r="D2919" t="n">
        <v>9</v>
      </c>
      <c r="E2919" t="s">
        <v>2879</v>
      </c>
      <c r="F2919">
        <f>HYPERLINK("http://pbs.twimg.com/media/DaTNx1zWsAE0oKI.jpg", "http://pbs.twimg.com/media/DaTNx1zWsAE0oKI.jpg")</f>
        <v/>
      </c>
      <c r="G2919" t="s"/>
      <c r="H2919" t="s"/>
      <c r="I2919" t="s"/>
      <c r="J2919" t="n">
        <v>-0.296</v>
      </c>
      <c r="K2919" t="n">
        <v>0.099</v>
      </c>
      <c r="L2919" t="n">
        <v>0.901</v>
      </c>
      <c r="M2919" t="n">
        <v>0</v>
      </c>
    </row>
    <row r="2920" spans="1:13">
      <c r="A2920" s="1">
        <f>HYPERLINK("http://www.twitter.com/NathanBLawrence/status/983295572970016768", "983295572970016768")</f>
        <v/>
      </c>
      <c r="B2920" s="2" t="n">
        <v>43199.45032407407</v>
      </c>
      <c r="C2920" t="n">
        <v>0</v>
      </c>
      <c r="D2920" t="n">
        <v>7</v>
      </c>
      <c r="E2920" t="s">
        <v>2880</v>
      </c>
      <c r="F2920">
        <f>HYPERLINK("http://pbs.twimg.com/media/DaTLresUQAAfaYI.jpg", "http://pbs.twimg.com/media/DaTLresUQAAfaYI.jpg")</f>
        <v/>
      </c>
      <c r="G2920" t="s"/>
      <c r="H2920" t="s"/>
      <c r="I2920" t="s"/>
      <c r="J2920" t="n">
        <v>-0.9169</v>
      </c>
      <c r="K2920" t="n">
        <v>0.446</v>
      </c>
      <c r="L2920" t="n">
        <v>0.554</v>
      </c>
      <c r="M2920" t="n">
        <v>0</v>
      </c>
    </row>
    <row r="2921" spans="1:13">
      <c r="A2921" s="1">
        <f>HYPERLINK("http://www.twitter.com/NathanBLawrence/status/983295555483918336", "983295555483918336")</f>
        <v/>
      </c>
      <c r="B2921" s="2" t="n">
        <v>43199.4502662037</v>
      </c>
      <c r="C2921" t="n">
        <v>0</v>
      </c>
      <c r="D2921" t="n">
        <v>8</v>
      </c>
      <c r="E2921" t="s">
        <v>2881</v>
      </c>
      <c r="F2921" t="s"/>
      <c r="G2921" t="s"/>
      <c r="H2921" t="s"/>
      <c r="I2921" t="s"/>
      <c r="J2921" t="n">
        <v>-0.4404</v>
      </c>
      <c r="K2921" t="n">
        <v>0.108</v>
      </c>
      <c r="L2921" t="n">
        <v>0.892</v>
      </c>
      <c r="M2921" t="n">
        <v>0</v>
      </c>
    </row>
    <row r="2922" spans="1:13">
      <c r="A2922" s="1">
        <f>HYPERLINK("http://www.twitter.com/NathanBLawrence/status/983164448486645760", "983164448486645760")</f>
        <v/>
      </c>
      <c r="B2922" s="2" t="n">
        <v>43199.08848379629</v>
      </c>
      <c r="C2922" t="n">
        <v>0</v>
      </c>
      <c r="D2922" t="n">
        <v>11</v>
      </c>
      <c r="E2922" t="s">
        <v>2882</v>
      </c>
      <c r="F2922" t="s"/>
      <c r="G2922" t="s"/>
      <c r="H2922" t="s"/>
      <c r="I2922" t="s"/>
      <c r="J2922" t="n">
        <v>-0.8748</v>
      </c>
      <c r="K2922" t="n">
        <v>0.333</v>
      </c>
      <c r="L2922" t="n">
        <v>0.667</v>
      </c>
      <c r="M2922" t="n">
        <v>0</v>
      </c>
    </row>
    <row r="2923" spans="1:13">
      <c r="A2923" s="1">
        <f>HYPERLINK("http://www.twitter.com/NathanBLawrence/status/983157409198759936", "983157409198759936")</f>
        <v/>
      </c>
      <c r="B2923" s="2" t="n">
        <v>43199.0690625</v>
      </c>
      <c r="C2923" t="n">
        <v>0</v>
      </c>
      <c r="D2923" t="n">
        <v>9</v>
      </c>
      <c r="E2923" t="s">
        <v>2883</v>
      </c>
      <c r="F2923">
        <f>HYPERLINK("http://pbs.twimg.com/media/DaTCc23W4AA5fMy.jpg", "http://pbs.twimg.com/media/DaTCc23W4AA5fMy.jpg")</f>
        <v/>
      </c>
      <c r="G2923" t="s"/>
      <c r="H2923" t="s"/>
      <c r="I2923" t="s"/>
      <c r="J2923" t="n">
        <v>-0.6486</v>
      </c>
      <c r="K2923" t="n">
        <v>0.209</v>
      </c>
      <c r="L2923" t="n">
        <v>0.791</v>
      </c>
      <c r="M2923" t="n">
        <v>0</v>
      </c>
    </row>
    <row r="2924" spans="1:13">
      <c r="A2924" s="1">
        <f>HYPERLINK("http://www.twitter.com/NathanBLawrence/status/983157393885487104", "983157393885487104")</f>
        <v/>
      </c>
      <c r="B2924" s="2" t="n">
        <v>43199.06901620371</v>
      </c>
      <c r="C2924" t="n">
        <v>0</v>
      </c>
      <c r="D2924" t="n">
        <v>9</v>
      </c>
      <c r="E2924" t="s">
        <v>2884</v>
      </c>
      <c r="F2924">
        <f>HYPERLINK("http://pbs.twimg.com/media/DaS-3-TV4AAG0_7.jpg", "http://pbs.twimg.com/media/DaS-3-TV4AAG0_7.jpg")</f>
        <v/>
      </c>
      <c r="G2924" t="s"/>
      <c r="H2924" t="s"/>
      <c r="I2924" t="s"/>
      <c r="J2924" t="n">
        <v>-0.25</v>
      </c>
      <c r="K2924" t="n">
        <v>0.106</v>
      </c>
      <c r="L2924" t="n">
        <v>0.833</v>
      </c>
      <c r="M2924" t="n">
        <v>0.06</v>
      </c>
    </row>
    <row r="2925" spans="1:13">
      <c r="A2925" s="1">
        <f>HYPERLINK("http://www.twitter.com/NathanBLawrence/status/983157355255881729", "983157355255881729")</f>
        <v/>
      </c>
      <c r="B2925" s="2" t="n">
        <v>43199.06891203704</v>
      </c>
      <c r="C2925" t="n">
        <v>0</v>
      </c>
      <c r="D2925" t="n">
        <v>6</v>
      </c>
      <c r="E2925" t="s">
        <v>2885</v>
      </c>
      <c r="F2925" t="s"/>
      <c r="G2925" t="s"/>
      <c r="H2925" t="s"/>
      <c r="I2925" t="s"/>
      <c r="J2925" t="n">
        <v>-0.3818</v>
      </c>
      <c r="K2925" t="n">
        <v>0.102</v>
      </c>
      <c r="L2925" t="n">
        <v>0.898</v>
      </c>
      <c r="M2925" t="n">
        <v>0</v>
      </c>
    </row>
    <row r="2926" spans="1:13">
      <c r="A2926" s="1">
        <f>HYPERLINK("http://www.twitter.com/NathanBLawrence/status/983145077806718978", "983145077806718978")</f>
        <v/>
      </c>
      <c r="B2926" s="2" t="n">
        <v>43199.03503472222</v>
      </c>
      <c r="C2926" t="n">
        <v>0</v>
      </c>
      <c r="D2926" t="n">
        <v>8</v>
      </c>
      <c r="E2926" t="s">
        <v>2886</v>
      </c>
      <c r="F2926">
        <f>HYPERLINK("http://pbs.twimg.com/media/DaTQgUyWsAE_SVM.jpg", "http://pbs.twimg.com/media/DaTQgUyWsAE_SVM.jpg")</f>
        <v/>
      </c>
      <c r="G2926" t="s"/>
      <c r="H2926" t="s"/>
      <c r="I2926" t="s"/>
      <c r="J2926" t="n">
        <v>0.6249</v>
      </c>
      <c r="K2926" t="n">
        <v>0</v>
      </c>
      <c r="L2926" t="n">
        <v>0.819</v>
      </c>
      <c r="M2926" t="n">
        <v>0.181</v>
      </c>
    </row>
    <row r="2927" spans="1:13">
      <c r="A2927" s="1">
        <f>HYPERLINK("http://www.twitter.com/NathanBLawrence/status/983145064313643008", "983145064313643008")</f>
        <v/>
      </c>
      <c r="B2927" s="2" t="n">
        <v>43199.03498842593</v>
      </c>
      <c r="C2927" t="n">
        <v>0</v>
      </c>
      <c r="D2927" t="n">
        <v>7</v>
      </c>
      <c r="E2927" t="s">
        <v>2887</v>
      </c>
      <c r="F2927" t="s"/>
      <c r="G2927" t="s"/>
      <c r="H2927" t="s"/>
      <c r="I2927" t="s"/>
      <c r="J2927" t="n">
        <v>-0.4767</v>
      </c>
      <c r="K2927" t="n">
        <v>0.157</v>
      </c>
      <c r="L2927" t="n">
        <v>0.843</v>
      </c>
      <c r="M2927" t="n">
        <v>0</v>
      </c>
    </row>
    <row r="2928" spans="1:13">
      <c r="A2928" s="1">
        <f>HYPERLINK("http://www.twitter.com/NathanBLawrence/status/983131971537776640", "983131971537776640")</f>
        <v/>
      </c>
      <c r="B2928" s="2" t="n">
        <v>43198.99886574074</v>
      </c>
      <c r="C2928" t="n">
        <v>0</v>
      </c>
      <c r="D2928" t="n">
        <v>7</v>
      </c>
      <c r="E2928" t="s">
        <v>2888</v>
      </c>
      <c r="F2928">
        <f>HYPERLINK("http://pbs.twimg.com/media/DaTFPU7XUAAUfzL.jpg", "http://pbs.twimg.com/media/DaTFPU7XUAAUfzL.jpg")</f>
        <v/>
      </c>
      <c r="G2928" t="s"/>
      <c r="H2928" t="s"/>
      <c r="I2928" t="s"/>
      <c r="J2928" t="n">
        <v>0.4019</v>
      </c>
      <c r="K2928" t="n">
        <v>0</v>
      </c>
      <c r="L2928" t="n">
        <v>0.886</v>
      </c>
      <c r="M2928" t="n">
        <v>0.114</v>
      </c>
    </row>
    <row r="2929" spans="1:13">
      <c r="A2929" s="1">
        <f>HYPERLINK("http://www.twitter.com/NathanBLawrence/status/983126741463035904", "983126741463035904")</f>
        <v/>
      </c>
      <c r="B2929" s="2" t="n">
        <v>43198.98443287037</v>
      </c>
      <c r="C2929" t="n">
        <v>0</v>
      </c>
      <c r="D2929" t="n">
        <v>8</v>
      </c>
      <c r="E2929" t="s">
        <v>2889</v>
      </c>
      <c r="F2929">
        <f>HYPERLINK("http://pbs.twimg.com/media/DaS3hDZWAAAG2o4.jpg", "http://pbs.twimg.com/media/DaS3hDZWAAAG2o4.jpg")</f>
        <v/>
      </c>
      <c r="G2929">
        <f>HYPERLINK("http://pbs.twimg.com/media/DaS3hDZX0AA7pOb.jpg", "http://pbs.twimg.com/media/DaS3hDZX0AA7pOb.jpg")</f>
        <v/>
      </c>
      <c r="H2929" t="s"/>
      <c r="I2929" t="s"/>
      <c r="J2929" t="n">
        <v>-0.5266999999999999</v>
      </c>
      <c r="K2929" t="n">
        <v>0.134</v>
      </c>
      <c r="L2929" t="n">
        <v>0.866</v>
      </c>
      <c r="M2929" t="n">
        <v>0</v>
      </c>
    </row>
    <row r="2930" spans="1:13">
      <c r="A2930" s="1">
        <f>HYPERLINK("http://www.twitter.com/NathanBLawrence/status/983126705031319553", "983126705031319553")</f>
        <v/>
      </c>
      <c r="B2930" s="2" t="n">
        <v>43198.9843287037</v>
      </c>
      <c r="C2930" t="n">
        <v>0</v>
      </c>
      <c r="D2930" t="n">
        <v>10</v>
      </c>
      <c r="E2930" t="s">
        <v>2890</v>
      </c>
      <c r="F2930">
        <f>HYPERLINK("http://pbs.twimg.com/media/DaSoCi3UMAApIc9.jpg", "http://pbs.twimg.com/media/DaSoCi3UMAApIc9.jpg")</f>
        <v/>
      </c>
      <c r="G2930" t="s"/>
      <c r="H2930" t="s"/>
      <c r="I2930" t="s"/>
      <c r="J2930" t="n">
        <v>0</v>
      </c>
      <c r="K2930" t="n">
        <v>0</v>
      </c>
      <c r="L2930" t="n">
        <v>1</v>
      </c>
      <c r="M2930" t="n">
        <v>0</v>
      </c>
    </row>
    <row r="2931" spans="1:13">
      <c r="A2931" s="1">
        <f>HYPERLINK("http://www.twitter.com/NathanBLawrence/status/983126682042273793", "983126682042273793")</f>
        <v/>
      </c>
      <c r="B2931" s="2" t="n">
        <v>43198.98427083333</v>
      </c>
      <c r="C2931" t="n">
        <v>0</v>
      </c>
      <c r="D2931" t="n">
        <v>9</v>
      </c>
      <c r="E2931" t="s">
        <v>2891</v>
      </c>
      <c r="F2931">
        <f>HYPERLINK("http://pbs.twimg.com/media/DaS92StUwAEnMNw.jpg", "http://pbs.twimg.com/media/DaS92StUwAEnMNw.jpg")</f>
        <v/>
      </c>
      <c r="G2931" t="s"/>
      <c r="H2931" t="s"/>
      <c r="I2931" t="s"/>
      <c r="J2931" t="n">
        <v>0.5574</v>
      </c>
      <c r="K2931" t="n">
        <v>0</v>
      </c>
      <c r="L2931" t="n">
        <v>0.82</v>
      </c>
      <c r="M2931" t="n">
        <v>0.18</v>
      </c>
    </row>
    <row r="2932" spans="1:13">
      <c r="A2932" s="1">
        <f>HYPERLINK("http://www.twitter.com/NathanBLawrence/status/983126626304188416", "983126626304188416")</f>
        <v/>
      </c>
      <c r="B2932" s="2" t="n">
        <v>43198.9841087963</v>
      </c>
      <c r="C2932" t="n">
        <v>0</v>
      </c>
      <c r="D2932" t="n">
        <v>18</v>
      </c>
      <c r="E2932" t="s">
        <v>2892</v>
      </c>
      <c r="F2932">
        <f>HYPERLINK("http://pbs.twimg.com/media/DaSnBSnXkAA97Uq.jpg", "http://pbs.twimg.com/media/DaSnBSnXkAA97Uq.jpg")</f>
        <v/>
      </c>
      <c r="G2932" t="s"/>
      <c r="H2932" t="s"/>
      <c r="I2932" t="s"/>
      <c r="J2932" t="n">
        <v>0</v>
      </c>
      <c r="K2932" t="n">
        <v>0</v>
      </c>
      <c r="L2932" t="n">
        <v>1</v>
      </c>
      <c r="M2932" t="n">
        <v>0</v>
      </c>
    </row>
    <row r="2933" spans="1:13">
      <c r="A2933" s="1">
        <f>HYPERLINK("http://www.twitter.com/NathanBLawrence/status/983092284920160256", "983092284920160256")</f>
        <v/>
      </c>
      <c r="B2933" s="2" t="n">
        <v>43198.88935185185</v>
      </c>
      <c r="C2933" t="n">
        <v>0</v>
      </c>
      <c r="D2933" t="n">
        <v>8</v>
      </c>
      <c r="E2933" t="s">
        <v>2893</v>
      </c>
      <c r="F2933">
        <f>HYPERLINK("https://video.twimg.com/ext_tw_video/983087021177626626/pu/vid/320x180/k3MayIDzObhRXiM6.mp4?tag=2", "https://video.twimg.com/ext_tw_video/983087021177626626/pu/vid/320x180/k3MayIDzObhRXiM6.mp4?tag=2")</f>
        <v/>
      </c>
      <c r="G2933" t="s"/>
      <c r="H2933" t="s"/>
      <c r="I2933" t="s"/>
      <c r="J2933" t="n">
        <v>0</v>
      </c>
      <c r="K2933" t="n">
        <v>0</v>
      </c>
      <c r="L2933" t="n">
        <v>1</v>
      </c>
      <c r="M2933" t="n">
        <v>0</v>
      </c>
    </row>
    <row r="2934" spans="1:13">
      <c r="A2934" s="1">
        <f>HYPERLINK("http://www.twitter.com/NathanBLawrence/status/983087884839411712", "983087884839411712")</f>
        <v/>
      </c>
      <c r="B2934" s="2" t="n">
        <v>43198.87721064815</v>
      </c>
      <c r="C2934" t="n">
        <v>0</v>
      </c>
      <c r="D2934" t="n">
        <v>4</v>
      </c>
      <c r="E2934" t="s">
        <v>2894</v>
      </c>
      <c r="F2934" t="s"/>
      <c r="G2934" t="s"/>
      <c r="H2934" t="s"/>
      <c r="I2934" t="s"/>
      <c r="J2934" t="n">
        <v>0</v>
      </c>
      <c r="K2934" t="n">
        <v>0</v>
      </c>
      <c r="L2934" t="n">
        <v>1</v>
      </c>
      <c r="M2934" t="n">
        <v>0</v>
      </c>
    </row>
    <row r="2935" spans="1:13">
      <c r="A2935" s="1">
        <f>HYPERLINK("http://www.twitter.com/NathanBLawrence/status/983087874164879360", "983087874164879360")</f>
        <v/>
      </c>
      <c r="B2935" s="2" t="n">
        <v>43198.87717592593</v>
      </c>
      <c r="C2935" t="n">
        <v>0</v>
      </c>
      <c r="D2935" t="n">
        <v>7</v>
      </c>
      <c r="E2935" t="s">
        <v>2895</v>
      </c>
      <c r="F2935" t="s"/>
      <c r="G2935" t="s"/>
      <c r="H2935" t="s"/>
      <c r="I2935" t="s"/>
      <c r="J2935" t="n">
        <v>0.6249</v>
      </c>
      <c r="K2935" t="n">
        <v>0</v>
      </c>
      <c r="L2935" t="n">
        <v>0.796</v>
      </c>
      <c r="M2935" t="n">
        <v>0.204</v>
      </c>
    </row>
    <row r="2936" spans="1:13">
      <c r="A2936" s="1">
        <f>HYPERLINK("http://www.twitter.com/NathanBLawrence/status/983087855198244867", "983087855198244867")</f>
        <v/>
      </c>
      <c r="B2936" s="2" t="n">
        <v>43198.87712962963</v>
      </c>
      <c r="C2936" t="n">
        <v>0</v>
      </c>
      <c r="D2936" t="n">
        <v>12</v>
      </c>
      <c r="E2936" t="s">
        <v>1339</v>
      </c>
      <c r="F2936">
        <f>HYPERLINK("http://pbs.twimg.com/media/DaSYWSrVAAAV0m8.jpg", "http://pbs.twimg.com/media/DaSYWSrVAAAV0m8.jpg")</f>
        <v/>
      </c>
      <c r="G2936">
        <f>HYPERLINK("http://pbs.twimg.com/media/DaSYW_kVAAAEkuC.jpg", "http://pbs.twimg.com/media/DaSYW_kVAAAEkuC.jpg")</f>
        <v/>
      </c>
      <c r="H2936">
        <f>HYPERLINK("http://pbs.twimg.com/media/DaSYXp0UwAA5bUu.jpg", "http://pbs.twimg.com/media/DaSYXp0UwAA5bUu.jpg")</f>
        <v/>
      </c>
      <c r="I2936">
        <f>HYPERLINK("http://pbs.twimg.com/media/DaSYYFmVAAAfbFq.jpg", "http://pbs.twimg.com/media/DaSYYFmVAAAfbFq.jpg")</f>
        <v/>
      </c>
      <c r="J2936" t="n">
        <v>-0.5266999999999999</v>
      </c>
      <c r="K2936" t="n">
        <v>0.227</v>
      </c>
      <c r="L2936" t="n">
        <v>0.773</v>
      </c>
      <c r="M2936" t="n">
        <v>0</v>
      </c>
    </row>
    <row r="2937" spans="1:13">
      <c r="A2937" s="1">
        <f>HYPERLINK("http://www.twitter.com/NathanBLawrence/status/983087825527681025", "983087825527681025")</f>
        <v/>
      </c>
      <c r="B2937" s="2" t="n">
        <v>43198.87704861111</v>
      </c>
      <c r="C2937" t="n">
        <v>0</v>
      </c>
      <c r="D2937" t="n">
        <v>7</v>
      </c>
      <c r="E2937" t="s">
        <v>2896</v>
      </c>
      <c r="F2937" t="s"/>
      <c r="G2937" t="s"/>
      <c r="H2937" t="s"/>
      <c r="I2937" t="s"/>
      <c r="J2937" t="n">
        <v>0.2723</v>
      </c>
      <c r="K2937" t="n">
        <v>0.205</v>
      </c>
      <c r="L2937" t="n">
        <v>0.633</v>
      </c>
      <c r="M2937" t="n">
        <v>0.162</v>
      </c>
    </row>
    <row r="2938" spans="1:13">
      <c r="A2938" s="1">
        <f>HYPERLINK("http://www.twitter.com/NathanBLawrence/status/983087644480503811", "983087644480503811")</f>
        <v/>
      </c>
      <c r="B2938" s="2" t="n">
        <v>43198.87653935186</v>
      </c>
      <c r="C2938" t="n">
        <v>0</v>
      </c>
      <c r="D2938" t="n">
        <v>12</v>
      </c>
      <c r="E2938" t="s">
        <v>2897</v>
      </c>
      <c r="F2938" t="s"/>
      <c r="G2938" t="s"/>
      <c r="H2938" t="s"/>
      <c r="I2938" t="s"/>
      <c r="J2938" t="n">
        <v>0</v>
      </c>
      <c r="K2938" t="n">
        <v>0</v>
      </c>
      <c r="L2938" t="n">
        <v>1</v>
      </c>
      <c r="M2938" t="n">
        <v>0</v>
      </c>
    </row>
    <row r="2939" spans="1:13">
      <c r="A2939" s="1">
        <f>HYPERLINK("http://www.twitter.com/NathanBLawrence/status/983070802613559298", "983070802613559298")</f>
        <v/>
      </c>
      <c r="B2939" s="2" t="n">
        <v>43198.83006944445</v>
      </c>
      <c r="C2939" t="n">
        <v>0</v>
      </c>
      <c r="D2939" t="n">
        <v>10</v>
      </c>
      <c r="E2939" t="s">
        <v>2898</v>
      </c>
      <c r="F2939" t="s"/>
      <c r="G2939" t="s"/>
      <c r="H2939" t="s"/>
      <c r="I2939" t="s"/>
      <c r="J2939" t="n">
        <v>0</v>
      </c>
      <c r="K2939" t="n">
        <v>0</v>
      </c>
      <c r="L2939" t="n">
        <v>1</v>
      </c>
      <c r="M2939" t="n">
        <v>0</v>
      </c>
    </row>
    <row r="2940" spans="1:13">
      <c r="A2940" s="1">
        <f>HYPERLINK("http://www.twitter.com/NathanBLawrence/status/983070636548460547", "983070636548460547")</f>
        <v/>
      </c>
      <c r="B2940" s="2" t="n">
        <v>43198.82960648148</v>
      </c>
      <c r="C2940" t="n">
        <v>0</v>
      </c>
      <c r="D2940" t="n">
        <v>10</v>
      </c>
      <c r="E2940" t="s">
        <v>2899</v>
      </c>
      <c r="F2940">
        <f>HYPERLINK("http://pbs.twimg.com/media/DaSNAtTU0AAWGHV.jpg", "http://pbs.twimg.com/media/DaSNAtTU0AAWGHV.jpg")</f>
        <v/>
      </c>
      <c r="G2940" t="s"/>
      <c r="H2940" t="s"/>
      <c r="I2940" t="s"/>
      <c r="J2940" t="n">
        <v>-0.5095</v>
      </c>
      <c r="K2940" t="n">
        <v>0.23</v>
      </c>
      <c r="L2940" t="n">
        <v>0.653</v>
      </c>
      <c r="M2940" t="n">
        <v>0.117</v>
      </c>
    </row>
    <row r="2941" spans="1:13">
      <c r="A2941" s="1">
        <f>HYPERLINK("http://www.twitter.com/NathanBLawrence/status/983063889582665728", "983063889582665728")</f>
        <v/>
      </c>
      <c r="B2941" s="2" t="n">
        <v>43198.81099537037</v>
      </c>
      <c r="C2941" t="n">
        <v>0</v>
      </c>
      <c r="D2941" t="n">
        <v>8</v>
      </c>
      <c r="E2941" t="s">
        <v>2900</v>
      </c>
      <c r="F2941" t="s"/>
      <c r="G2941" t="s"/>
      <c r="H2941" t="s"/>
      <c r="I2941" t="s"/>
      <c r="J2941" t="n">
        <v>-0.8176</v>
      </c>
      <c r="K2941" t="n">
        <v>0.347</v>
      </c>
      <c r="L2941" t="n">
        <v>0.653</v>
      </c>
      <c r="M2941" t="n">
        <v>0</v>
      </c>
    </row>
    <row r="2942" spans="1:13">
      <c r="A2942" s="1">
        <f>HYPERLINK("http://www.twitter.com/NathanBLawrence/status/983063868586037249", "983063868586037249")</f>
        <v/>
      </c>
      <c r="B2942" s="2" t="n">
        <v>43198.8109375</v>
      </c>
      <c r="C2942" t="n">
        <v>0</v>
      </c>
      <c r="D2942" t="n">
        <v>4</v>
      </c>
      <c r="E2942" t="s">
        <v>2901</v>
      </c>
      <c r="F2942" t="s"/>
      <c r="G2942" t="s"/>
      <c r="H2942" t="s"/>
      <c r="I2942" t="s"/>
      <c r="J2942" t="n">
        <v>0.4215</v>
      </c>
      <c r="K2942" t="n">
        <v>0</v>
      </c>
      <c r="L2942" t="n">
        <v>0.887</v>
      </c>
      <c r="M2942" t="n">
        <v>0.113</v>
      </c>
    </row>
    <row r="2943" spans="1:13">
      <c r="A2943" s="1">
        <f>HYPERLINK("http://www.twitter.com/NathanBLawrence/status/983063724121640960", "983063724121640960")</f>
        <v/>
      </c>
      <c r="B2943" s="2" t="n">
        <v>43198.81053240741</v>
      </c>
      <c r="C2943" t="n">
        <v>0</v>
      </c>
      <c r="D2943" t="n">
        <v>11</v>
      </c>
      <c r="E2943" t="s">
        <v>2902</v>
      </c>
      <c r="F2943" t="s"/>
      <c r="G2943" t="s"/>
      <c r="H2943" t="s"/>
      <c r="I2943" t="s"/>
      <c r="J2943" t="n">
        <v>0.2023</v>
      </c>
      <c r="K2943" t="n">
        <v>0.097</v>
      </c>
      <c r="L2943" t="n">
        <v>0.775</v>
      </c>
      <c r="M2943" t="n">
        <v>0.128</v>
      </c>
    </row>
    <row r="2944" spans="1:13">
      <c r="A2944" s="1">
        <f>HYPERLINK("http://www.twitter.com/NathanBLawrence/status/983063712415219712", "983063712415219712")</f>
        <v/>
      </c>
      <c r="B2944" s="2" t="n">
        <v>43198.81050925926</v>
      </c>
      <c r="C2944" t="n">
        <v>0</v>
      </c>
      <c r="D2944" t="n">
        <v>6</v>
      </c>
      <c r="E2944" t="s">
        <v>2903</v>
      </c>
      <c r="F2944" t="s"/>
      <c r="G2944" t="s"/>
      <c r="H2944" t="s"/>
      <c r="I2944" t="s"/>
      <c r="J2944" t="n">
        <v>0.3327</v>
      </c>
      <c r="K2944" t="n">
        <v>0</v>
      </c>
      <c r="L2944" t="n">
        <v>0.871</v>
      </c>
      <c r="M2944" t="n">
        <v>0.129</v>
      </c>
    </row>
    <row r="2945" spans="1:13">
      <c r="A2945" s="1">
        <f>HYPERLINK("http://www.twitter.com/NathanBLawrence/status/983063673903206402", "983063673903206402")</f>
        <v/>
      </c>
      <c r="B2945" s="2" t="n">
        <v>43198.81039351852</v>
      </c>
      <c r="C2945" t="n">
        <v>0</v>
      </c>
      <c r="D2945" t="n">
        <v>9</v>
      </c>
      <c r="E2945" t="s">
        <v>2904</v>
      </c>
      <c r="F2945" t="s"/>
      <c r="G2945" t="s"/>
      <c r="H2945" t="s"/>
      <c r="I2945" t="s"/>
      <c r="J2945" t="n">
        <v>0.2023</v>
      </c>
      <c r="K2945" t="n">
        <v>0.101</v>
      </c>
      <c r="L2945" t="n">
        <v>0.766</v>
      </c>
      <c r="M2945" t="n">
        <v>0.133</v>
      </c>
    </row>
    <row r="2946" spans="1:13">
      <c r="A2946" s="1">
        <f>HYPERLINK("http://www.twitter.com/NathanBLawrence/status/983063661068668928", "983063661068668928")</f>
        <v/>
      </c>
      <c r="B2946" s="2" t="n">
        <v>43198.8103587963</v>
      </c>
      <c r="C2946" t="n">
        <v>0</v>
      </c>
      <c r="D2946" t="n">
        <v>12</v>
      </c>
      <c r="E2946" t="s">
        <v>1873</v>
      </c>
      <c r="F2946">
        <f>HYPERLINK("https://video.twimg.com/ext_tw_video/983042436682301440/pu/vid/320x180/UBsAlbHh2jEFag-1.mp4?tag=2", "https://video.twimg.com/ext_tw_video/983042436682301440/pu/vid/320x180/UBsAlbHh2jEFag-1.mp4?tag=2")</f>
        <v/>
      </c>
      <c r="G2946" t="s"/>
      <c r="H2946" t="s"/>
      <c r="I2946" t="s"/>
      <c r="J2946" t="n">
        <v>-0.5266999999999999</v>
      </c>
      <c r="K2946" t="n">
        <v>0.145</v>
      </c>
      <c r="L2946" t="n">
        <v>0.855</v>
      </c>
      <c r="M2946" t="n">
        <v>0</v>
      </c>
    </row>
    <row r="2947" spans="1:13">
      <c r="A2947" s="1">
        <f>HYPERLINK("http://www.twitter.com/NathanBLawrence/status/983063650255671298", "983063650255671298")</f>
        <v/>
      </c>
      <c r="B2947" s="2" t="n">
        <v>43198.81033564815</v>
      </c>
      <c r="C2947" t="n">
        <v>0</v>
      </c>
      <c r="D2947" t="n">
        <v>133</v>
      </c>
      <c r="E2947" t="s">
        <v>2905</v>
      </c>
      <c r="F2947" t="s"/>
      <c r="G2947" t="s"/>
      <c r="H2947" t="s"/>
      <c r="I2947" t="s"/>
      <c r="J2947" t="n">
        <v>0.7909</v>
      </c>
      <c r="K2947" t="n">
        <v>0</v>
      </c>
      <c r="L2947" t="n">
        <v>0.741</v>
      </c>
      <c r="M2947" t="n">
        <v>0.259</v>
      </c>
    </row>
    <row r="2948" spans="1:13">
      <c r="A2948" s="1">
        <f>HYPERLINK("http://www.twitter.com/NathanBLawrence/status/983063619184353281", "983063619184353281")</f>
        <v/>
      </c>
      <c r="B2948" s="2" t="n">
        <v>43198.81024305556</v>
      </c>
      <c r="C2948" t="n">
        <v>0</v>
      </c>
      <c r="D2948" t="n">
        <v>12</v>
      </c>
      <c r="E2948" t="s">
        <v>2906</v>
      </c>
      <c r="F2948">
        <f>HYPERLINK("http://pbs.twimg.com/media/DaR1HH1UwAY9RxG.jpg", "http://pbs.twimg.com/media/DaR1HH1UwAY9RxG.jpg")</f>
        <v/>
      </c>
      <c r="G2948" t="s"/>
      <c r="H2948" t="s"/>
      <c r="I2948" t="s"/>
      <c r="J2948" t="n">
        <v>-0.6817</v>
      </c>
      <c r="K2948" t="n">
        <v>0.195</v>
      </c>
      <c r="L2948" t="n">
        <v>0.805</v>
      </c>
      <c r="M2948" t="n">
        <v>0</v>
      </c>
    </row>
    <row r="2949" spans="1:13">
      <c r="A2949" s="1">
        <f>HYPERLINK("http://www.twitter.com/NathanBLawrence/status/983035026551070720", "983035026551070720")</f>
        <v/>
      </c>
      <c r="B2949" s="2" t="n">
        <v>43198.73134259259</v>
      </c>
      <c r="C2949" t="n">
        <v>0</v>
      </c>
      <c r="D2949" t="n">
        <v>11</v>
      </c>
      <c r="E2949" t="s">
        <v>2907</v>
      </c>
      <c r="F2949" t="s"/>
      <c r="G2949" t="s"/>
      <c r="H2949" t="s"/>
      <c r="I2949" t="s"/>
      <c r="J2949" t="n">
        <v>0.2732</v>
      </c>
      <c r="K2949" t="n">
        <v>0</v>
      </c>
      <c r="L2949" t="n">
        <v>0.905</v>
      </c>
      <c r="M2949" t="n">
        <v>0.095</v>
      </c>
    </row>
    <row r="2950" spans="1:13">
      <c r="A2950" s="1">
        <f>HYPERLINK("http://www.twitter.com/NathanBLawrence/status/983035002421235712", "983035002421235712")</f>
        <v/>
      </c>
      <c r="B2950" s="2" t="n">
        <v>43198.73128472222</v>
      </c>
      <c r="C2950" t="n">
        <v>0</v>
      </c>
      <c r="D2950" t="n">
        <v>9</v>
      </c>
      <c r="E2950" t="s">
        <v>2908</v>
      </c>
      <c r="F2950" t="s"/>
      <c r="G2950" t="s"/>
      <c r="H2950" t="s"/>
      <c r="I2950" t="s"/>
      <c r="J2950" t="n">
        <v>0.7845</v>
      </c>
      <c r="K2950" t="n">
        <v>0</v>
      </c>
      <c r="L2950" t="n">
        <v>0.582</v>
      </c>
      <c r="M2950" t="n">
        <v>0.418</v>
      </c>
    </row>
    <row r="2951" spans="1:13">
      <c r="A2951" s="1">
        <f>HYPERLINK("http://www.twitter.com/NathanBLawrence/status/983034970884231168", "983034970884231168")</f>
        <v/>
      </c>
      <c r="B2951" s="2" t="n">
        <v>43198.73119212963</v>
      </c>
      <c r="C2951" t="n">
        <v>0</v>
      </c>
      <c r="D2951" t="n">
        <v>11</v>
      </c>
      <c r="E2951" t="s">
        <v>2909</v>
      </c>
      <c r="F2951" t="s"/>
      <c r="G2951" t="s"/>
      <c r="H2951" t="s"/>
      <c r="I2951" t="s"/>
      <c r="J2951" t="n">
        <v>0.6486</v>
      </c>
      <c r="K2951" t="n">
        <v>0</v>
      </c>
      <c r="L2951" t="n">
        <v>0.798</v>
      </c>
      <c r="M2951" t="n">
        <v>0.202</v>
      </c>
    </row>
    <row r="2952" spans="1:13">
      <c r="A2952" s="1">
        <f>HYPERLINK("http://www.twitter.com/NathanBLawrence/status/983034940462981122", "983034940462981122")</f>
        <v/>
      </c>
      <c r="B2952" s="2" t="n">
        <v>43198.73111111111</v>
      </c>
      <c r="C2952" t="n">
        <v>0</v>
      </c>
      <c r="D2952" t="n">
        <v>3</v>
      </c>
      <c r="E2952" t="s">
        <v>2910</v>
      </c>
      <c r="F2952" t="s"/>
      <c r="G2952" t="s"/>
      <c r="H2952" t="s"/>
      <c r="I2952" t="s"/>
      <c r="J2952" t="n">
        <v>0.3034</v>
      </c>
      <c r="K2952" t="n">
        <v>0</v>
      </c>
      <c r="L2952" t="n">
        <v>0.831</v>
      </c>
      <c r="M2952" t="n">
        <v>0.169</v>
      </c>
    </row>
    <row r="2953" spans="1:13">
      <c r="A2953" s="1">
        <f>HYPERLINK("http://www.twitter.com/NathanBLawrence/status/983034930564300802", "983034930564300802")</f>
        <v/>
      </c>
      <c r="B2953" s="2" t="n">
        <v>43198.73108796297</v>
      </c>
      <c r="C2953" t="n">
        <v>0</v>
      </c>
      <c r="D2953" t="n">
        <v>6</v>
      </c>
      <c r="E2953" t="s">
        <v>2911</v>
      </c>
      <c r="F2953" t="s"/>
      <c r="G2953" t="s"/>
      <c r="H2953" t="s"/>
      <c r="I2953" t="s"/>
      <c r="J2953" t="n">
        <v>-0.296</v>
      </c>
      <c r="K2953" t="n">
        <v>0.196</v>
      </c>
      <c r="L2953" t="n">
        <v>0.804</v>
      </c>
      <c r="M2953" t="n">
        <v>0</v>
      </c>
    </row>
    <row r="2954" spans="1:13">
      <c r="A2954" s="1">
        <f>HYPERLINK("http://www.twitter.com/NathanBLawrence/status/983034916727349249", "983034916727349249")</f>
        <v/>
      </c>
      <c r="B2954" s="2" t="n">
        <v>43198.73104166667</v>
      </c>
      <c r="C2954" t="n">
        <v>0</v>
      </c>
      <c r="D2954" t="n">
        <v>6</v>
      </c>
      <c r="E2954" t="s">
        <v>2912</v>
      </c>
      <c r="F2954" t="s"/>
      <c r="G2954" t="s"/>
      <c r="H2954" t="s"/>
      <c r="I2954" t="s"/>
      <c r="J2954" t="n">
        <v>0</v>
      </c>
      <c r="K2954" t="n">
        <v>0</v>
      </c>
      <c r="L2954" t="n">
        <v>1</v>
      </c>
      <c r="M2954" t="n">
        <v>0</v>
      </c>
    </row>
    <row r="2955" spans="1:13">
      <c r="A2955" s="1">
        <f>HYPERLINK("http://www.twitter.com/NathanBLawrence/status/983034908464513024", "983034908464513024")</f>
        <v/>
      </c>
      <c r="B2955" s="2" t="n">
        <v>43198.73101851852</v>
      </c>
      <c r="C2955" t="n">
        <v>0</v>
      </c>
      <c r="D2955" t="n">
        <v>12</v>
      </c>
      <c r="E2955" t="s">
        <v>2913</v>
      </c>
      <c r="F2955" t="s"/>
      <c r="G2955" t="s"/>
      <c r="H2955" t="s"/>
      <c r="I2955" t="s"/>
      <c r="J2955" t="n">
        <v>-0.8290999999999999</v>
      </c>
      <c r="K2955" t="n">
        <v>0.351</v>
      </c>
      <c r="L2955" t="n">
        <v>0.649</v>
      </c>
      <c r="M2955" t="n">
        <v>0</v>
      </c>
    </row>
    <row r="2956" spans="1:13">
      <c r="A2956" s="1">
        <f>HYPERLINK("http://www.twitter.com/NathanBLawrence/status/983034856388071425", "983034856388071425")</f>
        <v/>
      </c>
      <c r="B2956" s="2" t="n">
        <v>43198.73087962963</v>
      </c>
      <c r="C2956" t="n">
        <v>0</v>
      </c>
      <c r="D2956" t="n">
        <v>13</v>
      </c>
      <c r="E2956" t="s">
        <v>2914</v>
      </c>
      <c r="F2956" t="s"/>
      <c r="G2956" t="s"/>
      <c r="H2956" t="s"/>
      <c r="I2956" t="s"/>
      <c r="J2956" t="n">
        <v>0</v>
      </c>
      <c r="K2956" t="n">
        <v>0</v>
      </c>
      <c r="L2956" t="n">
        <v>1</v>
      </c>
      <c r="M2956" t="n">
        <v>0</v>
      </c>
    </row>
    <row r="2957" spans="1:13">
      <c r="A2957" s="1">
        <f>HYPERLINK("http://www.twitter.com/NathanBLawrence/status/983011521671331841", "983011521671331841")</f>
        <v/>
      </c>
      <c r="B2957" s="2" t="n">
        <v>43198.66648148148</v>
      </c>
      <c r="C2957" t="n">
        <v>0</v>
      </c>
      <c r="D2957" t="n">
        <v>7</v>
      </c>
      <c r="E2957" t="s">
        <v>2915</v>
      </c>
      <c r="F2957" t="s"/>
      <c r="G2957" t="s"/>
      <c r="H2957" t="s"/>
      <c r="I2957" t="s"/>
      <c r="J2957" t="n">
        <v>0</v>
      </c>
      <c r="K2957" t="n">
        <v>0</v>
      </c>
      <c r="L2957" t="n">
        <v>1</v>
      </c>
      <c r="M2957" t="n">
        <v>0</v>
      </c>
    </row>
    <row r="2958" spans="1:13">
      <c r="A2958" s="1">
        <f>HYPERLINK("http://www.twitter.com/NathanBLawrence/status/983011424673902593", "983011424673902593")</f>
        <v/>
      </c>
      <c r="B2958" s="2" t="n">
        <v>43198.66621527778</v>
      </c>
      <c r="C2958" t="n">
        <v>0</v>
      </c>
      <c r="D2958" t="n">
        <v>21</v>
      </c>
      <c r="E2958" t="s">
        <v>2916</v>
      </c>
      <c r="F2958" t="s"/>
      <c r="G2958" t="s"/>
      <c r="H2958" t="s"/>
      <c r="I2958" t="s"/>
      <c r="J2958" t="n">
        <v>-0.765</v>
      </c>
      <c r="K2958" t="n">
        <v>0.322</v>
      </c>
      <c r="L2958" t="n">
        <v>0.678</v>
      </c>
      <c r="M2958" t="n">
        <v>0</v>
      </c>
    </row>
    <row r="2959" spans="1:13">
      <c r="A2959" s="1">
        <f>HYPERLINK("http://www.twitter.com/NathanBLawrence/status/983010639324024832", "983010639324024832")</f>
        <v/>
      </c>
      <c r="B2959" s="2" t="n">
        <v>43198.66405092592</v>
      </c>
      <c r="C2959" t="n">
        <v>0</v>
      </c>
      <c r="D2959" t="n">
        <v>2</v>
      </c>
      <c r="E2959" t="s">
        <v>2917</v>
      </c>
      <c r="F2959">
        <f>HYPERLINK("http://pbs.twimg.com/media/DZbeOXpX4AEUJtA.jpg", "http://pbs.twimg.com/media/DZbeOXpX4AEUJtA.jpg")</f>
        <v/>
      </c>
      <c r="G2959" t="s"/>
      <c r="H2959" t="s"/>
      <c r="I2959" t="s"/>
      <c r="J2959" t="n">
        <v>0</v>
      </c>
      <c r="K2959" t="n">
        <v>0</v>
      </c>
      <c r="L2959" t="n">
        <v>1</v>
      </c>
      <c r="M2959" t="n">
        <v>0</v>
      </c>
    </row>
    <row r="2960" spans="1:13">
      <c r="A2960" s="1">
        <f>HYPERLINK("http://www.twitter.com/NathanBLawrence/status/983010570793373696", "983010570793373696")</f>
        <v/>
      </c>
      <c r="B2960" s="2" t="n">
        <v>43198.66386574074</v>
      </c>
      <c r="C2960" t="n">
        <v>0</v>
      </c>
      <c r="D2960" t="n">
        <v>9</v>
      </c>
      <c r="E2960" t="s">
        <v>2918</v>
      </c>
      <c r="F2960" t="s"/>
      <c r="G2960" t="s"/>
      <c r="H2960" t="s"/>
      <c r="I2960" t="s"/>
      <c r="J2960" t="n">
        <v>0</v>
      </c>
      <c r="K2960" t="n">
        <v>0</v>
      </c>
      <c r="L2960" t="n">
        <v>1</v>
      </c>
      <c r="M2960" t="n">
        <v>0</v>
      </c>
    </row>
    <row r="2961" spans="1:13">
      <c r="A2961" s="1">
        <f>HYPERLINK("http://www.twitter.com/NathanBLawrence/status/983010539067596800", "983010539067596800")</f>
        <v/>
      </c>
      <c r="B2961" s="2" t="n">
        <v>43198.66377314815</v>
      </c>
      <c r="C2961" t="n">
        <v>0</v>
      </c>
      <c r="D2961" t="n">
        <v>5</v>
      </c>
      <c r="E2961" t="s">
        <v>2919</v>
      </c>
      <c r="F2961" t="s"/>
      <c r="G2961" t="s"/>
      <c r="H2961" t="s"/>
      <c r="I2961" t="s"/>
      <c r="J2961" t="n">
        <v>0.7554</v>
      </c>
      <c r="K2961" t="n">
        <v>0</v>
      </c>
      <c r="L2961" t="n">
        <v>0.724</v>
      </c>
      <c r="M2961" t="n">
        <v>0.276</v>
      </c>
    </row>
    <row r="2962" spans="1:13">
      <c r="A2962" s="1">
        <f>HYPERLINK("http://www.twitter.com/NathanBLawrence/status/983010480708050944", "983010480708050944")</f>
        <v/>
      </c>
      <c r="B2962" s="2" t="n">
        <v>43198.66361111111</v>
      </c>
      <c r="C2962" t="n">
        <v>0</v>
      </c>
      <c r="D2962" t="n">
        <v>9</v>
      </c>
      <c r="E2962" t="s">
        <v>2870</v>
      </c>
      <c r="F2962">
        <f>HYPERLINK("http://pbs.twimg.com/media/DaRMUJyVAAAVFT8.jpg", "http://pbs.twimg.com/media/DaRMUJyVAAAVFT8.jpg")</f>
        <v/>
      </c>
      <c r="G2962" t="s"/>
      <c r="H2962" t="s"/>
      <c r="I2962" t="s"/>
      <c r="J2962" t="n">
        <v>-0.5423</v>
      </c>
      <c r="K2962" t="n">
        <v>0.143</v>
      </c>
      <c r="L2962" t="n">
        <v>0.857</v>
      </c>
      <c r="M2962" t="n">
        <v>0</v>
      </c>
    </row>
    <row r="2963" spans="1:13">
      <c r="A2963" s="1">
        <f>HYPERLINK("http://www.twitter.com/NathanBLawrence/status/983001868732452864", "983001868732452864")</f>
        <v/>
      </c>
      <c r="B2963" s="2" t="n">
        <v>43198.63984953704</v>
      </c>
      <c r="C2963" t="n">
        <v>0</v>
      </c>
      <c r="D2963" t="n">
        <v>11</v>
      </c>
      <c r="E2963" t="s">
        <v>2920</v>
      </c>
      <c r="F2963" t="s"/>
      <c r="G2963" t="s"/>
      <c r="H2963" t="s"/>
      <c r="I2963" t="s"/>
      <c r="J2963" t="n">
        <v>0</v>
      </c>
      <c r="K2963" t="n">
        <v>0</v>
      </c>
      <c r="L2963" t="n">
        <v>1</v>
      </c>
      <c r="M2963" t="n">
        <v>0</v>
      </c>
    </row>
    <row r="2964" spans="1:13">
      <c r="A2964" s="1">
        <f>HYPERLINK("http://www.twitter.com/NathanBLawrence/status/983001855776182272", "983001855776182272")</f>
        <v/>
      </c>
      <c r="B2964" s="2" t="n">
        <v>43198.63981481481</v>
      </c>
      <c r="C2964" t="n">
        <v>0</v>
      </c>
      <c r="D2964" t="n">
        <v>9</v>
      </c>
      <c r="E2964" t="s">
        <v>2921</v>
      </c>
      <c r="F2964" t="s"/>
      <c r="G2964" t="s"/>
      <c r="H2964" t="s"/>
      <c r="I2964" t="s"/>
      <c r="J2964" t="n">
        <v>0.0258</v>
      </c>
      <c r="K2964" t="n">
        <v>0</v>
      </c>
      <c r="L2964" t="n">
        <v>0.945</v>
      </c>
      <c r="M2964" t="n">
        <v>0.055</v>
      </c>
    </row>
    <row r="2965" spans="1:13">
      <c r="A2965" s="1">
        <f>HYPERLINK("http://www.twitter.com/NathanBLawrence/status/982999158243065856", "982999158243065856")</f>
        <v/>
      </c>
      <c r="B2965" s="2" t="n">
        <v>43198.63237268518</v>
      </c>
      <c r="C2965" t="n">
        <v>0</v>
      </c>
      <c r="D2965" t="n">
        <v>4</v>
      </c>
      <c r="E2965" t="s">
        <v>2922</v>
      </c>
      <c r="F2965" t="s"/>
      <c r="G2965" t="s"/>
      <c r="H2965" t="s"/>
      <c r="I2965" t="s"/>
      <c r="J2965" t="n">
        <v>0</v>
      </c>
      <c r="K2965" t="n">
        <v>0</v>
      </c>
      <c r="L2965" t="n">
        <v>1</v>
      </c>
      <c r="M2965" t="n">
        <v>0</v>
      </c>
    </row>
    <row r="2966" spans="1:13">
      <c r="A2966" s="1">
        <f>HYPERLINK("http://www.twitter.com/NathanBLawrence/status/982999088869314562", "982999088869314562")</f>
        <v/>
      </c>
      <c r="B2966" s="2" t="n">
        <v>43198.63217592592</v>
      </c>
      <c r="C2966" t="n">
        <v>0</v>
      </c>
      <c r="D2966" t="n">
        <v>8</v>
      </c>
      <c r="E2966" t="s">
        <v>2923</v>
      </c>
      <c r="F2966" t="s"/>
      <c r="G2966" t="s"/>
      <c r="H2966" t="s"/>
      <c r="I2966" t="s"/>
      <c r="J2966" t="n">
        <v>0</v>
      </c>
      <c r="K2966" t="n">
        <v>0</v>
      </c>
      <c r="L2966" t="n">
        <v>1</v>
      </c>
      <c r="M2966" t="n">
        <v>0</v>
      </c>
    </row>
    <row r="2967" spans="1:13">
      <c r="A2967" s="1">
        <f>HYPERLINK("http://www.twitter.com/NathanBLawrence/status/982999072658386944", "982999072658386944")</f>
        <v/>
      </c>
      <c r="B2967" s="2" t="n">
        <v>43198.63212962963</v>
      </c>
      <c r="C2967" t="n">
        <v>0</v>
      </c>
      <c r="D2967" t="n">
        <v>8</v>
      </c>
      <c r="E2967" t="s">
        <v>2924</v>
      </c>
      <c r="F2967" t="s"/>
      <c r="G2967" t="s"/>
      <c r="H2967" t="s"/>
      <c r="I2967" t="s"/>
      <c r="J2967" t="n">
        <v>0.5266999999999999</v>
      </c>
      <c r="K2967" t="n">
        <v>0</v>
      </c>
      <c r="L2967" t="n">
        <v>0.839</v>
      </c>
      <c r="M2967" t="n">
        <v>0.161</v>
      </c>
    </row>
    <row r="2968" spans="1:13">
      <c r="A2968" s="1">
        <f>HYPERLINK("http://www.twitter.com/NathanBLawrence/status/982999053209423873", "982999053209423873")</f>
        <v/>
      </c>
      <c r="B2968" s="2" t="n">
        <v>43198.63208333333</v>
      </c>
      <c r="C2968" t="n">
        <v>0</v>
      </c>
      <c r="D2968" t="n">
        <v>8</v>
      </c>
      <c r="E2968" t="s">
        <v>2925</v>
      </c>
      <c r="F2968" t="s"/>
      <c r="G2968" t="s"/>
      <c r="H2968" t="s"/>
      <c r="I2968" t="s"/>
      <c r="J2968" t="n">
        <v>0.2617</v>
      </c>
      <c r="K2968" t="n">
        <v>0.099</v>
      </c>
      <c r="L2968" t="n">
        <v>0.758</v>
      </c>
      <c r="M2968" t="n">
        <v>0.143</v>
      </c>
    </row>
    <row r="2969" spans="1:13">
      <c r="A2969" s="1">
        <f>HYPERLINK("http://www.twitter.com/NathanBLawrence/status/982999033420636160", "982999033420636160")</f>
        <v/>
      </c>
      <c r="B2969" s="2" t="n">
        <v>43198.63202546296</v>
      </c>
      <c r="C2969" t="n">
        <v>0</v>
      </c>
      <c r="D2969" t="n">
        <v>8</v>
      </c>
      <c r="E2969" t="s">
        <v>2926</v>
      </c>
      <c r="F2969" t="s"/>
      <c r="G2969" t="s"/>
      <c r="H2969" t="s"/>
      <c r="I2969" t="s"/>
      <c r="J2969" t="n">
        <v>0.1779</v>
      </c>
      <c r="K2969" t="n">
        <v>0.076</v>
      </c>
      <c r="L2969" t="n">
        <v>0.8110000000000001</v>
      </c>
      <c r="M2969" t="n">
        <v>0.114</v>
      </c>
    </row>
    <row r="2970" spans="1:13">
      <c r="A2970" s="1">
        <f>HYPERLINK("http://www.twitter.com/NathanBLawrence/status/982999018656686082", "982999018656686082")</f>
        <v/>
      </c>
      <c r="B2970" s="2" t="n">
        <v>43198.63197916667</v>
      </c>
      <c r="C2970" t="n">
        <v>0</v>
      </c>
      <c r="D2970" t="n">
        <v>12</v>
      </c>
      <c r="E2970" t="s">
        <v>2927</v>
      </c>
      <c r="F2970" t="s"/>
      <c r="G2970" t="s"/>
      <c r="H2970" t="s"/>
      <c r="I2970" t="s"/>
      <c r="J2970" t="n">
        <v>0.7543</v>
      </c>
      <c r="K2970" t="n">
        <v>0.078</v>
      </c>
      <c r="L2970" t="n">
        <v>0.656</v>
      </c>
      <c r="M2970" t="n">
        <v>0.266</v>
      </c>
    </row>
    <row r="2971" spans="1:13">
      <c r="A2971" s="1">
        <f>HYPERLINK("http://www.twitter.com/NathanBLawrence/status/982999000612732929", "982999000612732929")</f>
        <v/>
      </c>
      <c r="B2971" s="2" t="n">
        <v>43198.63193287037</v>
      </c>
      <c r="C2971" t="n">
        <v>0</v>
      </c>
      <c r="D2971" t="n">
        <v>11</v>
      </c>
      <c r="E2971" t="s">
        <v>2928</v>
      </c>
      <c r="F2971" t="s"/>
      <c r="G2971" t="s"/>
      <c r="H2971" t="s"/>
      <c r="I2971" t="s"/>
      <c r="J2971" t="n">
        <v>0.0772</v>
      </c>
      <c r="K2971" t="n">
        <v>0.096</v>
      </c>
      <c r="L2971" t="n">
        <v>0.797</v>
      </c>
      <c r="M2971" t="n">
        <v>0.108</v>
      </c>
    </row>
    <row r="2972" spans="1:13">
      <c r="A2972" s="1">
        <f>HYPERLINK("http://www.twitter.com/NathanBLawrence/status/982998971919552512", "982998971919552512")</f>
        <v/>
      </c>
      <c r="B2972" s="2" t="n">
        <v>43198.63185185185</v>
      </c>
      <c r="C2972" t="n">
        <v>0</v>
      </c>
      <c r="D2972" t="n">
        <v>14</v>
      </c>
      <c r="E2972" t="s">
        <v>2929</v>
      </c>
      <c r="F2972" t="s"/>
      <c r="G2972" t="s"/>
      <c r="H2972" t="s"/>
      <c r="I2972" t="s"/>
      <c r="J2972" t="n">
        <v>-0.6505</v>
      </c>
      <c r="K2972" t="n">
        <v>0.178</v>
      </c>
      <c r="L2972" t="n">
        <v>0.822</v>
      </c>
      <c r="M2972" t="n">
        <v>0</v>
      </c>
    </row>
    <row r="2973" spans="1:13">
      <c r="A2973" s="1">
        <f>HYPERLINK("http://www.twitter.com/NathanBLawrence/status/982998916479291392", "982998916479291392")</f>
        <v/>
      </c>
      <c r="B2973" s="2" t="n">
        <v>43198.63170138889</v>
      </c>
      <c r="C2973" t="n">
        <v>0</v>
      </c>
      <c r="D2973" t="n">
        <v>3</v>
      </c>
      <c r="E2973" t="s">
        <v>2930</v>
      </c>
      <c r="F2973">
        <f>HYPERLINK("http://pbs.twimg.com/media/DaRG9f9X4AAwH-K.jpg", "http://pbs.twimg.com/media/DaRG9f9X4AAwH-K.jpg")</f>
        <v/>
      </c>
      <c r="G2973" t="s"/>
      <c r="H2973" t="s"/>
      <c r="I2973" t="s"/>
      <c r="J2973" t="n">
        <v>0</v>
      </c>
      <c r="K2973" t="n">
        <v>0</v>
      </c>
      <c r="L2973" t="n">
        <v>1</v>
      </c>
      <c r="M2973" t="n">
        <v>0</v>
      </c>
    </row>
    <row r="2974" spans="1:13">
      <c r="A2974" s="1">
        <f>HYPERLINK("http://www.twitter.com/NathanBLawrence/status/982921293367599104", "982921293367599104")</f>
        <v/>
      </c>
      <c r="B2974" s="2" t="n">
        <v>43198.4175</v>
      </c>
      <c r="C2974" t="n">
        <v>0</v>
      </c>
      <c r="D2974" t="n">
        <v>2</v>
      </c>
      <c r="E2974" t="s">
        <v>2931</v>
      </c>
      <c r="F2974" t="s"/>
      <c r="G2974" t="s"/>
      <c r="H2974" t="s"/>
      <c r="I2974" t="s"/>
      <c r="J2974" t="n">
        <v>-0.7579</v>
      </c>
      <c r="K2974" t="n">
        <v>0.236</v>
      </c>
      <c r="L2974" t="n">
        <v>0.764</v>
      </c>
      <c r="M2974" t="n">
        <v>0</v>
      </c>
    </row>
    <row r="2975" spans="1:13">
      <c r="A2975" s="1">
        <f>HYPERLINK("http://www.twitter.com/NathanBLawrence/status/982921266146500608", "982921266146500608")</f>
        <v/>
      </c>
      <c r="B2975" s="2" t="n">
        <v>43198.41743055556</v>
      </c>
      <c r="C2975" t="n">
        <v>0</v>
      </c>
      <c r="D2975" t="n">
        <v>1</v>
      </c>
      <c r="E2975" t="s">
        <v>2932</v>
      </c>
      <c r="F2975" t="s"/>
      <c r="G2975" t="s"/>
      <c r="H2975" t="s"/>
      <c r="I2975" t="s"/>
      <c r="J2975" t="n">
        <v>-0.7184</v>
      </c>
      <c r="K2975" t="n">
        <v>0.271</v>
      </c>
      <c r="L2975" t="n">
        <v>0.667</v>
      </c>
      <c r="M2975" t="n">
        <v>0.062</v>
      </c>
    </row>
    <row r="2976" spans="1:13">
      <c r="A2976" s="1">
        <f>HYPERLINK("http://www.twitter.com/NathanBLawrence/status/982921006670123008", "982921006670123008")</f>
        <v/>
      </c>
      <c r="B2976" s="2" t="n">
        <v>43198.41671296296</v>
      </c>
      <c r="C2976" t="n">
        <v>0</v>
      </c>
      <c r="D2976" t="n">
        <v>8</v>
      </c>
      <c r="E2976" t="s">
        <v>2933</v>
      </c>
      <c r="F2976" t="s"/>
      <c r="G2976" t="s"/>
      <c r="H2976" t="s"/>
      <c r="I2976" t="s"/>
      <c r="J2976" t="n">
        <v>-0.3182</v>
      </c>
      <c r="K2976" t="n">
        <v>0.103</v>
      </c>
      <c r="L2976" t="n">
        <v>0.897</v>
      </c>
      <c r="M2976" t="n">
        <v>0</v>
      </c>
    </row>
    <row r="2977" spans="1:13">
      <c r="A2977" s="1">
        <f>HYPERLINK("http://www.twitter.com/NathanBLawrence/status/982765494062256129", "982765494062256129")</f>
        <v/>
      </c>
      <c r="B2977" s="2" t="n">
        <v>43197.98758101852</v>
      </c>
      <c r="C2977" t="n">
        <v>0</v>
      </c>
      <c r="D2977" t="n">
        <v>1</v>
      </c>
      <c r="E2977" t="s">
        <v>2934</v>
      </c>
      <c r="F2977" t="s"/>
      <c r="G2977" t="s"/>
      <c r="H2977" t="s"/>
      <c r="I2977" t="s"/>
      <c r="J2977" t="n">
        <v>0</v>
      </c>
      <c r="K2977" t="n">
        <v>0</v>
      </c>
      <c r="L2977" t="n">
        <v>1</v>
      </c>
      <c r="M2977" t="n">
        <v>0</v>
      </c>
    </row>
    <row r="2978" spans="1:13">
      <c r="A2978" s="1">
        <f>HYPERLINK("http://www.twitter.com/NathanBLawrence/status/982765483408678912", "982765483408678912")</f>
        <v/>
      </c>
      <c r="B2978" s="2" t="n">
        <v>43197.9875462963</v>
      </c>
      <c r="C2978" t="n">
        <v>0</v>
      </c>
      <c r="D2978" t="n">
        <v>3</v>
      </c>
      <c r="E2978" t="s">
        <v>2935</v>
      </c>
      <c r="F2978" t="s"/>
      <c r="G2978" t="s"/>
      <c r="H2978" t="s"/>
      <c r="I2978" t="s"/>
      <c r="J2978" t="n">
        <v>0.4404</v>
      </c>
      <c r="K2978" t="n">
        <v>0</v>
      </c>
      <c r="L2978" t="n">
        <v>0.854</v>
      </c>
      <c r="M2978" t="n">
        <v>0.146</v>
      </c>
    </row>
    <row r="2979" spans="1:13">
      <c r="A2979" s="1">
        <f>HYPERLINK("http://www.twitter.com/NathanBLawrence/status/982764377584689152", "982764377584689152")</f>
        <v/>
      </c>
      <c r="B2979" s="2" t="n">
        <v>43197.98450231482</v>
      </c>
      <c r="C2979" t="n">
        <v>0</v>
      </c>
      <c r="D2979" t="n">
        <v>21</v>
      </c>
      <c r="E2979" t="s">
        <v>2936</v>
      </c>
      <c r="F2979" t="s"/>
      <c r="G2979" t="s"/>
      <c r="H2979" t="s"/>
      <c r="I2979" t="s"/>
      <c r="J2979" t="n">
        <v>-0.4588</v>
      </c>
      <c r="K2979" t="n">
        <v>0.15</v>
      </c>
      <c r="L2979" t="n">
        <v>0.85</v>
      </c>
      <c r="M2979" t="n">
        <v>0</v>
      </c>
    </row>
    <row r="2980" spans="1:13">
      <c r="A2980" s="1">
        <f>HYPERLINK("http://www.twitter.com/NathanBLawrence/status/982764366931152896", "982764366931152896")</f>
        <v/>
      </c>
      <c r="B2980" s="2" t="n">
        <v>43197.98446759259</v>
      </c>
      <c r="C2980" t="n">
        <v>0</v>
      </c>
      <c r="D2980" t="n">
        <v>3</v>
      </c>
      <c r="E2980" t="s">
        <v>2937</v>
      </c>
      <c r="F2980" t="s"/>
      <c r="G2980" t="s"/>
      <c r="H2980" t="s"/>
      <c r="I2980" t="s"/>
      <c r="J2980" t="n">
        <v>-0.6486</v>
      </c>
      <c r="K2980" t="n">
        <v>0.229</v>
      </c>
      <c r="L2980" t="n">
        <v>0.711</v>
      </c>
      <c r="M2980" t="n">
        <v>0.059</v>
      </c>
    </row>
    <row r="2981" spans="1:13">
      <c r="A2981" s="1">
        <f>HYPERLINK("http://www.twitter.com/NathanBLawrence/status/982764345720475651", "982764345720475651")</f>
        <v/>
      </c>
      <c r="B2981" s="2" t="n">
        <v>43197.98440972222</v>
      </c>
      <c r="C2981" t="n">
        <v>0</v>
      </c>
      <c r="D2981" t="n">
        <v>3</v>
      </c>
      <c r="E2981" t="s">
        <v>2938</v>
      </c>
      <c r="F2981" t="s"/>
      <c r="G2981" t="s"/>
      <c r="H2981" t="s"/>
      <c r="I2981" t="s"/>
      <c r="J2981" t="n">
        <v>-0.6369</v>
      </c>
      <c r="K2981" t="n">
        <v>0.167</v>
      </c>
      <c r="L2981" t="n">
        <v>0.78</v>
      </c>
      <c r="M2981" t="n">
        <v>0.053</v>
      </c>
    </row>
    <row r="2982" spans="1:13">
      <c r="A2982" s="1">
        <f>HYPERLINK("http://www.twitter.com/NathanBLawrence/status/982764278347333632", "982764278347333632")</f>
        <v/>
      </c>
      <c r="B2982" s="2" t="n">
        <v>43197.98422453704</v>
      </c>
      <c r="C2982" t="n">
        <v>0</v>
      </c>
      <c r="D2982" t="n">
        <v>12</v>
      </c>
      <c r="E2982" t="s">
        <v>2939</v>
      </c>
      <c r="F2982">
        <f>HYPERLINK("https://video.twimg.com/ext_tw_video/982761581326061568/pu/vid/640x360/qrkNGbtPZPENzQhm.mp4?tag=2", "https://video.twimg.com/ext_tw_video/982761581326061568/pu/vid/640x360/qrkNGbtPZPENzQhm.mp4?tag=2")</f>
        <v/>
      </c>
      <c r="G2982" t="s"/>
      <c r="H2982" t="s"/>
      <c r="I2982" t="s"/>
      <c r="J2982" t="n">
        <v>-0.743</v>
      </c>
      <c r="K2982" t="n">
        <v>0.278</v>
      </c>
      <c r="L2982" t="n">
        <v>0.722</v>
      </c>
      <c r="M2982" t="n">
        <v>0</v>
      </c>
    </row>
    <row r="2983" spans="1:13">
      <c r="A2983" s="1">
        <f>HYPERLINK("http://www.twitter.com/NathanBLawrence/status/982764260832014337", "982764260832014337")</f>
        <v/>
      </c>
      <c r="B2983" s="2" t="n">
        <v>43197.98417824074</v>
      </c>
      <c r="C2983" t="n">
        <v>0</v>
      </c>
      <c r="D2983" t="n">
        <v>6</v>
      </c>
      <c r="E2983" t="s">
        <v>2940</v>
      </c>
      <c r="F2983" t="s"/>
      <c r="G2983" t="s"/>
      <c r="H2983" t="s"/>
      <c r="I2983" t="s"/>
      <c r="J2983" t="n">
        <v>0</v>
      </c>
      <c r="K2983" t="n">
        <v>0</v>
      </c>
      <c r="L2983" t="n">
        <v>1</v>
      </c>
      <c r="M2983" t="n">
        <v>0</v>
      </c>
    </row>
    <row r="2984" spans="1:13">
      <c r="A2984" s="1">
        <f>HYPERLINK("http://www.twitter.com/NathanBLawrence/status/982756750020497408", "982756750020497408")</f>
        <v/>
      </c>
      <c r="B2984" s="2" t="n">
        <v>43197.96344907407</v>
      </c>
      <c r="C2984" t="n">
        <v>0</v>
      </c>
      <c r="D2984" t="n">
        <v>1</v>
      </c>
      <c r="E2984" t="s">
        <v>2941</v>
      </c>
      <c r="F2984" t="s"/>
      <c r="G2984" t="s"/>
      <c r="H2984" t="s"/>
      <c r="I2984" t="s"/>
      <c r="J2984" t="n">
        <v>0</v>
      </c>
      <c r="K2984" t="n">
        <v>0</v>
      </c>
      <c r="L2984" t="n">
        <v>1</v>
      </c>
      <c r="M2984" t="n">
        <v>0</v>
      </c>
    </row>
    <row r="2985" spans="1:13">
      <c r="A2985" s="1">
        <f>HYPERLINK("http://www.twitter.com/NathanBLawrence/status/982756721436262400", "982756721436262400")</f>
        <v/>
      </c>
      <c r="B2985" s="2" t="n">
        <v>43197.96336805556</v>
      </c>
      <c r="C2985" t="n">
        <v>0</v>
      </c>
      <c r="D2985" t="n">
        <v>11</v>
      </c>
      <c r="E2985" t="s">
        <v>2942</v>
      </c>
      <c r="F2985" t="s"/>
      <c r="G2985" t="s"/>
      <c r="H2985" t="s"/>
      <c r="I2985" t="s"/>
      <c r="J2985" t="n">
        <v>0.1531</v>
      </c>
      <c r="K2985" t="n">
        <v>0</v>
      </c>
      <c r="L2985" t="n">
        <v>0.918</v>
      </c>
      <c r="M2985" t="n">
        <v>0.082</v>
      </c>
    </row>
    <row r="2986" spans="1:13">
      <c r="A2986" s="1">
        <f>HYPERLINK("http://www.twitter.com/NathanBLawrence/status/982756700448002048", "982756700448002048")</f>
        <v/>
      </c>
      <c r="B2986" s="2" t="n">
        <v>43197.96331018519</v>
      </c>
      <c r="C2986" t="n">
        <v>0</v>
      </c>
      <c r="D2986" t="n">
        <v>4</v>
      </c>
      <c r="E2986" t="s">
        <v>2943</v>
      </c>
      <c r="F2986" t="s"/>
      <c r="G2986" t="s"/>
      <c r="H2986" t="s"/>
      <c r="I2986" t="s"/>
      <c r="J2986" t="n">
        <v>0</v>
      </c>
      <c r="K2986" t="n">
        <v>0</v>
      </c>
      <c r="L2986" t="n">
        <v>1</v>
      </c>
      <c r="M2986" t="n">
        <v>0</v>
      </c>
    </row>
    <row r="2987" spans="1:13">
      <c r="A2987" s="1">
        <f>HYPERLINK("http://www.twitter.com/NathanBLawrence/status/982756570416197632", "982756570416197632")</f>
        <v/>
      </c>
      <c r="B2987" s="2" t="n">
        <v>43197.96295138889</v>
      </c>
      <c r="C2987" t="n">
        <v>0</v>
      </c>
      <c r="D2987" t="n">
        <v>5</v>
      </c>
      <c r="E2987" t="s">
        <v>2944</v>
      </c>
      <c r="F2987">
        <f>HYPERLINK("https://video.twimg.com/ext_tw_video/982478979247624192/pu/vid/1280x720/Q7PQk_D0F4ZYPPiz.mp4?tag=2", "https://video.twimg.com/ext_tw_video/982478979247624192/pu/vid/1280x720/Q7PQk_D0F4ZYPPiz.mp4?tag=2")</f>
        <v/>
      </c>
      <c r="G2987" t="s"/>
      <c r="H2987" t="s"/>
      <c r="I2987" t="s"/>
      <c r="J2987" t="n">
        <v>0.34</v>
      </c>
      <c r="K2987" t="n">
        <v>0</v>
      </c>
      <c r="L2987" t="n">
        <v>0.854</v>
      </c>
      <c r="M2987" t="n">
        <v>0.146</v>
      </c>
    </row>
    <row r="2988" spans="1:13">
      <c r="A2988" s="1">
        <f>HYPERLINK("http://www.twitter.com/NathanBLawrence/status/982756430334906369", "982756430334906369")</f>
        <v/>
      </c>
      <c r="B2988" s="2" t="n">
        <v>43197.96256944445</v>
      </c>
      <c r="C2988" t="n">
        <v>0</v>
      </c>
      <c r="D2988" t="n">
        <v>7</v>
      </c>
      <c r="E2988" t="s">
        <v>2945</v>
      </c>
      <c r="F2988">
        <f>HYPERLINK("https://video.twimg.com/ext_tw_video/982626440037453824/pu/vid/1280x720/_HxpmQsqvapabnmh.mp4?tag=2", "https://video.twimg.com/ext_tw_video/982626440037453824/pu/vid/1280x720/_HxpmQsqvapabnmh.mp4?tag=2")</f>
        <v/>
      </c>
      <c r="G2988" t="s"/>
      <c r="H2988" t="s"/>
      <c r="I2988" t="s"/>
      <c r="J2988" t="n">
        <v>0.762</v>
      </c>
      <c r="K2988" t="n">
        <v>0</v>
      </c>
      <c r="L2988" t="n">
        <v>0.743</v>
      </c>
      <c r="M2988" t="n">
        <v>0.257</v>
      </c>
    </row>
    <row r="2989" spans="1:13">
      <c r="A2989" s="1">
        <f>HYPERLINK("http://www.twitter.com/NathanBLawrence/status/982756401213792256", "982756401213792256")</f>
        <v/>
      </c>
      <c r="B2989" s="2" t="n">
        <v>43197.96248842592</v>
      </c>
      <c r="C2989" t="n">
        <v>0</v>
      </c>
      <c r="D2989" t="n">
        <v>5</v>
      </c>
      <c r="E2989" t="s">
        <v>2915</v>
      </c>
      <c r="F2989" t="s"/>
      <c r="G2989" t="s"/>
      <c r="H2989" t="s"/>
      <c r="I2989" t="s"/>
      <c r="J2989" t="n">
        <v>0</v>
      </c>
      <c r="K2989" t="n">
        <v>0</v>
      </c>
      <c r="L2989" t="n">
        <v>1</v>
      </c>
      <c r="M2989" t="n">
        <v>0</v>
      </c>
    </row>
    <row r="2990" spans="1:13">
      <c r="A2990" s="1">
        <f>HYPERLINK("http://www.twitter.com/NathanBLawrence/status/982756289297002497", "982756289297002497")</f>
        <v/>
      </c>
      <c r="B2990" s="2" t="n">
        <v>43197.96217592592</v>
      </c>
      <c r="C2990" t="n">
        <v>0</v>
      </c>
      <c r="D2990" t="n">
        <v>5</v>
      </c>
      <c r="E2990" t="s">
        <v>2946</v>
      </c>
      <c r="F2990" t="s"/>
      <c r="G2990" t="s"/>
      <c r="H2990" t="s"/>
      <c r="I2990" t="s"/>
      <c r="J2990" t="n">
        <v>-0.5106000000000001</v>
      </c>
      <c r="K2990" t="n">
        <v>0.191</v>
      </c>
      <c r="L2990" t="n">
        <v>0.8090000000000001</v>
      </c>
      <c r="M2990" t="n">
        <v>0</v>
      </c>
    </row>
    <row r="2991" spans="1:13">
      <c r="A2991" s="1">
        <f>HYPERLINK("http://www.twitter.com/NathanBLawrence/status/982756236948115458", "982756236948115458")</f>
        <v/>
      </c>
      <c r="B2991" s="2" t="n">
        <v>43197.96203703704</v>
      </c>
      <c r="C2991" t="n">
        <v>0</v>
      </c>
      <c r="D2991" t="n">
        <v>9</v>
      </c>
      <c r="E2991" t="s">
        <v>2947</v>
      </c>
      <c r="F2991" t="s"/>
      <c r="G2991" t="s"/>
      <c r="H2991" t="s"/>
      <c r="I2991" t="s"/>
      <c r="J2991" t="n">
        <v>-0.4588</v>
      </c>
      <c r="K2991" t="n">
        <v>0.125</v>
      </c>
      <c r="L2991" t="n">
        <v>0.875</v>
      </c>
      <c r="M2991" t="n">
        <v>0</v>
      </c>
    </row>
    <row r="2992" spans="1:13">
      <c r="A2992" s="1">
        <f>HYPERLINK("http://www.twitter.com/NathanBLawrence/status/982756035399180289", "982756035399180289")</f>
        <v/>
      </c>
      <c r="B2992" s="2" t="n">
        <v>43197.96148148148</v>
      </c>
      <c r="C2992" t="n">
        <v>0</v>
      </c>
      <c r="D2992" t="n">
        <v>14772</v>
      </c>
      <c r="E2992" t="s">
        <v>2948</v>
      </c>
      <c r="F2992" t="s"/>
      <c r="G2992" t="s"/>
      <c r="H2992" t="s"/>
      <c r="I2992" t="s"/>
      <c r="J2992" t="n">
        <v>-0.7269</v>
      </c>
      <c r="K2992" t="n">
        <v>0.317</v>
      </c>
      <c r="L2992" t="n">
        <v>0.59</v>
      </c>
      <c r="M2992" t="n">
        <v>0.092</v>
      </c>
    </row>
    <row r="2993" spans="1:13">
      <c r="A2993" s="1">
        <f>HYPERLINK("http://www.twitter.com/NathanBLawrence/status/982669273331101696", "982669273331101696")</f>
        <v/>
      </c>
      <c r="B2993" s="2" t="n">
        <v>43197.72206018519</v>
      </c>
      <c r="C2993" t="n">
        <v>0</v>
      </c>
      <c r="D2993" t="n">
        <v>4</v>
      </c>
      <c r="E2993" t="s">
        <v>2915</v>
      </c>
      <c r="F2993" t="s"/>
      <c r="G2993" t="s"/>
      <c r="H2993" t="s"/>
      <c r="I2993" t="s"/>
      <c r="J2993" t="n">
        <v>0</v>
      </c>
      <c r="K2993" t="n">
        <v>0</v>
      </c>
      <c r="L2993" t="n">
        <v>1</v>
      </c>
      <c r="M2993" t="n">
        <v>0</v>
      </c>
    </row>
    <row r="2994" spans="1:13">
      <c r="A2994" s="1">
        <f>HYPERLINK("http://www.twitter.com/NathanBLawrence/status/982659332188884993", "982659332188884993")</f>
        <v/>
      </c>
      <c r="B2994" s="2" t="n">
        <v>43197.69462962963</v>
      </c>
      <c r="C2994" t="n">
        <v>0</v>
      </c>
      <c r="D2994" t="n">
        <v>5</v>
      </c>
      <c r="E2994" t="s">
        <v>2949</v>
      </c>
      <c r="F2994" t="s"/>
      <c r="G2994" t="s"/>
      <c r="H2994" t="s"/>
      <c r="I2994" t="s"/>
      <c r="J2994" t="n">
        <v>0</v>
      </c>
      <c r="K2994" t="n">
        <v>0</v>
      </c>
      <c r="L2994" t="n">
        <v>1</v>
      </c>
      <c r="M2994" t="n">
        <v>0</v>
      </c>
    </row>
    <row r="2995" spans="1:13">
      <c r="A2995" s="1">
        <f>HYPERLINK("http://www.twitter.com/NathanBLawrence/status/982659204740714497", "982659204740714497")</f>
        <v/>
      </c>
      <c r="B2995" s="2" t="n">
        <v>43197.69427083333</v>
      </c>
      <c r="C2995" t="n">
        <v>0</v>
      </c>
      <c r="D2995" t="n">
        <v>20</v>
      </c>
      <c r="E2995" t="s">
        <v>2950</v>
      </c>
      <c r="F2995">
        <f>HYPERLINK("http://pbs.twimg.com/media/DaJ4EDIXkAA1Vk-.jpg", "http://pbs.twimg.com/media/DaJ4EDIXkAA1Vk-.jpg")</f>
        <v/>
      </c>
      <c r="G2995" t="s"/>
      <c r="H2995" t="s"/>
      <c r="I2995" t="s"/>
      <c r="J2995" t="n">
        <v>-0.5106000000000001</v>
      </c>
      <c r="K2995" t="n">
        <v>0.163</v>
      </c>
      <c r="L2995" t="n">
        <v>0.837</v>
      </c>
      <c r="M2995" t="n">
        <v>0</v>
      </c>
    </row>
    <row r="2996" spans="1:13">
      <c r="A2996" s="1">
        <f>HYPERLINK("http://www.twitter.com/NathanBLawrence/status/982659115385327616", "982659115385327616")</f>
        <v/>
      </c>
      <c r="B2996" s="2" t="n">
        <v>43197.69402777778</v>
      </c>
      <c r="C2996" t="n">
        <v>0</v>
      </c>
      <c r="D2996" t="n">
        <v>4</v>
      </c>
      <c r="E2996" t="s">
        <v>2915</v>
      </c>
      <c r="F2996" t="s"/>
      <c r="G2996" t="s"/>
      <c r="H2996" t="s"/>
      <c r="I2996" t="s"/>
      <c r="J2996" t="n">
        <v>0</v>
      </c>
      <c r="K2996" t="n">
        <v>0</v>
      </c>
      <c r="L2996" t="n">
        <v>1</v>
      </c>
      <c r="M2996" t="n">
        <v>0</v>
      </c>
    </row>
    <row r="2997" spans="1:13">
      <c r="A2997" s="1">
        <f>HYPERLINK("http://www.twitter.com/NathanBLawrence/status/982659080937451520", "982659080937451520")</f>
        <v/>
      </c>
      <c r="B2997" s="2" t="n">
        <v>43197.69393518518</v>
      </c>
      <c r="C2997" t="n">
        <v>0</v>
      </c>
      <c r="D2997" t="n">
        <v>5</v>
      </c>
      <c r="E2997" t="s">
        <v>2915</v>
      </c>
      <c r="F2997" t="s"/>
      <c r="G2997" t="s"/>
      <c r="H2997" t="s"/>
      <c r="I2997" t="s"/>
      <c r="J2997" t="n">
        <v>0</v>
      </c>
      <c r="K2997" t="n">
        <v>0</v>
      </c>
      <c r="L2997" t="n">
        <v>1</v>
      </c>
      <c r="M2997" t="n">
        <v>0</v>
      </c>
    </row>
    <row r="2998" spans="1:13">
      <c r="A2998" s="1">
        <f>HYPERLINK("http://www.twitter.com/NathanBLawrence/status/982659021911068672", "982659021911068672")</f>
        <v/>
      </c>
      <c r="B2998" s="2" t="n">
        <v>43197.69377314814</v>
      </c>
      <c r="C2998" t="n">
        <v>0</v>
      </c>
      <c r="D2998" t="n">
        <v>4</v>
      </c>
      <c r="E2998" t="s">
        <v>2915</v>
      </c>
      <c r="F2998" t="s"/>
      <c r="G2998" t="s"/>
      <c r="H2998" t="s"/>
      <c r="I2998" t="s"/>
      <c r="J2998" t="n">
        <v>0</v>
      </c>
      <c r="K2998" t="n">
        <v>0</v>
      </c>
      <c r="L2998" t="n">
        <v>1</v>
      </c>
      <c r="M2998" t="n">
        <v>0</v>
      </c>
    </row>
    <row r="2999" spans="1:13">
      <c r="A2999" s="1">
        <f>HYPERLINK("http://www.twitter.com/NathanBLawrence/status/982659002856361985", "982659002856361985")</f>
        <v/>
      </c>
      <c r="B2999" s="2" t="n">
        <v>43197.69371527778</v>
      </c>
      <c r="C2999" t="n">
        <v>0</v>
      </c>
      <c r="D2999" t="n">
        <v>3</v>
      </c>
      <c r="E2999" t="s">
        <v>2915</v>
      </c>
      <c r="F2999" t="s"/>
      <c r="G2999" t="s"/>
      <c r="H2999" t="s"/>
      <c r="I2999" t="s"/>
      <c r="J2999" t="n">
        <v>0</v>
      </c>
      <c r="K2999" t="n">
        <v>0</v>
      </c>
      <c r="L2999" t="n">
        <v>1</v>
      </c>
      <c r="M2999" t="n">
        <v>0</v>
      </c>
    </row>
    <row r="3000" spans="1:13">
      <c r="A3000" s="1">
        <f>HYPERLINK("http://www.twitter.com/NathanBLawrence/status/982658972233723904", "982658972233723904")</f>
        <v/>
      </c>
      <c r="B3000" s="2" t="n">
        <v>43197.69363425926</v>
      </c>
      <c r="C3000" t="n">
        <v>0</v>
      </c>
      <c r="D3000" t="n">
        <v>4</v>
      </c>
      <c r="E3000" t="s">
        <v>2915</v>
      </c>
      <c r="F3000" t="s"/>
      <c r="G3000" t="s"/>
      <c r="H3000" t="s"/>
      <c r="I3000" t="s"/>
      <c r="J3000" t="n">
        <v>0</v>
      </c>
      <c r="K3000" t="n">
        <v>0</v>
      </c>
      <c r="L3000" t="n">
        <v>1</v>
      </c>
      <c r="M3000" t="n">
        <v>0</v>
      </c>
    </row>
    <row r="3001" spans="1:13">
      <c r="A3001" s="1">
        <f>HYPERLINK("http://www.twitter.com/NathanBLawrence/status/982658622470737921", "982658622470737921")</f>
        <v/>
      </c>
      <c r="B3001" s="2" t="n">
        <v>43197.69267361111</v>
      </c>
      <c r="C3001" t="n">
        <v>0</v>
      </c>
      <c r="D3001" t="n">
        <v>6</v>
      </c>
      <c r="E3001" t="s">
        <v>2951</v>
      </c>
      <c r="F3001" t="s"/>
      <c r="G3001" t="s"/>
      <c r="H3001" t="s"/>
      <c r="I3001" t="s"/>
      <c r="J3001" t="n">
        <v>0</v>
      </c>
      <c r="K3001" t="n">
        <v>0</v>
      </c>
      <c r="L3001" t="n">
        <v>1</v>
      </c>
      <c r="M3001" t="n">
        <v>0</v>
      </c>
    </row>
    <row r="3002" spans="1:13">
      <c r="A3002" s="1">
        <f>HYPERLINK("http://www.twitter.com/NathanBLawrence/status/982658588647870464", "982658588647870464")</f>
        <v/>
      </c>
      <c r="B3002" s="2" t="n">
        <v>43197.69258101852</v>
      </c>
      <c r="C3002" t="n">
        <v>0</v>
      </c>
      <c r="D3002" t="n">
        <v>7</v>
      </c>
      <c r="E3002" t="s">
        <v>2952</v>
      </c>
      <c r="F3002" t="s"/>
      <c r="G3002" t="s"/>
      <c r="H3002" t="s"/>
      <c r="I3002" t="s"/>
      <c r="J3002" t="n">
        <v>0</v>
      </c>
      <c r="K3002" t="n">
        <v>0</v>
      </c>
      <c r="L3002" t="n">
        <v>1</v>
      </c>
      <c r="M3002" t="n">
        <v>0</v>
      </c>
    </row>
    <row r="3003" spans="1:13">
      <c r="A3003" s="1">
        <f>HYPERLINK("http://www.twitter.com/NathanBLawrence/status/982642500560130048", "982642500560130048")</f>
        <v/>
      </c>
      <c r="B3003" s="2" t="n">
        <v>43197.64818287037</v>
      </c>
      <c r="C3003" t="n">
        <v>0</v>
      </c>
      <c r="D3003" t="n">
        <v>5</v>
      </c>
      <c r="E3003" t="s">
        <v>2953</v>
      </c>
      <c r="F3003" t="s"/>
      <c r="G3003" t="s"/>
      <c r="H3003" t="s"/>
      <c r="I3003" t="s"/>
      <c r="J3003" t="n">
        <v>-0.4939</v>
      </c>
      <c r="K3003" t="n">
        <v>0.151</v>
      </c>
      <c r="L3003" t="n">
        <v>0.849</v>
      </c>
      <c r="M3003" t="n">
        <v>0</v>
      </c>
    </row>
    <row r="3004" spans="1:13">
      <c r="A3004" s="1">
        <f>HYPERLINK("http://www.twitter.com/NathanBLawrence/status/982642331819048966", "982642331819048966")</f>
        <v/>
      </c>
      <c r="B3004" s="2" t="n">
        <v>43197.64771990741</v>
      </c>
      <c r="C3004" t="n">
        <v>0</v>
      </c>
      <c r="D3004" t="n">
        <v>5</v>
      </c>
      <c r="E3004" t="s">
        <v>2954</v>
      </c>
      <c r="F3004">
        <f>HYPERLINK("http://pbs.twimg.com/media/DaL_PPnWkAYcBq9.jpg", "http://pbs.twimg.com/media/DaL_PPnWkAYcBq9.jpg")</f>
        <v/>
      </c>
      <c r="G3004" t="s"/>
      <c r="H3004" t="s"/>
      <c r="I3004" t="s"/>
      <c r="J3004" t="n">
        <v>-0.4199</v>
      </c>
      <c r="K3004" t="n">
        <v>0.122</v>
      </c>
      <c r="L3004" t="n">
        <v>0.878</v>
      </c>
      <c r="M3004" t="n">
        <v>0</v>
      </c>
    </row>
    <row r="3005" spans="1:13">
      <c r="A3005" s="1">
        <f>HYPERLINK("http://www.twitter.com/NathanBLawrence/status/982642316807680000", "982642316807680000")</f>
        <v/>
      </c>
      <c r="B3005" s="2" t="n">
        <v>43197.64767361111</v>
      </c>
      <c r="C3005" t="n">
        <v>0</v>
      </c>
      <c r="D3005" t="n">
        <v>5</v>
      </c>
      <c r="E3005" t="s">
        <v>2955</v>
      </c>
      <c r="F3005" t="s"/>
      <c r="G3005" t="s"/>
      <c r="H3005" t="s"/>
      <c r="I3005" t="s"/>
      <c r="J3005" t="n">
        <v>0</v>
      </c>
      <c r="K3005" t="n">
        <v>0</v>
      </c>
      <c r="L3005" t="n">
        <v>1</v>
      </c>
      <c r="M3005" t="n">
        <v>0</v>
      </c>
    </row>
    <row r="3006" spans="1:13">
      <c r="A3006" s="1">
        <f>HYPERLINK("http://www.twitter.com/NathanBLawrence/status/982642163635949571", "982642163635949571")</f>
        <v/>
      </c>
      <c r="B3006" s="2" t="n">
        <v>43197.64725694444</v>
      </c>
      <c r="C3006" t="n">
        <v>0</v>
      </c>
      <c r="D3006" t="n">
        <v>5</v>
      </c>
      <c r="E3006" t="s">
        <v>2956</v>
      </c>
      <c r="F3006" t="s"/>
      <c r="G3006" t="s"/>
      <c r="H3006" t="s"/>
      <c r="I3006" t="s"/>
      <c r="J3006" t="n">
        <v>0.3612</v>
      </c>
      <c r="K3006" t="n">
        <v>0</v>
      </c>
      <c r="L3006" t="n">
        <v>0.865</v>
      </c>
      <c r="M3006" t="n">
        <v>0.135</v>
      </c>
    </row>
    <row r="3007" spans="1:13">
      <c r="A3007" s="1">
        <f>HYPERLINK("http://www.twitter.com/NathanBLawrence/status/982642154374942722", "982642154374942722")</f>
        <v/>
      </c>
      <c r="B3007" s="2" t="n">
        <v>43197.64722222222</v>
      </c>
      <c r="C3007" t="n">
        <v>0</v>
      </c>
      <c r="D3007" t="n">
        <v>4</v>
      </c>
      <c r="E3007" t="s">
        <v>2957</v>
      </c>
      <c r="F3007" t="s"/>
      <c r="G3007" t="s"/>
      <c r="H3007" t="s"/>
      <c r="I3007" t="s"/>
      <c r="J3007" t="n">
        <v>0.1531</v>
      </c>
      <c r="K3007" t="n">
        <v>0.096</v>
      </c>
      <c r="L3007" t="n">
        <v>0.783</v>
      </c>
      <c r="M3007" t="n">
        <v>0.122</v>
      </c>
    </row>
    <row r="3008" spans="1:13">
      <c r="A3008" s="1">
        <f>HYPERLINK("http://www.twitter.com/NathanBLawrence/status/982642142328868864", "982642142328868864")</f>
        <v/>
      </c>
      <c r="B3008" s="2" t="n">
        <v>43197.6471875</v>
      </c>
      <c r="C3008" t="n">
        <v>0</v>
      </c>
      <c r="D3008" t="n">
        <v>10</v>
      </c>
      <c r="E3008" t="s">
        <v>2958</v>
      </c>
      <c r="F3008" t="s"/>
      <c r="G3008" t="s"/>
      <c r="H3008" t="s"/>
      <c r="I3008" t="s"/>
      <c r="J3008" t="n">
        <v>0</v>
      </c>
      <c r="K3008" t="n">
        <v>0</v>
      </c>
      <c r="L3008" t="n">
        <v>1</v>
      </c>
      <c r="M3008" t="n">
        <v>0</v>
      </c>
    </row>
    <row r="3009" spans="1:13">
      <c r="A3009" s="1">
        <f>HYPERLINK("http://www.twitter.com/NathanBLawrence/status/982641984606220289", "982641984606220289")</f>
        <v/>
      </c>
      <c r="B3009" s="2" t="n">
        <v>43197.64675925926</v>
      </c>
      <c r="C3009" t="n">
        <v>0</v>
      </c>
      <c r="D3009" t="n">
        <v>114</v>
      </c>
      <c r="E3009" t="s">
        <v>2959</v>
      </c>
      <c r="F3009" t="s"/>
      <c r="G3009" t="s"/>
      <c r="H3009" t="s"/>
      <c r="I3009" t="s"/>
      <c r="J3009" t="n">
        <v>-0.6705</v>
      </c>
      <c r="K3009" t="n">
        <v>0.191</v>
      </c>
      <c r="L3009" t="n">
        <v>0.8090000000000001</v>
      </c>
      <c r="M3009" t="n">
        <v>0</v>
      </c>
    </row>
    <row r="3010" spans="1:13">
      <c r="A3010" s="1">
        <f>HYPERLINK("http://www.twitter.com/NathanBLawrence/status/982641927051993089", "982641927051993089")</f>
        <v/>
      </c>
      <c r="B3010" s="2" t="n">
        <v>43197.64659722222</v>
      </c>
      <c r="C3010" t="n">
        <v>0</v>
      </c>
      <c r="D3010" t="n">
        <v>22</v>
      </c>
      <c r="E3010" t="s">
        <v>2960</v>
      </c>
      <c r="F3010">
        <f>HYPERLINK("http://pbs.twimg.com/media/DaGoD9wVwAITdvG.jpg", "http://pbs.twimg.com/media/DaGoD9wVwAITdvG.jpg")</f>
        <v/>
      </c>
      <c r="G3010" t="s"/>
      <c r="H3010" t="s"/>
      <c r="I3010" t="s"/>
      <c r="J3010" t="n">
        <v>0</v>
      </c>
      <c r="K3010" t="n">
        <v>0</v>
      </c>
      <c r="L3010" t="n">
        <v>1</v>
      </c>
      <c r="M3010" t="n">
        <v>0</v>
      </c>
    </row>
    <row r="3011" spans="1:13">
      <c r="A3011" s="1">
        <f>HYPERLINK("http://www.twitter.com/NathanBLawrence/status/982641881510268933", "982641881510268933")</f>
        <v/>
      </c>
      <c r="B3011" s="2" t="n">
        <v>43197.64646990741</v>
      </c>
      <c r="C3011" t="n">
        <v>0</v>
      </c>
      <c r="D3011" t="n">
        <v>0</v>
      </c>
      <c r="E3011" t="s">
        <v>2961</v>
      </c>
      <c r="F3011" t="s"/>
      <c r="G3011" t="s"/>
      <c r="H3011" t="s"/>
      <c r="I3011" t="s"/>
      <c r="J3011" t="n">
        <v>0.4742</v>
      </c>
      <c r="K3011" t="n">
        <v>0.149</v>
      </c>
      <c r="L3011" t="n">
        <v>0.548</v>
      </c>
      <c r="M3011" t="n">
        <v>0.303</v>
      </c>
    </row>
    <row r="3012" spans="1:13">
      <c r="A3012" s="1">
        <f>HYPERLINK("http://www.twitter.com/NathanBLawrence/status/982532173378048000", "982532173378048000")</f>
        <v/>
      </c>
      <c r="B3012" s="2" t="n">
        <v>43197.34373842592</v>
      </c>
      <c r="C3012" t="n">
        <v>0</v>
      </c>
      <c r="D3012" t="n">
        <v>849</v>
      </c>
      <c r="E3012" t="s">
        <v>2962</v>
      </c>
      <c r="F3012" t="s"/>
      <c r="G3012" t="s"/>
      <c r="H3012" t="s"/>
      <c r="I3012" t="s"/>
      <c r="J3012" t="n">
        <v>0.2023</v>
      </c>
      <c r="K3012" t="n">
        <v>0</v>
      </c>
      <c r="L3012" t="n">
        <v>0.921</v>
      </c>
      <c r="M3012" t="n">
        <v>0.079</v>
      </c>
    </row>
    <row r="3013" spans="1:13">
      <c r="A3013" s="1">
        <f>HYPERLINK("http://www.twitter.com/NathanBLawrence/status/982532144508669952", "982532144508669952")</f>
        <v/>
      </c>
      <c r="B3013" s="2" t="n">
        <v>43197.34365740741</v>
      </c>
      <c r="C3013" t="n">
        <v>0</v>
      </c>
      <c r="D3013" t="n">
        <v>2</v>
      </c>
      <c r="E3013" t="s">
        <v>2963</v>
      </c>
      <c r="F3013" t="s"/>
      <c r="G3013" t="s"/>
      <c r="H3013" t="s"/>
      <c r="I3013" t="s"/>
      <c r="J3013" t="n">
        <v>0.3818</v>
      </c>
      <c r="K3013" t="n">
        <v>0.08799999999999999</v>
      </c>
      <c r="L3013" t="n">
        <v>0.76</v>
      </c>
      <c r="M3013" t="n">
        <v>0.152</v>
      </c>
    </row>
    <row r="3014" spans="1:13">
      <c r="A3014" s="1">
        <f>HYPERLINK("http://www.twitter.com/NathanBLawrence/status/982532123449020416", "982532123449020416")</f>
        <v/>
      </c>
      <c r="B3014" s="2" t="n">
        <v>43197.34359953704</v>
      </c>
      <c r="C3014" t="n">
        <v>0</v>
      </c>
      <c r="D3014" t="n">
        <v>669</v>
      </c>
      <c r="E3014" t="s">
        <v>2964</v>
      </c>
      <c r="F3014" t="s"/>
      <c r="G3014" t="s"/>
      <c r="H3014" t="s"/>
      <c r="I3014" t="s"/>
      <c r="J3014" t="n">
        <v>-0.7964</v>
      </c>
      <c r="K3014" t="n">
        <v>0.323</v>
      </c>
      <c r="L3014" t="n">
        <v>0.677</v>
      </c>
      <c r="M3014" t="n">
        <v>0</v>
      </c>
    </row>
    <row r="3015" spans="1:13">
      <c r="A3015" s="1">
        <f>HYPERLINK("http://www.twitter.com/NathanBLawrence/status/982532090611761152", "982532090611761152")</f>
        <v/>
      </c>
      <c r="B3015" s="2" t="n">
        <v>43197.34350694445</v>
      </c>
      <c r="C3015" t="n">
        <v>0</v>
      </c>
      <c r="D3015" t="n">
        <v>11986</v>
      </c>
      <c r="E3015" t="s">
        <v>2965</v>
      </c>
      <c r="F3015" t="s"/>
      <c r="G3015" t="s"/>
      <c r="H3015" t="s"/>
      <c r="I3015" t="s"/>
      <c r="J3015" t="n">
        <v>0.5777</v>
      </c>
      <c r="K3015" t="n">
        <v>0</v>
      </c>
      <c r="L3015" t="n">
        <v>0.86</v>
      </c>
      <c r="M3015" t="n">
        <v>0.14</v>
      </c>
    </row>
    <row r="3016" spans="1:13">
      <c r="A3016" s="1">
        <f>HYPERLINK("http://www.twitter.com/NathanBLawrence/status/982532069606809600", "982532069606809600")</f>
        <v/>
      </c>
      <c r="B3016" s="2" t="n">
        <v>43197.34344907408</v>
      </c>
      <c r="C3016" t="n">
        <v>0</v>
      </c>
      <c r="D3016" t="n">
        <v>11</v>
      </c>
      <c r="E3016" t="s">
        <v>2966</v>
      </c>
      <c r="F3016" t="s"/>
      <c r="G3016" t="s"/>
      <c r="H3016" t="s"/>
      <c r="I3016" t="s"/>
      <c r="J3016" t="n">
        <v>0.6289</v>
      </c>
      <c r="K3016" t="n">
        <v>0.083</v>
      </c>
      <c r="L3016" t="n">
        <v>0.678</v>
      </c>
      <c r="M3016" t="n">
        <v>0.239</v>
      </c>
    </row>
    <row r="3017" spans="1:13">
      <c r="A3017" s="1">
        <f>HYPERLINK("http://www.twitter.com/NathanBLawrence/status/982531920973258752", "982531920973258752")</f>
        <v/>
      </c>
      <c r="B3017" s="2" t="n">
        <v>43197.34304398148</v>
      </c>
      <c r="C3017" t="n">
        <v>0</v>
      </c>
      <c r="D3017" t="n">
        <v>3</v>
      </c>
      <c r="E3017" t="s">
        <v>2967</v>
      </c>
      <c r="F3017" t="s"/>
      <c r="G3017" t="s"/>
      <c r="H3017" t="s"/>
      <c r="I3017" t="s"/>
      <c r="J3017" t="n">
        <v>-0.5191</v>
      </c>
      <c r="K3017" t="n">
        <v>0.212</v>
      </c>
      <c r="L3017" t="n">
        <v>0.6909999999999999</v>
      </c>
      <c r="M3017" t="n">
        <v>0.097</v>
      </c>
    </row>
    <row r="3018" spans="1:13">
      <c r="A3018" s="1">
        <f>HYPERLINK("http://www.twitter.com/NathanBLawrence/status/982531897225072641", "982531897225072641")</f>
        <v/>
      </c>
      <c r="B3018" s="2" t="n">
        <v>43197.34297453704</v>
      </c>
      <c r="C3018" t="n">
        <v>0</v>
      </c>
      <c r="D3018" t="n">
        <v>3</v>
      </c>
      <c r="E3018" t="s">
        <v>2968</v>
      </c>
      <c r="F3018" t="s"/>
      <c r="G3018" t="s"/>
      <c r="H3018" t="s"/>
      <c r="I3018" t="s"/>
      <c r="J3018" t="n">
        <v>0</v>
      </c>
      <c r="K3018" t="n">
        <v>0</v>
      </c>
      <c r="L3018" t="n">
        <v>1</v>
      </c>
      <c r="M3018" t="n">
        <v>0</v>
      </c>
    </row>
    <row r="3019" spans="1:13">
      <c r="A3019" s="1">
        <f>HYPERLINK("http://www.twitter.com/NathanBLawrence/status/982531865440636928", "982531865440636928")</f>
        <v/>
      </c>
      <c r="B3019" s="2" t="n">
        <v>43197.34288194445</v>
      </c>
      <c r="C3019" t="n">
        <v>0</v>
      </c>
      <c r="D3019" t="n">
        <v>8</v>
      </c>
      <c r="E3019" t="s">
        <v>2969</v>
      </c>
      <c r="F3019" t="s"/>
      <c r="G3019" t="s"/>
      <c r="H3019" t="s"/>
      <c r="I3019" t="s"/>
      <c r="J3019" t="n">
        <v>0</v>
      </c>
      <c r="K3019" t="n">
        <v>0</v>
      </c>
      <c r="L3019" t="n">
        <v>1</v>
      </c>
      <c r="M3019" t="n">
        <v>0</v>
      </c>
    </row>
    <row r="3020" spans="1:13">
      <c r="A3020" s="1">
        <f>HYPERLINK("http://www.twitter.com/NathanBLawrence/status/982500340695293952", "982500340695293952")</f>
        <v/>
      </c>
      <c r="B3020" s="2" t="n">
        <v>43197.25589120371</v>
      </c>
      <c r="C3020" t="n">
        <v>0</v>
      </c>
      <c r="D3020" t="n">
        <v>6</v>
      </c>
      <c r="E3020" t="s">
        <v>2970</v>
      </c>
      <c r="F3020" t="s"/>
      <c r="G3020" t="s"/>
      <c r="H3020" t="s"/>
      <c r="I3020" t="s"/>
      <c r="J3020" t="n">
        <v>-0.7506</v>
      </c>
      <c r="K3020" t="n">
        <v>0.283</v>
      </c>
      <c r="L3020" t="n">
        <v>0.656</v>
      </c>
      <c r="M3020" t="n">
        <v>0.061</v>
      </c>
    </row>
    <row r="3021" spans="1:13">
      <c r="A3021" s="1">
        <f>HYPERLINK("http://www.twitter.com/NathanBLawrence/status/982499797369225216", "982499797369225216")</f>
        <v/>
      </c>
      <c r="B3021" s="2" t="n">
        <v>43197.25439814815</v>
      </c>
      <c r="C3021" t="n">
        <v>0</v>
      </c>
      <c r="D3021" t="n">
        <v>4</v>
      </c>
      <c r="E3021" t="s">
        <v>2971</v>
      </c>
      <c r="F3021" t="s"/>
      <c r="G3021" t="s"/>
      <c r="H3021" t="s"/>
      <c r="I3021" t="s"/>
      <c r="J3021" t="n">
        <v>0</v>
      </c>
      <c r="K3021" t="n">
        <v>0</v>
      </c>
      <c r="L3021" t="n">
        <v>1</v>
      </c>
      <c r="M3021" t="n">
        <v>0</v>
      </c>
    </row>
    <row r="3022" spans="1:13">
      <c r="A3022" s="1">
        <f>HYPERLINK("http://www.twitter.com/NathanBLawrence/status/982499784366985216", "982499784366985216")</f>
        <v/>
      </c>
      <c r="B3022" s="2" t="n">
        <v>43197.25436342593</v>
      </c>
      <c r="C3022" t="n">
        <v>0</v>
      </c>
      <c r="D3022" t="n">
        <v>4</v>
      </c>
      <c r="E3022" t="s">
        <v>2972</v>
      </c>
      <c r="F3022" t="s"/>
      <c r="G3022" t="s"/>
      <c r="H3022" t="s"/>
      <c r="I3022" t="s"/>
      <c r="J3022" t="n">
        <v>0</v>
      </c>
      <c r="K3022" t="n">
        <v>0</v>
      </c>
      <c r="L3022" t="n">
        <v>1</v>
      </c>
      <c r="M3022" t="n">
        <v>0</v>
      </c>
    </row>
    <row r="3023" spans="1:13">
      <c r="A3023" s="1">
        <f>HYPERLINK("http://www.twitter.com/NathanBLawrence/status/982499767312887809", "982499767312887809")</f>
        <v/>
      </c>
      <c r="B3023" s="2" t="n">
        <v>43197.25431712963</v>
      </c>
      <c r="C3023" t="n">
        <v>0</v>
      </c>
      <c r="D3023" t="n">
        <v>5</v>
      </c>
      <c r="E3023" t="s">
        <v>2973</v>
      </c>
      <c r="F3023" t="s"/>
      <c r="G3023" t="s"/>
      <c r="H3023" t="s"/>
      <c r="I3023" t="s"/>
      <c r="J3023" t="n">
        <v>0</v>
      </c>
      <c r="K3023" t="n">
        <v>0</v>
      </c>
      <c r="L3023" t="n">
        <v>1</v>
      </c>
      <c r="M3023" t="n">
        <v>0</v>
      </c>
    </row>
    <row r="3024" spans="1:13">
      <c r="A3024" s="1">
        <f>HYPERLINK("http://www.twitter.com/NathanBLawrence/status/982499756894285824", "982499756894285824")</f>
        <v/>
      </c>
      <c r="B3024" s="2" t="n">
        <v>43197.2542824074</v>
      </c>
      <c r="C3024" t="n">
        <v>0</v>
      </c>
      <c r="D3024" t="n">
        <v>4</v>
      </c>
      <c r="E3024" t="s">
        <v>2974</v>
      </c>
      <c r="F3024" t="s"/>
      <c r="G3024" t="s"/>
      <c r="H3024" t="s"/>
      <c r="I3024" t="s"/>
      <c r="J3024" t="n">
        <v>0.296</v>
      </c>
      <c r="K3024" t="n">
        <v>0</v>
      </c>
      <c r="L3024" t="n">
        <v>0.833</v>
      </c>
      <c r="M3024" t="n">
        <v>0.167</v>
      </c>
    </row>
    <row r="3025" spans="1:13">
      <c r="A3025" s="1">
        <f>HYPERLINK("http://www.twitter.com/NathanBLawrence/status/982499745410240512", "982499745410240512")</f>
        <v/>
      </c>
      <c r="B3025" s="2" t="n">
        <v>43197.25424768519</v>
      </c>
      <c r="C3025" t="n">
        <v>0</v>
      </c>
      <c r="D3025" t="n">
        <v>5</v>
      </c>
      <c r="E3025" t="s">
        <v>2975</v>
      </c>
      <c r="F3025" t="s"/>
      <c r="G3025" t="s"/>
      <c r="H3025" t="s"/>
      <c r="I3025" t="s"/>
      <c r="J3025" t="n">
        <v>-0.7096</v>
      </c>
      <c r="K3025" t="n">
        <v>0.349</v>
      </c>
      <c r="L3025" t="n">
        <v>0.651</v>
      </c>
      <c r="M3025" t="n">
        <v>0</v>
      </c>
    </row>
    <row r="3026" spans="1:13">
      <c r="A3026" s="1">
        <f>HYPERLINK("http://www.twitter.com/NathanBLawrence/status/982499734337261568", "982499734337261568")</f>
        <v/>
      </c>
      <c r="B3026" s="2" t="n">
        <v>43197.25422453704</v>
      </c>
      <c r="C3026" t="n">
        <v>0</v>
      </c>
      <c r="D3026" t="n">
        <v>5</v>
      </c>
      <c r="E3026" t="s">
        <v>2976</v>
      </c>
      <c r="F3026" t="s"/>
      <c r="G3026" t="s"/>
      <c r="H3026" t="s"/>
      <c r="I3026" t="s"/>
      <c r="J3026" t="n">
        <v>0.296</v>
      </c>
      <c r="K3026" t="n">
        <v>0</v>
      </c>
      <c r="L3026" t="n">
        <v>0.855</v>
      </c>
      <c r="M3026" t="n">
        <v>0.145</v>
      </c>
    </row>
    <row r="3027" spans="1:13">
      <c r="A3027" s="1">
        <f>HYPERLINK("http://www.twitter.com/NathanBLawrence/status/982499721427214336", "982499721427214336")</f>
        <v/>
      </c>
      <c r="B3027" s="2" t="n">
        <v>43197.25418981481</v>
      </c>
      <c r="C3027" t="n">
        <v>0</v>
      </c>
      <c r="D3027" t="n">
        <v>5</v>
      </c>
      <c r="E3027" t="s">
        <v>2977</v>
      </c>
      <c r="F3027" t="s"/>
      <c r="G3027" t="s"/>
      <c r="H3027" t="s"/>
      <c r="I3027" t="s"/>
      <c r="J3027" t="n">
        <v>0</v>
      </c>
      <c r="K3027" t="n">
        <v>0</v>
      </c>
      <c r="L3027" t="n">
        <v>1</v>
      </c>
      <c r="M3027" t="n">
        <v>0</v>
      </c>
    </row>
    <row r="3028" spans="1:13">
      <c r="A3028" s="1">
        <f>HYPERLINK("http://www.twitter.com/NathanBLawrence/status/982499700648697856", "982499700648697856")</f>
        <v/>
      </c>
      <c r="B3028" s="2" t="n">
        <v>43197.25413194444</v>
      </c>
      <c r="C3028" t="n">
        <v>0</v>
      </c>
      <c r="D3028" t="n">
        <v>7</v>
      </c>
      <c r="E3028" t="s">
        <v>2978</v>
      </c>
      <c r="F3028" t="s"/>
      <c r="G3028" t="s"/>
      <c r="H3028" t="s"/>
      <c r="I3028" t="s"/>
      <c r="J3028" t="n">
        <v>0</v>
      </c>
      <c r="K3028" t="n">
        <v>0</v>
      </c>
      <c r="L3028" t="n">
        <v>1</v>
      </c>
      <c r="M3028" t="n">
        <v>0</v>
      </c>
    </row>
    <row r="3029" spans="1:13">
      <c r="A3029" s="1">
        <f>HYPERLINK("http://www.twitter.com/NathanBLawrence/status/982477140263399425", "982477140263399425")</f>
        <v/>
      </c>
      <c r="B3029" s="2" t="n">
        <v>43197.191875</v>
      </c>
      <c r="C3029" t="n">
        <v>0</v>
      </c>
      <c r="D3029" t="n">
        <v>4</v>
      </c>
      <c r="E3029" t="s">
        <v>2979</v>
      </c>
      <c r="F3029" t="s"/>
      <c r="G3029" t="s"/>
      <c r="H3029" t="s"/>
      <c r="I3029" t="s"/>
      <c r="J3029" t="n">
        <v>-0.34</v>
      </c>
      <c r="K3029" t="n">
        <v>0.112</v>
      </c>
      <c r="L3029" t="n">
        <v>0.888</v>
      </c>
      <c r="M3029" t="n">
        <v>0</v>
      </c>
    </row>
    <row r="3030" spans="1:13">
      <c r="A3030" s="1">
        <f>HYPERLINK("http://www.twitter.com/NathanBLawrence/status/982477030913728513", "982477030913728513")</f>
        <v/>
      </c>
      <c r="B3030" s="2" t="n">
        <v>43197.19157407407</v>
      </c>
      <c r="C3030" t="n">
        <v>0</v>
      </c>
      <c r="D3030" t="n">
        <v>4</v>
      </c>
      <c r="E3030" t="s">
        <v>2980</v>
      </c>
      <c r="F3030" t="s"/>
      <c r="G3030" t="s"/>
      <c r="H3030" t="s"/>
      <c r="I3030" t="s"/>
      <c r="J3030" t="n">
        <v>0</v>
      </c>
      <c r="K3030" t="n">
        <v>0</v>
      </c>
      <c r="L3030" t="n">
        <v>1</v>
      </c>
      <c r="M3030" t="n">
        <v>0</v>
      </c>
    </row>
    <row r="3031" spans="1:13">
      <c r="A3031" s="1">
        <f>HYPERLINK("http://www.twitter.com/NathanBLawrence/status/982477006481821696", "982477006481821696")</f>
        <v/>
      </c>
      <c r="B3031" s="2" t="n">
        <v>43197.19150462963</v>
      </c>
      <c r="C3031" t="n">
        <v>0</v>
      </c>
      <c r="D3031" t="n">
        <v>5</v>
      </c>
      <c r="E3031" t="s">
        <v>2981</v>
      </c>
      <c r="F3031" t="s"/>
      <c r="G3031" t="s"/>
      <c r="H3031" t="s"/>
      <c r="I3031" t="s"/>
      <c r="J3031" t="n">
        <v>0.4019</v>
      </c>
      <c r="K3031" t="n">
        <v>0</v>
      </c>
      <c r="L3031" t="n">
        <v>0.876</v>
      </c>
      <c r="M3031" t="n">
        <v>0.124</v>
      </c>
    </row>
    <row r="3032" spans="1:13">
      <c r="A3032" s="1">
        <f>HYPERLINK("http://www.twitter.com/NathanBLawrence/status/982476751191334912", "982476751191334912")</f>
        <v/>
      </c>
      <c r="B3032" s="2" t="n">
        <v>43197.19079861111</v>
      </c>
      <c r="C3032" t="n">
        <v>0</v>
      </c>
      <c r="D3032" t="n">
        <v>5</v>
      </c>
      <c r="E3032" t="s">
        <v>2982</v>
      </c>
      <c r="F3032" t="s"/>
      <c r="G3032" t="s"/>
      <c r="H3032" t="s"/>
      <c r="I3032" t="s"/>
      <c r="J3032" t="n">
        <v>0</v>
      </c>
      <c r="K3032" t="n">
        <v>0</v>
      </c>
      <c r="L3032" t="n">
        <v>1</v>
      </c>
      <c r="M3032" t="n">
        <v>0</v>
      </c>
    </row>
    <row r="3033" spans="1:13">
      <c r="A3033" s="1">
        <f>HYPERLINK("http://www.twitter.com/NathanBLawrence/status/982476647562645504", "982476647562645504")</f>
        <v/>
      </c>
      <c r="B3033" s="2" t="n">
        <v>43197.19050925926</v>
      </c>
      <c r="C3033" t="n">
        <v>0</v>
      </c>
      <c r="D3033" t="n">
        <v>6</v>
      </c>
      <c r="E3033" t="s">
        <v>2983</v>
      </c>
      <c r="F3033" t="s"/>
      <c r="G3033" t="s"/>
      <c r="H3033" t="s"/>
      <c r="I3033" t="s"/>
      <c r="J3033" t="n">
        <v>0</v>
      </c>
      <c r="K3033" t="n">
        <v>0</v>
      </c>
      <c r="L3033" t="n">
        <v>1</v>
      </c>
      <c r="M3033" t="n">
        <v>0</v>
      </c>
    </row>
    <row r="3034" spans="1:13">
      <c r="A3034" s="1">
        <f>HYPERLINK("http://www.twitter.com/NathanBLawrence/status/982476610979983360", "982476610979983360")</f>
        <v/>
      </c>
      <c r="B3034" s="2" t="n">
        <v>43197.19041666666</v>
      </c>
      <c r="C3034" t="n">
        <v>0</v>
      </c>
      <c r="D3034" t="n">
        <v>5</v>
      </c>
      <c r="E3034" t="s">
        <v>2984</v>
      </c>
      <c r="F3034" t="s"/>
      <c r="G3034" t="s"/>
      <c r="H3034" t="s"/>
      <c r="I3034" t="s"/>
      <c r="J3034" t="n">
        <v>0</v>
      </c>
      <c r="K3034" t="n">
        <v>0</v>
      </c>
      <c r="L3034" t="n">
        <v>1</v>
      </c>
      <c r="M3034" t="n">
        <v>0</v>
      </c>
    </row>
    <row r="3035" spans="1:13">
      <c r="A3035" s="1">
        <f>HYPERLINK("http://www.twitter.com/NathanBLawrence/status/982476463395016704", "982476463395016704")</f>
        <v/>
      </c>
      <c r="B3035" s="2" t="n">
        <v>43197.19001157407</v>
      </c>
      <c r="C3035" t="n">
        <v>0</v>
      </c>
      <c r="D3035" t="n">
        <v>11</v>
      </c>
      <c r="E3035" t="s">
        <v>2985</v>
      </c>
      <c r="F3035" t="s"/>
      <c r="G3035" t="s"/>
      <c r="H3035" t="s"/>
      <c r="I3035" t="s"/>
      <c r="J3035" t="n">
        <v>0.7088</v>
      </c>
      <c r="K3035" t="n">
        <v>0</v>
      </c>
      <c r="L3035" t="n">
        <v>0.781</v>
      </c>
      <c r="M3035" t="n">
        <v>0.219</v>
      </c>
    </row>
    <row r="3036" spans="1:13">
      <c r="A3036" s="1">
        <f>HYPERLINK("http://www.twitter.com/NathanBLawrence/status/982476434705932288", "982476434705932288")</f>
        <v/>
      </c>
      <c r="B3036" s="2" t="n">
        <v>43197.18993055556</v>
      </c>
      <c r="C3036" t="n">
        <v>0</v>
      </c>
      <c r="D3036" t="n">
        <v>9</v>
      </c>
      <c r="E3036" t="s">
        <v>2986</v>
      </c>
      <c r="F3036" t="s"/>
      <c r="G3036" t="s"/>
      <c r="H3036" t="s"/>
      <c r="I3036" t="s"/>
      <c r="J3036" t="n">
        <v>0.6808</v>
      </c>
      <c r="K3036" t="n">
        <v>0</v>
      </c>
      <c r="L3036" t="n">
        <v>0.763</v>
      </c>
      <c r="M3036" t="n">
        <v>0.237</v>
      </c>
    </row>
    <row r="3037" spans="1:13">
      <c r="A3037" s="1">
        <f>HYPERLINK("http://www.twitter.com/NathanBLawrence/status/982476393782095872", "982476393782095872")</f>
        <v/>
      </c>
      <c r="B3037" s="2" t="n">
        <v>43197.18981481482</v>
      </c>
      <c r="C3037" t="n">
        <v>0</v>
      </c>
      <c r="D3037" t="n">
        <v>4</v>
      </c>
      <c r="E3037" t="s">
        <v>2987</v>
      </c>
      <c r="F3037" t="s"/>
      <c r="G3037" t="s"/>
      <c r="H3037" t="s"/>
      <c r="I3037" t="s"/>
      <c r="J3037" t="n">
        <v>0</v>
      </c>
      <c r="K3037" t="n">
        <v>0</v>
      </c>
      <c r="L3037" t="n">
        <v>1</v>
      </c>
      <c r="M3037" t="n">
        <v>0</v>
      </c>
    </row>
    <row r="3038" spans="1:13">
      <c r="A3038" s="1">
        <f>HYPERLINK("http://www.twitter.com/NathanBLawrence/status/982476344872329217", "982476344872329217")</f>
        <v/>
      </c>
      <c r="B3038" s="2" t="n">
        <v>43197.18967592593</v>
      </c>
      <c r="C3038" t="n">
        <v>0</v>
      </c>
      <c r="D3038" t="n">
        <v>6</v>
      </c>
      <c r="E3038" t="s">
        <v>2988</v>
      </c>
      <c r="F3038" t="s"/>
      <c r="G3038" t="s"/>
      <c r="H3038" t="s"/>
      <c r="I3038" t="s"/>
      <c r="J3038" t="n">
        <v>-0.3818</v>
      </c>
      <c r="K3038" t="n">
        <v>0.126</v>
      </c>
      <c r="L3038" t="n">
        <v>0.874</v>
      </c>
      <c r="M3038" t="n">
        <v>0</v>
      </c>
    </row>
    <row r="3039" spans="1:13">
      <c r="A3039" s="1">
        <f>HYPERLINK("http://www.twitter.com/NathanBLawrence/status/982476324391604224", "982476324391604224")</f>
        <v/>
      </c>
      <c r="B3039" s="2" t="n">
        <v>43197.18961805556</v>
      </c>
      <c r="C3039" t="n">
        <v>0</v>
      </c>
      <c r="D3039" t="n">
        <v>3</v>
      </c>
      <c r="E3039" t="s">
        <v>2989</v>
      </c>
      <c r="F3039" t="s"/>
      <c r="G3039" t="s"/>
      <c r="H3039" t="s"/>
      <c r="I3039" t="s"/>
      <c r="J3039" t="n">
        <v>0</v>
      </c>
      <c r="K3039" t="n">
        <v>0</v>
      </c>
      <c r="L3039" t="n">
        <v>1</v>
      </c>
      <c r="M3039" t="n">
        <v>0</v>
      </c>
    </row>
    <row r="3040" spans="1:13">
      <c r="A3040" s="1">
        <f>HYPERLINK("http://www.twitter.com/NathanBLawrence/status/982476285556543488", "982476285556543488")</f>
        <v/>
      </c>
      <c r="B3040" s="2" t="n">
        <v>43197.18951388889</v>
      </c>
      <c r="C3040" t="n">
        <v>0</v>
      </c>
      <c r="D3040" t="n">
        <v>6</v>
      </c>
      <c r="E3040" t="s">
        <v>2990</v>
      </c>
      <c r="F3040" t="s"/>
      <c r="G3040" t="s"/>
      <c r="H3040" t="s"/>
      <c r="I3040" t="s"/>
      <c r="J3040" t="n">
        <v>0.3612</v>
      </c>
      <c r="K3040" t="n">
        <v>0</v>
      </c>
      <c r="L3040" t="n">
        <v>0.889</v>
      </c>
      <c r="M3040" t="n">
        <v>0.111</v>
      </c>
    </row>
    <row r="3041" spans="1:13">
      <c r="A3041" s="1">
        <f>HYPERLINK("http://www.twitter.com/NathanBLawrence/status/982476248424308736", "982476248424308736")</f>
        <v/>
      </c>
      <c r="B3041" s="2" t="n">
        <v>43197.18940972222</v>
      </c>
      <c r="C3041" t="n">
        <v>0</v>
      </c>
      <c r="D3041" t="n">
        <v>6</v>
      </c>
      <c r="E3041" t="s">
        <v>2991</v>
      </c>
      <c r="F3041" t="s"/>
      <c r="G3041" t="s"/>
      <c r="H3041" t="s"/>
      <c r="I3041" t="s"/>
      <c r="J3041" t="n">
        <v>-0.2732</v>
      </c>
      <c r="K3041" t="n">
        <v>0.08699999999999999</v>
      </c>
      <c r="L3041" t="n">
        <v>0.913</v>
      </c>
      <c r="M3041" t="n">
        <v>0</v>
      </c>
    </row>
    <row r="3042" spans="1:13">
      <c r="A3042" s="1">
        <f>HYPERLINK("http://www.twitter.com/NathanBLawrence/status/982476237334630400", "982476237334630400")</f>
        <v/>
      </c>
      <c r="B3042" s="2" t="n">
        <v>43197.18938657407</v>
      </c>
      <c r="C3042" t="n">
        <v>0</v>
      </c>
      <c r="D3042" t="n">
        <v>10</v>
      </c>
      <c r="E3042" t="s">
        <v>2992</v>
      </c>
      <c r="F3042" t="s"/>
      <c r="G3042" t="s"/>
      <c r="H3042" t="s"/>
      <c r="I3042" t="s"/>
      <c r="J3042" t="n">
        <v>-0.4215</v>
      </c>
      <c r="K3042" t="n">
        <v>0.128</v>
      </c>
      <c r="L3042" t="n">
        <v>0.872</v>
      </c>
      <c r="M3042" t="n">
        <v>0</v>
      </c>
    </row>
    <row r="3043" spans="1:13">
      <c r="A3043" s="1">
        <f>HYPERLINK("http://www.twitter.com/NathanBLawrence/status/982476225691242497", "982476225691242497")</f>
        <v/>
      </c>
      <c r="B3043" s="2" t="n">
        <v>43197.18935185186</v>
      </c>
      <c r="C3043" t="n">
        <v>0</v>
      </c>
      <c r="D3043" t="n">
        <v>6</v>
      </c>
      <c r="E3043" t="s">
        <v>2993</v>
      </c>
      <c r="F3043" t="s"/>
      <c r="G3043" t="s"/>
      <c r="H3043" t="s"/>
      <c r="I3043" t="s"/>
      <c r="J3043" t="n">
        <v>-0.5461</v>
      </c>
      <c r="K3043" t="n">
        <v>0.201</v>
      </c>
      <c r="L3043" t="n">
        <v>0.799</v>
      </c>
      <c r="M3043" t="n">
        <v>0</v>
      </c>
    </row>
    <row r="3044" spans="1:13">
      <c r="A3044" s="1">
        <f>HYPERLINK("http://www.twitter.com/NathanBLawrence/status/982476212512706560", "982476212512706560")</f>
        <v/>
      </c>
      <c r="B3044" s="2" t="n">
        <v>43197.18931712963</v>
      </c>
      <c r="C3044" t="n">
        <v>0</v>
      </c>
      <c r="D3044" t="n">
        <v>10</v>
      </c>
      <c r="E3044" t="s">
        <v>2994</v>
      </c>
      <c r="F3044" t="s"/>
      <c r="G3044" t="s"/>
      <c r="H3044" t="s"/>
      <c r="I3044" t="s"/>
      <c r="J3044" t="n">
        <v>-0.765</v>
      </c>
      <c r="K3044" t="n">
        <v>0.384</v>
      </c>
      <c r="L3044" t="n">
        <v>0.414</v>
      </c>
      <c r="M3044" t="n">
        <v>0.202</v>
      </c>
    </row>
    <row r="3045" spans="1:13">
      <c r="A3045" s="1">
        <f>HYPERLINK("http://www.twitter.com/NathanBLawrence/status/982476176190070784", "982476176190070784")</f>
        <v/>
      </c>
      <c r="B3045" s="2" t="n">
        <v>43197.18921296296</v>
      </c>
      <c r="C3045" t="n">
        <v>0</v>
      </c>
      <c r="D3045" t="n">
        <v>6</v>
      </c>
      <c r="E3045" t="s">
        <v>2995</v>
      </c>
      <c r="F3045" t="s"/>
      <c r="G3045" t="s"/>
      <c r="H3045" t="s"/>
      <c r="I3045" t="s"/>
      <c r="J3045" t="n">
        <v>0.3182</v>
      </c>
      <c r="K3045" t="n">
        <v>0</v>
      </c>
      <c r="L3045" t="n">
        <v>0.901</v>
      </c>
      <c r="M3045" t="n">
        <v>0.099</v>
      </c>
    </row>
    <row r="3046" spans="1:13">
      <c r="A3046" s="1">
        <f>HYPERLINK("http://www.twitter.com/NathanBLawrence/status/982476125690585089", "982476125690585089")</f>
        <v/>
      </c>
      <c r="B3046" s="2" t="n">
        <v>43197.18907407407</v>
      </c>
      <c r="C3046" t="n">
        <v>0</v>
      </c>
      <c r="D3046" t="n">
        <v>7</v>
      </c>
      <c r="E3046" t="s">
        <v>2996</v>
      </c>
      <c r="F3046" t="s"/>
      <c r="G3046" t="s"/>
      <c r="H3046" t="s"/>
      <c r="I3046" t="s"/>
      <c r="J3046" t="n">
        <v>0.6734</v>
      </c>
      <c r="K3046" t="n">
        <v>0</v>
      </c>
      <c r="L3046" t="n">
        <v>0.792</v>
      </c>
      <c r="M3046" t="n">
        <v>0.208</v>
      </c>
    </row>
    <row r="3047" spans="1:13">
      <c r="A3047" s="1">
        <f>HYPERLINK("http://www.twitter.com/NathanBLawrence/status/982476073496694785", "982476073496694785")</f>
        <v/>
      </c>
      <c r="B3047" s="2" t="n">
        <v>43197.18893518519</v>
      </c>
      <c r="C3047" t="n">
        <v>0</v>
      </c>
      <c r="D3047" t="n">
        <v>7</v>
      </c>
      <c r="E3047" t="s">
        <v>2997</v>
      </c>
      <c r="F3047" t="s"/>
      <c r="G3047" t="s"/>
      <c r="H3047" t="s"/>
      <c r="I3047" t="s"/>
      <c r="J3047" t="n">
        <v>-0.128</v>
      </c>
      <c r="K3047" t="n">
        <v>0.07000000000000001</v>
      </c>
      <c r="L3047" t="n">
        <v>0.93</v>
      </c>
      <c r="M3047" t="n">
        <v>0</v>
      </c>
    </row>
    <row r="3048" spans="1:13">
      <c r="A3048" s="1">
        <f>HYPERLINK("http://www.twitter.com/NathanBLawrence/status/982476056039968768", "982476056039968768")</f>
        <v/>
      </c>
      <c r="B3048" s="2" t="n">
        <v>43197.18887731482</v>
      </c>
      <c r="C3048" t="n">
        <v>0</v>
      </c>
      <c r="D3048" t="n">
        <v>4</v>
      </c>
      <c r="E3048" t="s">
        <v>2989</v>
      </c>
      <c r="F3048" t="s"/>
      <c r="G3048" t="s"/>
      <c r="H3048" t="s"/>
      <c r="I3048" t="s"/>
      <c r="J3048" t="n">
        <v>0</v>
      </c>
      <c r="K3048" t="n">
        <v>0</v>
      </c>
      <c r="L3048" t="n">
        <v>1</v>
      </c>
      <c r="M3048" t="n">
        <v>0</v>
      </c>
    </row>
    <row r="3049" spans="1:13">
      <c r="A3049" s="1">
        <f>HYPERLINK("http://www.twitter.com/NathanBLawrence/status/982476046082723840", "982476046082723840")</f>
        <v/>
      </c>
      <c r="B3049" s="2" t="n">
        <v>43197.18885416666</v>
      </c>
      <c r="C3049" t="n">
        <v>0</v>
      </c>
      <c r="D3049" t="n">
        <v>6</v>
      </c>
      <c r="E3049" t="s">
        <v>2998</v>
      </c>
      <c r="F3049" t="s"/>
      <c r="G3049" t="s"/>
      <c r="H3049" t="s"/>
      <c r="I3049" t="s"/>
      <c r="J3049" t="n">
        <v>0</v>
      </c>
      <c r="K3049" t="n">
        <v>0</v>
      </c>
      <c r="L3049" t="n">
        <v>1</v>
      </c>
      <c r="M3049" t="n">
        <v>0</v>
      </c>
    </row>
    <row r="3050" spans="1:13">
      <c r="A3050" s="1">
        <f>HYPERLINK("http://www.twitter.com/NathanBLawrence/status/982475991409979392", "982475991409979392")</f>
        <v/>
      </c>
      <c r="B3050" s="2" t="n">
        <v>43197.1887037037</v>
      </c>
      <c r="C3050" t="n">
        <v>0</v>
      </c>
      <c r="D3050" t="n">
        <v>5</v>
      </c>
      <c r="E3050" t="s">
        <v>2999</v>
      </c>
      <c r="F3050" t="s"/>
      <c r="G3050" t="s"/>
      <c r="H3050" t="s"/>
      <c r="I3050" t="s"/>
      <c r="J3050" t="n">
        <v>-0.7351</v>
      </c>
      <c r="K3050" t="n">
        <v>0.306</v>
      </c>
      <c r="L3050" t="n">
        <v>0.595</v>
      </c>
      <c r="M3050" t="n">
        <v>0.099</v>
      </c>
    </row>
    <row r="3051" spans="1:13">
      <c r="A3051" s="1">
        <f>HYPERLINK("http://www.twitter.com/NathanBLawrence/status/982475973634424832", "982475973634424832")</f>
        <v/>
      </c>
      <c r="B3051" s="2" t="n">
        <v>43197.18865740741</v>
      </c>
      <c r="C3051" t="n">
        <v>0</v>
      </c>
      <c r="D3051" t="n">
        <v>6</v>
      </c>
      <c r="E3051" t="s">
        <v>3000</v>
      </c>
      <c r="F3051" t="s"/>
      <c r="G3051" t="s"/>
      <c r="H3051" t="s"/>
      <c r="I3051" t="s"/>
      <c r="J3051" t="n">
        <v>0.6588000000000001</v>
      </c>
      <c r="K3051" t="n">
        <v>0</v>
      </c>
      <c r="L3051" t="n">
        <v>0.82</v>
      </c>
      <c r="M3051" t="n">
        <v>0.18</v>
      </c>
    </row>
    <row r="3052" spans="1:13">
      <c r="A3052" s="1">
        <f>HYPERLINK("http://www.twitter.com/NathanBLawrence/status/982475934795214848", "982475934795214848")</f>
        <v/>
      </c>
      <c r="B3052" s="2" t="n">
        <v>43197.18855324074</v>
      </c>
      <c r="C3052" t="n">
        <v>0</v>
      </c>
      <c r="D3052" t="n">
        <v>7</v>
      </c>
      <c r="E3052" t="s">
        <v>3001</v>
      </c>
      <c r="F3052">
        <f>HYPERLINK("http://pbs.twimg.com/media/DaJEniCX0AA4eBP.jpg", "http://pbs.twimg.com/media/DaJEniCX0AA4eBP.jpg")</f>
        <v/>
      </c>
      <c r="G3052" t="s"/>
      <c r="H3052" t="s"/>
      <c r="I3052" t="s"/>
      <c r="J3052" t="n">
        <v>0</v>
      </c>
      <c r="K3052" t="n">
        <v>0</v>
      </c>
      <c r="L3052" t="n">
        <v>1</v>
      </c>
      <c r="M3052" t="n">
        <v>0</v>
      </c>
    </row>
    <row r="3053" spans="1:13">
      <c r="A3053" s="1">
        <f>HYPERLINK("http://www.twitter.com/NathanBLawrence/status/982475903262437377", "982475903262437377")</f>
        <v/>
      </c>
      <c r="B3053" s="2" t="n">
        <v>43197.18846064815</v>
      </c>
      <c r="C3053" t="n">
        <v>0</v>
      </c>
      <c r="D3053" t="n">
        <v>7</v>
      </c>
      <c r="E3053" t="s">
        <v>3002</v>
      </c>
      <c r="F3053" t="s"/>
      <c r="G3053" t="s"/>
      <c r="H3053" t="s"/>
      <c r="I3053" t="s"/>
      <c r="J3053" t="n">
        <v>0</v>
      </c>
      <c r="K3053" t="n">
        <v>0</v>
      </c>
      <c r="L3053" t="n">
        <v>1</v>
      </c>
      <c r="M3053" t="n">
        <v>0</v>
      </c>
    </row>
    <row r="3054" spans="1:13">
      <c r="A3054" s="1">
        <f>HYPERLINK("http://www.twitter.com/NathanBLawrence/status/982475882794233857", "982475882794233857")</f>
        <v/>
      </c>
      <c r="B3054" s="2" t="n">
        <v>43197.18840277778</v>
      </c>
      <c r="C3054" t="n">
        <v>0</v>
      </c>
      <c r="D3054" t="n">
        <v>93</v>
      </c>
      <c r="E3054" t="s">
        <v>3003</v>
      </c>
      <c r="F3054" t="s"/>
      <c r="G3054" t="s"/>
      <c r="H3054" t="s"/>
      <c r="I3054" t="s"/>
      <c r="J3054" t="n">
        <v>-0.08069999999999999</v>
      </c>
      <c r="K3054" t="n">
        <v>0.123</v>
      </c>
      <c r="L3054" t="n">
        <v>0.767</v>
      </c>
      <c r="M3054" t="n">
        <v>0.11</v>
      </c>
    </row>
    <row r="3055" spans="1:13">
      <c r="A3055" s="1">
        <f>HYPERLINK("http://www.twitter.com/NathanBLawrence/status/982475847385931776", "982475847385931776")</f>
        <v/>
      </c>
      <c r="B3055" s="2" t="n">
        <v>43197.18831018519</v>
      </c>
      <c r="C3055" t="n">
        <v>0</v>
      </c>
      <c r="D3055" t="n">
        <v>5</v>
      </c>
      <c r="E3055" t="s">
        <v>3004</v>
      </c>
      <c r="F3055" t="s"/>
      <c r="G3055" t="s"/>
      <c r="H3055" t="s"/>
      <c r="I3055" t="s"/>
      <c r="J3055" t="n">
        <v>0</v>
      </c>
      <c r="K3055" t="n">
        <v>0</v>
      </c>
      <c r="L3055" t="n">
        <v>1</v>
      </c>
      <c r="M3055" t="n">
        <v>0</v>
      </c>
    </row>
    <row r="3056" spans="1:13">
      <c r="A3056" s="1">
        <f>HYPERLINK("http://www.twitter.com/NathanBLawrence/status/982475826594828288", "982475826594828288")</f>
        <v/>
      </c>
      <c r="B3056" s="2" t="n">
        <v>43197.18825231482</v>
      </c>
      <c r="C3056" t="n">
        <v>0</v>
      </c>
      <c r="D3056" t="n">
        <v>7</v>
      </c>
      <c r="E3056" t="s">
        <v>3005</v>
      </c>
      <c r="F3056" t="s"/>
      <c r="G3056" t="s"/>
      <c r="H3056" t="s"/>
      <c r="I3056" t="s"/>
      <c r="J3056" t="n">
        <v>-0.891</v>
      </c>
      <c r="K3056" t="n">
        <v>0.43</v>
      </c>
      <c r="L3056" t="n">
        <v>0.475</v>
      </c>
      <c r="M3056" t="n">
        <v>0.095</v>
      </c>
    </row>
    <row r="3057" spans="1:13">
      <c r="A3057" s="1">
        <f>HYPERLINK("http://www.twitter.com/NathanBLawrence/status/982475801600888832", "982475801600888832")</f>
        <v/>
      </c>
      <c r="B3057" s="2" t="n">
        <v>43197.18818287037</v>
      </c>
      <c r="C3057" t="n">
        <v>0</v>
      </c>
      <c r="D3057" t="n">
        <v>6</v>
      </c>
      <c r="E3057" t="s">
        <v>3006</v>
      </c>
      <c r="F3057" t="s"/>
      <c r="G3057" t="s"/>
      <c r="H3057" t="s"/>
      <c r="I3057" t="s"/>
      <c r="J3057" t="n">
        <v>0.4215</v>
      </c>
      <c r="K3057" t="n">
        <v>0.059</v>
      </c>
      <c r="L3057" t="n">
        <v>0.805</v>
      </c>
      <c r="M3057" t="n">
        <v>0.136</v>
      </c>
    </row>
    <row r="3058" spans="1:13">
      <c r="A3058" s="1">
        <f>HYPERLINK("http://www.twitter.com/NathanBLawrence/status/982475785322795009", "982475785322795009")</f>
        <v/>
      </c>
      <c r="B3058" s="2" t="n">
        <v>43197.18813657408</v>
      </c>
      <c r="C3058" t="n">
        <v>0</v>
      </c>
      <c r="D3058" t="n">
        <v>7</v>
      </c>
      <c r="E3058" t="s">
        <v>3007</v>
      </c>
      <c r="F3058">
        <f>HYPERLINK("http://pbs.twimg.com/media/DaI2OFCW0AAx_hQ.jpg", "http://pbs.twimg.com/media/DaI2OFCW0AAx_hQ.jpg")</f>
        <v/>
      </c>
      <c r="G3058" t="s"/>
      <c r="H3058" t="s"/>
      <c r="I3058" t="s"/>
      <c r="J3058" t="n">
        <v>0.3903</v>
      </c>
      <c r="K3058" t="n">
        <v>0</v>
      </c>
      <c r="L3058" t="n">
        <v>0.858</v>
      </c>
      <c r="M3058" t="n">
        <v>0.142</v>
      </c>
    </row>
    <row r="3059" spans="1:13">
      <c r="A3059" s="1">
        <f>HYPERLINK("http://www.twitter.com/NathanBLawrence/status/982475768809820160", "982475768809820160")</f>
        <v/>
      </c>
      <c r="B3059" s="2" t="n">
        <v>43197.18809027778</v>
      </c>
      <c r="C3059" t="n">
        <v>0</v>
      </c>
      <c r="D3059" t="n">
        <v>5</v>
      </c>
      <c r="E3059" t="s">
        <v>3008</v>
      </c>
      <c r="F3059" t="s"/>
      <c r="G3059" t="s"/>
      <c r="H3059" t="s"/>
      <c r="I3059" t="s"/>
      <c r="J3059" t="n">
        <v>-0.08069999999999999</v>
      </c>
      <c r="K3059" t="n">
        <v>0.129</v>
      </c>
      <c r="L3059" t="n">
        <v>0.757</v>
      </c>
      <c r="M3059" t="n">
        <v>0.115</v>
      </c>
    </row>
    <row r="3060" spans="1:13">
      <c r="A3060" s="1">
        <f>HYPERLINK("http://www.twitter.com/NathanBLawrence/status/982475758751928320", "982475758751928320")</f>
        <v/>
      </c>
      <c r="B3060" s="2" t="n">
        <v>43197.18806712963</v>
      </c>
      <c r="C3060" t="n">
        <v>0</v>
      </c>
      <c r="D3060" t="n">
        <v>7</v>
      </c>
      <c r="E3060" t="s">
        <v>3009</v>
      </c>
      <c r="F3060" t="s"/>
      <c r="G3060" t="s"/>
      <c r="H3060" t="s"/>
      <c r="I3060" t="s"/>
      <c r="J3060" t="n">
        <v>-0.4588</v>
      </c>
      <c r="K3060" t="n">
        <v>0.182</v>
      </c>
      <c r="L3060" t="n">
        <v>0.8179999999999999</v>
      </c>
      <c r="M3060" t="n">
        <v>0</v>
      </c>
    </row>
    <row r="3061" spans="1:13">
      <c r="A3061" s="1">
        <f>HYPERLINK("http://www.twitter.com/NathanBLawrence/status/982475744793292801", "982475744793292801")</f>
        <v/>
      </c>
      <c r="B3061" s="2" t="n">
        <v>43197.18802083333</v>
      </c>
      <c r="C3061" t="n">
        <v>0</v>
      </c>
      <c r="D3061" t="n">
        <v>9</v>
      </c>
      <c r="E3061" t="s">
        <v>3010</v>
      </c>
      <c r="F3061">
        <f>HYPERLINK("http://pbs.twimg.com/media/DaIyZ5aWAAASe11.jpg", "http://pbs.twimg.com/media/DaIyZ5aWAAASe11.jpg")</f>
        <v/>
      </c>
      <c r="G3061" t="s"/>
      <c r="H3061" t="s"/>
      <c r="I3061" t="s"/>
      <c r="J3061" t="n">
        <v>0</v>
      </c>
      <c r="K3061" t="n">
        <v>0</v>
      </c>
      <c r="L3061" t="n">
        <v>1</v>
      </c>
      <c r="M3061" t="n">
        <v>0</v>
      </c>
    </row>
    <row r="3062" spans="1:13">
      <c r="A3062" s="1">
        <f>HYPERLINK("http://www.twitter.com/NathanBLawrence/status/982428820409147392", "982428820409147392")</f>
        <v/>
      </c>
      <c r="B3062" s="2" t="n">
        <v>43197.05854166667</v>
      </c>
      <c r="C3062" t="n">
        <v>0</v>
      </c>
      <c r="D3062" t="n">
        <v>8</v>
      </c>
      <c r="E3062" t="s">
        <v>2989</v>
      </c>
      <c r="F3062">
        <f>HYPERLINK("http://pbs.twimg.com/media/DaI7zArW4AEVrUV.jpg", "http://pbs.twimg.com/media/DaI7zArW4AEVrUV.jpg")</f>
        <v/>
      </c>
      <c r="G3062" t="s"/>
      <c r="H3062" t="s"/>
      <c r="I3062" t="s"/>
      <c r="J3062" t="n">
        <v>0</v>
      </c>
      <c r="K3062" t="n">
        <v>0</v>
      </c>
      <c r="L3062" t="n">
        <v>1</v>
      </c>
      <c r="M3062" t="n">
        <v>0</v>
      </c>
    </row>
    <row r="3063" spans="1:13">
      <c r="A3063" s="1">
        <f>HYPERLINK("http://www.twitter.com/NathanBLawrence/status/982370614269882368", "982370614269882368")</f>
        <v/>
      </c>
      <c r="B3063" s="2" t="n">
        <v>43196.89791666667</v>
      </c>
      <c r="C3063" t="n">
        <v>0</v>
      </c>
      <c r="D3063" t="n">
        <v>3</v>
      </c>
      <c r="E3063" t="s">
        <v>3011</v>
      </c>
      <c r="F3063">
        <f>HYPERLINK("http://pbs.twimg.com/media/DaIRWGYVMAAwSPq.jpg", "http://pbs.twimg.com/media/DaIRWGYVMAAwSPq.jpg")</f>
        <v/>
      </c>
      <c r="G3063" t="s"/>
      <c r="H3063" t="s"/>
      <c r="I3063" t="s"/>
      <c r="J3063" t="n">
        <v>0.128</v>
      </c>
      <c r="K3063" t="n">
        <v>0</v>
      </c>
      <c r="L3063" t="n">
        <v>0.889</v>
      </c>
      <c r="M3063" t="n">
        <v>0.111</v>
      </c>
    </row>
    <row r="3064" spans="1:13">
      <c r="A3064" s="1">
        <f>HYPERLINK("http://www.twitter.com/NathanBLawrence/status/982343694035701760", "982343694035701760")</f>
        <v/>
      </c>
      <c r="B3064" s="2" t="n">
        <v>43196.82363425926</v>
      </c>
      <c r="C3064" t="n">
        <v>0</v>
      </c>
      <c r="D3064" t="n">
        <v>1</v>
      </c>
      <c r="E3064" t="s">
        <v>3012</v>
      </c>
      <c r="F3064" t="s"/>
      <c r="G3064" t="s"/>
      <c r="H3064" t="s"/>
      <c r="I3064" t="s"/>
      <c r="J3064" t="n">
        <v>-0.5994</v>
      </c>
      <c r="K3064" t="n">
        <v>0.412</v>
      </c>
      <c r="L3064" t="n">
        <v>0.588</v>
      </c>
      <c r="M3064" t="n">
        <v>0</v>
      </c>
    </row>
    <row r="3065" spans="1:13">
      <c r="A3065" s="1">
        <f>HYPERLINK("http://www.twitter.com/NathanBLawrence/status/982343683642015745", "982343683642015745")</f>
        <v/>
      </c>
      <c r="B3065" s="2" t="n">
        <v>43196.82359953703</v>
      </c>
      <c r="C3065" t="n">
        <v>0</v>
      </c>
      <c r="D3065" t="n">
        <v>2</v>
      </c>
      <c r="E3065" t="s">
        <v>3013</v>
      </c>
      <c r="F3065" t="s"/>
      <c r="G3065" t="s"/>
      <c r="H3065" t="s"/>
      <c r="I3065" t="s"/>
      <c r="J3065" t="n">
        <v>0.6523</v>
      </c>
      <c r="K3065" t="n">
        <v>0</v>
      </c>
      <c r="L3065" t="n">
        <v>0.781</v>
      </c>
      <c r="M3065" t="n">
        <v>0.219</v>
      </c>
    </row>
    <row r="3066" spans="1:13">
      <c r="A3066" s="1">
        <f>HYPERLINK("http://www.twitter.com/NathanBLawrence/status/982343666412015616", "982343666412015616")</f>
        <v/>
      </c>
      <c r="B3066" s="2" t="n">
        <v>43196.82355324074</v>
      </c>
      <c r="C3066" t="n">
        <v>0</v>
      </c>
      <c r="D3066" t="n">
        <v>6</v>
      </c>
      <c r="E3066" t="s">
        <v>3014</v>
      </c>
      <c r="F3066" t="s"/>
      <c r="G3066" t="s"/>
      <c r="H3066" t="s"/>
      <c r="I3066" t="s"/>
      <c r="J3066" t="n">
        <v>0.2732</v>
      </c>
      <c r="K3066" t="n">
        <v>0</v>
      </c>
      <c r="L3066" t="n">
        <v>0.896</v>
      </c>
      <c r="M3066" t="n">
        <v>0.104</v>
      </c>
    </row>
    <row r="3067" spans="1:13">
      <c r="A3067" s="1">
        <f>HYPERLINK("http://www.twitter.com/NathanBLawrence/status/982343640776261632", "982343640776261632")</f>
        <v/>
      </c>
      <c r="B3067" s="2" t="n">
        <v>43196.8234837963</v>
      </c>
      <c r="C3067" t="n">
        <v>0</v>
      </c>
      <c r="D3067" t="n">
        <v>3</v>
      </c>
      <c r="E3067" t="s">
        <v>3015</v>
      </c>
      <c r="F3067" t="s"/>
      <c r="G3067" t="s"/>
      <c r="H3067" t="s"/>
      <c r="I3067" t="s"/>
      <c r="J3067" t="n">
        <v>0</v>
      </c>
      <c r="K3067" t="n">
        <v>0</v>
      </c>
      <c r="L3067" t="n">
        <v>1</v>
      </c>
      <c r="M3067" t="n">
        <v>0</v>
      </c>
    </row>
    <row r="3068" spans="1:13">
      <c r="A3068" s="1">
        <f>HYPERLINK("http://www.twitter.com/NathanBLawrence/status/982343217256521728", "982343217256521728")</f>
        <v/>
      </c>
      <c r="B3068" s="2" t="n">
        <v>43196.82231481482</v>
      </c>
      <c r="C3068" t="n">
        <v>0</v>
      </c>
      <c r="D3068" t="n">
        <v>7</v>
      </c>
      <c r="E3068" t="s">
        <v>3016</v>
      </c>
      <c r="F3068" t="s"/>
      <c r="G3068" t="s"/>
      <c r="H3068" t="s"/>
      <c r="I3068" t="s"/>
      <c r="J3068" t="n">
        <v>0.2732</v>
      </c>
      <c r="K3068" t="n">
        <v>0</v>
      </c>
      <c r="L3068" t="n">
        <v>0.9</v>
      </c>
      <c r="M3068" t="n">
        <v>0.1</v>
      </c>
    </row>
    <row r="3069" spans="1:13">
      <c r="A3069" s="1">
        <f>HYPERLINK("http://www.twitter.com/NathanBLawrence/status/982343157638684673", "982343157638684673")</f>
        <v/>
      </c>
      <c r="B3069" s="2" t="n">
        <v>43196.82215277778</v>
      </c>
      <c r="C3069" t="n">
        <v>0</v>
      </c>
      <c r="D3069" t="n">
        <v>6</v>
      </c>
      <c r="E3069" t="s">
        <v>3017</v>
      </c>
      <c r="F3069" t="s"/>
      <c r="G3069" t="s"/>
      <c r="H3069" t="s"/>
      <c r="I3069" t="s"/>
      <c r="J3069" t="n">
        <v>0</v>
      </c>
      <c r="K3069" t="n">
        <v>0</v>
      </c>
      <c r="L3069" t="n">
        <v>1</v>
      </c>
      <c r="M3069" t="n">
        <v>0</v>
      </c>
    </row>
    <row r="3070" spans="1:13">
      <c r="A3070" s="1">
        <f>HYPERLINK("http://www.twitter.com/NathanBLawrence/status/982342654766800896", "982342654766800896")</f>
        <v/>
      </c>
      <c r="B3070" s="2" t="n">
        <v>43196.82076388889</v>
      </c>
      <c r="C3070" t="n">
        <v>0</v>
      </c>
      <c r="D3070" t="n">
        <v>7</v>
      </c>
      <c r="E3070" t="s">
        <v>3018</v>
      </c>
      <c r="F3070" t="s"/>
      <c r="G3070" t="s"/>
      <c r="H3070" t="s"/>
      <c r="I3070" t="s"/>
      <c r="J3070" t="n">
        <v>0.3939</v>
      </c>
      <c r="K3070" t="n">
        <v>0</v>
      </c>
      <c r="L3070" t="n">
        <v>0.877</v>
      </c>
      <c r="M3070" t="n">
        <v>0.123</v>
      </c>
    </row>
    <row r="3071" spans="1:13">
      <c r="A3071" s="1">
        <f>HYPERLINK("http://www.twitter.com/NathanBLawrence/status/982342630695727106", "982342630695727106")</f>
        <v/>
      </c>
      <c r="B3071" s="2" t="n">
        <v>43196.82069444445</v>
      </c>
      <c r="C3071" t="n">
        <v>0</v>
      </c>
      <c r="D3071" t="n">
        <v>5</v>
      </c>
      <c r="E3071" t="s">
        <v>3019</v>
      </c>
      <c r="F3071" t="s"/>
      <c r="G3071" t="s"/>
      <c r="H3071" t="s"/>
      <c r="I3071" t="s"/>
      <c r="J3071" t="n">
        <v>0.431</v>
      </c>
      <c r="K3071" t="n">
        <v>0.042</v>
      </c>
      <c r="L3071" t="n">
        <v>0.8100000000000001</v>
      </c>
      <c r="M3071" t="n">
        <v>0.147</v>
      </c>
    </row>
    <row r="3072" spans="1:13">
      <c r="A3072" s="1">
        <f>HYPERLINK("http://www.twitter.com/NathanBLawrence/status/982342594805026817", "982342594805026817")</f>
        <v/>
      </c>
      <c r="B3072" s="2" t="n">
        <v>43196.82060185185</v>
      </c>
      <c r="C3072" t="n">
        <v>0</v>
      </c>
      <c r="D3072" t="n">
        <v>5</v>
      </c>
      <c r="E3072" t="s">
        <v>3020</v>
      </c>
      <c r="F3072" t="s"/>
      <c r="G3072" t="s"/>
      <c r="H3072" t="s"/>
      <c r="I3072" t="s"/>
      <c r="J3072" t="n">
        <v>0.6739000000000001</v>
      </c>
      <c r="K3072" t="n">
        <v>0</v>
      </c>
      <c r="L3072" t="n">
        <v>0.743</v>
      </c>
      <c r="M3072" t="n">
        <v>0.257</v>
      </c>
    </row>
    <row r="3073" spans="1:13">
      <c r="A3073" s="1">
        <f>HYPERLINK("http://www.twitter.com/NathanBLawrence/status/982342483379216385", "982342483379216385")</f>
        <v/>
      </c>
      <c r="B3073" s="2" t="n">
        <v>43196.82028935185</v>
      </c>
      <c r="C3073" t="n">
        <v>0</v>
      </c>
      <c r="D3073" t="n">
        <v>6</v>
      </c>
      <c r="E3073" t="s">
        <v>3021</v>
      </c>
      <c r="F3073">
        <f>HYPERLINK("http://pbs.twimg.com/media/DaH6Ei8W0AASL7V.jpg", "http://pbs.twimg.com/media/DaH6Ei8W0AASL7V.jpg")</f>
        <v/>
      </c>
      <c r="G3073" t="s"/>
      <c r="H3073" t="s"/>
      <c r="I3073" t="s"/>
      <c r="J3073" t="n">
        <v>0.34</v>
      </c>
      <c r="K3073" t="n">
        <v>0</v>
      </c>
      <c r="L3073" t="n">
        <v>0.8149999999999999</v>
      </c>
      <c r="M3073" t="n">
        <v>0.185</v>
      </c>
    </row>
    <row r="3074" spans="1:13">
      <c r="A3074" s="1">
        <f>HYPERLINK("http://www.twitter.com/NathanBLawrence/status/982328597116608512", "982328597116608512")</f>
        <v/>
      </c>
      <c r="B3074" s="2" t="n">
        <v>43196.78196759259</v>
      </c>
      <c r="C3074" t="n">
        <v>0</v>
      </c>
      <c r="D3074" t="n">
        <v>810</v>
      </c>
      <c r="E3074" t="s">
        <v>3022</v>
      </c>
      <c r="F3074">
        <f>HYPERLINK("http://pbs.twimg.com/media/DaHMkDQVQAI7cZ6.jpg", "http://pbs.twimg.com/media/DaHMkDQVQAI7cZ6.jpg")</f>
        <v/>
      </c>
      <c r="G3074" t="s"/>
      <c r="H3074" t="s"/>
      <c r="I3074" t="s"/>
      <c r="J3074" t="n">
        <v>-0.2023</v>
      </c>
      <c r="K3074" t="n">
        <v>0.178</v>
      </c>
      <c r="L3074" t="n">
        <v>0.72</v>
      </c>
      <c r="M3074" t="n">
        <v>0.102</v>
      </c>
    </row>
    <row r="3075" spans="1:13">
      <c r="A3075" s="1">
        <f>HYPERLINK("http://www.twitter.com/NathanBLawrence/status/982328519576510465", "982328519576510465")</f>
        <v/>
      </c>
      <c r="B3075" s="2" t="n">
        <v>43196.78175925926</v>
      </c>
      <c r="C3075" t="n">
        <v>0</v>
      </c>
      <c r="D3075" t="n">
        <v>36</v>
      </c>
      <c r="E3075" t="s">
        <v>3023</v>
      </c>
      <c r="F3075" t="s"/>
      <c r="G3075" t="s"/>
      <c r="H3075" t="s"/>
      <c r="I3075" t="s"/>
      <c r="J3075" t="n">
        <v>0</v>
      </c>
      <c r="K3075" t="n">
        <v>0</v>
      </c>
      <c r="L3075" t="n">
        <v>1</v>
      </c>
      <c r="M3075" t="n">
        <v>0</v>
      </c>
    </row>
    <row r="3076" spans="1:13">
      <c r="A3076" s="1">
        <f>HYPERLINK("http://www.twitter.com/NathanBLawrence/status/982328427654078464", "982328427654078464")</f>
        <v/>
      </c>
      <c r="B3076" s="2" t="n">
        <v>43196.78150462963</v>
      </c>
      <c r="C3076" t="n">
        <v>0</v>
      </c>
      <c r="D3076" t="n">
        <v>1072</v>
      </c>
      <c r="E3076" t="s">
        <v>3024</v>
      </c>
      <c r="F3076">
        <f>HYPERLINK("http://pbs.twimg.com/media/DaE1fZXVAAEuIy8.jpg", "http://pbs.twimg.com/media/DaE1fZXVAAEuIy8.jpg")</f>
        <v/>
      </c>
      <c r="G3076" t="s"/>
      <c r="H3076" t="s"/>
      <c r="I3076" t="s"/>
      <c r="J3076" t="n">
        <v>-0.4767</v>
      </c>
      <c r="K3076" t="n">
        <v>0.154</v>
      </c>
      <c r="L3076" t="n">
        <v>0.846</v>
      </c>
      <c r="M3076" t="n">
        <v>0</v>
      </c>
    </row>
    <row r="3077" spans="1:13">
      <c r="A3077" s="1">
        <f>HYPERLINK("http://www.twitter.com/NathanBLawrence/status/982328359576375296", "982328359576375296")</f>
        <v/>
      </c>
      <c r="B3077" s="2" t="n">
        <v>43196.78131944445</v>
      </c>
      <c r="C3077" t="n">
        <v>0</v>
      </c>
      <c r="D3077" t="n">
        <v>11</v>
      </c>
      <c r="E3077" t="s">
        <v>3025</v>
      </c>
      <c r="F3077" t="s"/>
      <c r="G3077" t="s"/>
      <c r="H3077" t="s"/>
      <c r="I3077" t="s"/>
      <c r="J3077" t="n">
        <v>0</v>
      </c>
      <c r="K3077" t="n">
        <v>0</v>
      </c>
      <c r="L3077" t="n">
        <v>1</v>
      </c>
      <c r="M3077" t="n">
        <v>0</v>
      </c>
    </row>
    <row r="3078" spans="1:13">
      <c r="A3078" s="1">
        <f>HYPERLINK("http://www.twitter.com/NathanBLawrence/status/982326795973296128", "982326795973296128")</f>
        <v/>
      </c>
      <c r="B3078" s="2" t="n">
        <v>43196.77700231481</v>
      </c>
      <c r="C3078" t="n">
        <v>0</v>
      </c>
      <c r="D3078" t="n">
        <v>2</v>
      </c>
      <c r="E3078" t="s">
        <v>3026</v>
      </c>
      <c r="F3078" t="s"/>
      <c r="G3078" t="s"/>
      <c r="H3078" t="s"/>
      <c r="I3078" t="s"/>
      <c r="J3078" t="n">
        <v>0.25</v>
      </c>
      <c r="K3078" t="n">
        <v>0.118</v>
      </c>
      <c r="L3078" t="n">
        <v>0.701</v>
      </c>
      <c r="M3078" t="n">
        <v>0.182</v>
      </c>
    </row>
    <row r="3079" spans="1:13">
      <c r="A3079" s="1">
        <f>HYPERLINK("http://www.twitter.com/NathanBLawrence/status/982311430639800320", "982311430639800320")</f>
        <v/>
      </c>
      <c r="B3079" s="2" t="n">
        <v>43196.73460648148</v>
      </c>
      <c r="C3079" t="n">
        <v>0</v>
      </c>
      <c r="D3079" t="n">
        <v>18</v>
      </c>
      <c r="E3079" t="s">
        <v>3027</v>
      </c>
      <c r="F3079" t="s"/>
      <c r="G3079" t="s"/>
      <c r="H3079" t="s"/>
      <c r="I3079" t="s"/>
      <c r="J3079" t="n">
        <v>0</v>
      </c>
      <c r="K3079" t="n">
        <v>0</v>
      </c>
      <c r="L3079" t="n">
        <v>1</v>
      </c>
      <c r="M3079" t="n">
        <v>0</v>
      </c>
    </row>
    <row r="3080" spans="1:13">
      <c r="A3080" s="1">
        <f>HYPERLINK("http://www.twitter.com/NathanBLawrence/status/982311381314752514", "982311381314752514")</f>
        <v/>
      </c>
      <c r="B3080" s="2" t="n">
        <v>43196.73446759259</v>
      </c>
      <c r="C3080" t="n">
        <v>0</v>
      </c>
      <c r="D3080" t="n">
        <v>5</v>
      </c>
      <c r="E3080" t="s">
        <v>3028</v>
      </c>
      <c r="F3080">
        <f>HYPERLINK("http://pbs.twimg.com/media/DaHE2_vV4AAD2q6.jpg", "http://pbs.twimg.com/media/DaHE2_vV4AAD2q6.jpg")</f>
        <v/>
      </c>
      <c r="G3080" t="s"/>
      <c r="H3080" t="s"/>
      <c r="I3080" t="s"/>
      <c r="J3080" t="n">
        <v>-0.6588000000000001</v>
      </c>
      <c r="K3080" t="n">
        <v>0.329</v>
      </c>
      <c r="L3080" t="n">
        <v>0.671</v>
      </c>
      <c r="M3080" t="n">
        <v>0</v>
      </c>
    </row>
    <row r="3081" spans="1:13">
      <c r="A3081" s="1">
        <f>HYPERLINK("http://www.twitter.com/NathanBLawrence/status/982311364524957697", "982311364524957697")</f>
        <v/>
      </c>
      <c r="B3081" s="2" t="n">
        <v>43196.7344212963</v>
      </c>
      <c r="C3081" t="n">
        <v>0</v>
      </c>
      <c r="D3081" t="n">
        <v>411</v>
      </c>
      <c r="E3081" t="s">
        <v>3029</v>
      </c>
      <c r="F3081" t="s"/>
      <c r="G3081" t="s"/>
      <c r="H3081" t="s"/>
      <c r="I3081" t="s"/>
      <c r="J3081" t="n">
        <v>0.6369</v>
      </c>
      <c r="K3081" t="n">
        <v>0.095</v>
      </c>
      <c r="L3081" t="n">
        <v>0.611</v>
      </c>
      <c r="M3081" t="n">
        <v>0.294</v>
      </c>
    </row>
    <row r="3082" spans="1:13">
      <c r="A3082" s="1">
        <f>HYPERLINK("http://www.twitter.com/NathanBLawrence/status/982311304391282689", "982311304391282689")</f>
        <v/>
      </c>
      <c r="B3082" s="2" t="n">
        <v>43196.73425925926</v>
      </c>
      <c r="C3082" t="n">
        <v>0</v>
      </c>
      <c r="D3082" t="n">
        <v>13762</v>
      </c>
      <c r="E3082" t="s">
        <v>3030</v>
      </c>
      <c r="F3082" t="s"/>
      <c r="G3082" t="s"/>
      <c r="H3082" t="s"/>
      <c r="I3082" t="s"/>
      <c r="J3082" t="n">
        <v>0.296</v>
      </c>
      <c r="K3082" t="n">
        <v>0</v>
      </c>
      <c r="L3082" t="n">
        <v>0.905</v>
      </c>
      <c r="M3082" t="n">
        <v>0.095</v>
      </c>
    </row>
    <row r="3083" spans="1:13">
      <c r="A3083" s="1">
        <f>HYPERLINK("http://www.twitter.com/NathanBLawrence/status/982311262481772545", "982311262481772545")</f>
        <v/>
      </c>
      <c r="B3083" s="2" t="n">
        <v>43196.73414351852</v>
      </c>
      <c r="C3083" t="n">
        <v>0</v>
      </c>
      <c r="D3083" t="n">
        <v>1</v>
      </c>
      <c r="E3083" t="s">
        <v>3031</v>
      </c>
      <c r="F3083" t="s"/>
      <c r="G3083" t="s"/>
      <c r="H3083" t="s"/>
      <c r="I3083" t="s"/>
      <c r="J3083" t="n">
        <v>0.296</v>
      </c>
      <c r="K3083" t="n">
        <v>0.104</v>
      </c>
      <c r="L3083" t="n">
        <v>0.75</v>
      </c>
      <c r="M3083" t="n">
        <v>0.146</v>
      </c>
    </row>
    <row r="3084" spans="1:13">
      <c r="A3084" s="1">
        <f>HYPERLINK("http://www.twitter.com/NathanBLawrence/status/982311219251105792", "982311219251105792")</f>
        <v/>
      </c>
      <c r="B3084" s="2" t="n">
        <v>43196.73401620371</v>
      </c>
      <c r="C3084" t="n">
        <v>0</v>
      </c>
      <c r="D3084" t="n">
        <v>1382</v>
      </c>
      <c r="E3084" t="s">
        <v>3032</v>
      </c>
      <c r="F3084" t="s"/>
      <c r="G3084" t="s"/>
      <c r="H3084" t="s"/>
      <c r="I3084" t="s"/>
      <c r="J3084" t="n">
        <v>-0.7184</v>
      </c>
      <c r="K3084" t="n">
        <v>0.304</v>
      </c>
      <c r="L3084" t="n">
        <v>0.696</v>
      </c>
      <c r="M3084" t="n">
        <v>0</v>
      </c>
    </row>
    <row r="3085" spans="1:13">
      <c r="A3085" s="1">
        <f>HYPERLINK("http://www.twitter.com/NathanBLawrence/status/982311208039706624", "982311208039706624")</f>
        <v/>
      </c>
      <c r="B3085" s="2" t="n">
        <v>43196.73399305555</v>
      </c>
      <c r="C3085" t="n">
        <v>0</v>
      </c>
      <c r="D3085" t="n">
        <v>0</v>
      </c>
      <c r="E3085" t="s">
        <v>3033</v>
      </c>
      <c r="F3085" t="s"/>
      <c r="G3085" t="s"/>
      <c r="H3085" t="s"/>
      <c r="I3085" t="s"/>
      <c r="J3085" t="n">
        <v>0.1779</v>
      </c>
      <c r="K3085" t="n">
        <v>0.062</v>
      </c>
      <c r="L3085" t="n">
        <v>0.855</v>
      </c>
      <c r="M3085" t="n">
        <v>0.083</v>
      </c>
    </row>
    <row r="3086" spans="1:13">
      <c r="A3086" s="1">
        <f>HYPERLINK("http://www.twitter.com/NathanBLawrence/status/982310338715627520", "982310338715627520")</f>
        <v/>
      </c>
      <c r="B3086" s="2" t="n">
        <v>43196.73158564815</v>
      </c>
      <c r="C3086" t="n">
        <v>0</v>
      </c>
      <c r="D3086" t="n">
        <v>5</v>
      </c>
      <c r="E3086" t="s">
        <v>3034</v>
      </c>
      <c r="F3086" t="s"/>
      <c r="G3086" t="s"/>
      <c r="H3086" t="s"/>
      <c r="I3086" t="s"/>
      <c r="J3086" t="n">
        <v>0.128</v>
      </c>
      <c r="K3086" t="n">
        <v>0.107</v>
      </c>
      <c r="L3086" t="n">
        <v>0.766</v>
      </c>
      <c r="M3086" t="n">
        <v>0.126</v>
      </c>
    </row>
    <row r="3087" spans="1:13">
      <c r="A3087" s="1">
        <f>HYPERLINK("http://www.twitter.com/NathanBLawrence/status/982308832977276928", "982308832977276928")</f>
        <v/>
      </c>
      <c r="B3087" s="2" t="n">
        <v>43196.72743055555</v>
      </c>
      <c r="C3087" t="n">
        <v>0</v>
      </c>
      <c r="D3087" t="n">
        <v>0</v>
      </c>
      <c r="E3087" t="s">
        <v>3035</v>
      </c>
      <c r="F3087" t="s"/>
      <c r="G3087" t="s"/>
      <c r="H3087" t="s"/>
      <c r="I3087" t="s"/>
      <c r="J3087" t="n">
        <v>0</v>
      </c>
      <c r="K3087" t="n">
        <v>0</v>
      </c>
      <c r="L3087" t="n">
        <v>1</v>
      </c>
      <c r="M3087" t="n">
        <v>0</v>
      </c>
    </row>
    <row r="3088" spans="1:13">
      <c r="A3088" s="1">
        <f>HYPERLINK("http://www.twitter.com/NathanBLawrence/status/982308751125426180", "982308751125426180")</f>
        <v/>
      </c>
      <c r="B3088" s="2" t="n">
        <v>43196.72721064815</v>
      </c>
      <c r="C3088" t="n">
        <v>0</v>
      </c>
      <c r="D3088" t="n">
        <v>2</v>
      </c>
      <c r="E3088" t="s">
        <v>3036</v>
      </c>
      <c r="F3088" t="s"/>
      <c r="G3088" t="s"/>
      <c r="H3088" t="s"/>
      <c r="I3088" t="s"/>
      <c r="J3088" t="n">
        <v>0</v>
      </c>
      <c r="K3088" t="n">
        <v>0</v>
      </c>
      <c r="L3088" t="n">
        <v>1</v>
      </c>
      <c r="M3088" t="n">
        <v>0</v>
      </c>
    </row>
    <row r="3089" spans="1:13">
      <c r="A3089" s="1">
        <f>HYPERLINK("http://www.twitter.com/NathanBLawrence/status/982308647190622208", "982308647190622208")</f>
        <v/>
      </c>
      <c r="B3089" s="2" t="n">
        <v>43196.72692129629</v>
      </c>
      <c r="C3089" t="n">
        <v>0</v>
      </c>
      <c r="D3089" t="n">
        <v>1</v>
      </c>
      <c r="E3089" t="s">
        <v>3037</v>
      </c>
      <c r="F3089" t="s"/>
      <c r="G3089" t="s"/>
      <c r="H3089" t="s"/>
      <c r="I3089" t="s"/>
      <c r="J3089" t="n">
        <v>0.5859</v>
      </c>
      <c r="K3089" t="n">
        <v>0.047</v>
      </c>
      <c r="L3089" t="n">
        <v>0.8110000000000001</v>
      </c>
      <c r="M3089" t="n">
        <v>0.142</v>
      </c>
    </row>
    <row r="3090" spans="1:13">
      <c r="A3090" s="1">
        <f>HYPERLINK("http://www.twitter.com/NathanBLawrence/status/982308615397740544", "982308615397740544")</f>
        <v/>
      </c>
      <c r="B3090" s="2" t="n">
        <v>43196.7268287037</v>
      </c>
      <c r="C3090" t="n">
        <v>0</v>
      </c>
      <c r="D3090" t="n">
        <v>1</v>
      </c>
      <c r="E3090" t="s">
        <v>3038</v>
      </c>
      <c r="F3090" t="s"/>
      <c r="G3090" t="s"/>
      <c r="H3090" t="s"/>
      <c r="I3090" t="s"/>
      <c r="J3090" t="n">
        <v>0</v>
      </c>
      <c r="K3090" t="n">
        <v>0</v>
      </c>
      <c r="L3090" t="n">
        <v>1</v>
      </c>
      <c r="M3090" t="n">
        <v>0</v>
      </c>
    </row>
    <row r="3091" spans="1:13">
      <c r="A3091" s="1">
        <f>HYPERLINK("http://www.twitter.com/NathanBLawrence/status/982308588470317056", "982308588470317056")</f>
        <v/>
      </c>
      <c r="B3091" s="2" t="n">
        <v>43196.72675925926</v>
      </c>
      <c r="C3091" t="n">
        <v>0</v>
      </c>
      <c r="D3091" t="n">
        <v>1</v>
      </c>
      <c r="E3091" t="s">
        <v>3039</v>
      </c>
      <c r="F3091" t="s"/>
      <c r="G3091" t="s"/>
      <c r="H3091" t="s"/>
      <c r="I3091" t="s"/>
      <c r="J3091" t="n">
        <v>0</v>
      </c>
      <c r="K3091" t="n">
        <v>0</v>
      </c>
      <c r="L3091" t="n">
        <v>1</v>
      </c>
      <c r="M3091" t="n">
        <v>0</v>
      </c>
    </row>
    <row r="3092" spans="1:13">
      <c r="A3092" s="1">
        <f>HYPERLINK("http://www.twitter.com/NathanBLawrence/status/982308563187052544", "982308563187052544")</f>
        <v/>
      </c>
      <c r="B3092" s="2" t="n">
        <v>43196.72668981482</v>
      </c>
      <c r="C3092" t="n">
        <v>0</v>
      </c>
      <c r="D3092" t="n">
        <v>0</v>
      </c>
      <c r="E3092" t="s">
        <v>3040</v>
      </c>
      <c r="F3092" t="s"/>
      <c r="G3092" t="s"/>
      <c r="H3092" t="s"/>
      <c r="I3092" t="s"/>
      <c r="J3092" t="n">
        <v>-0.5266999999999999</v>
      </c>
      <c r="K3092" t="n">
        <v>0.459</v>
      </c>
      <c r="L3092" t="n">
        <v>0.541</v>
      </c>
      <c r="M3092" t="n">
        <v>0</v>
      </c>
    </row>
    <row r="3093" spans="1:13">
      <c r="A3093" s="1">
        <f>HYPERLINK("http://www.twitter.com/NathanBLawrence/status/982308389526138881", "982308389526138881")</f>
        <v/>
      </c>
      <c r="B3093" s="2" t="n">
        <v>43196.72621527778</v>
      </c>
      <c r="C3093" t="n">
        <v>2</v>
      </c>
      <c r="D3093" t="n">
        <v>2</v>
      </c>
      <c r="E3093" t="s">
        <v>3041</v>
      </c>
      <c r="F3093" t="s"/>
      <c r="G3093" t="s"/>
      <c r="H3093" t="s"/>
      <c r="I3093" t="s"/>
      <c r="J3093" t="n">
        <v>0.3528</v>
      </c>
      <c r="K3093" t="n">
        <v>0.18</v>
      </c>
      <c r="L3093" t="n">
        <v>0.601</v>
      </c>
      <c r="M3093" t="n">
        <v>0.219</v>
      </c>
    </row>
    <row r="3094" spans="1:13">
      <c r="A3094" s="1">
        <f>HYPERLINK("http://www.twitter.com/NathanBLawrence/status/982305320453197826", "982305320453197826")</f>
        <v/>
      </c>
      <c r="B3094" s="2" t="n">
        <v>43196.71774305555</v>
      </c>
      <c r="C3094" t="n">
        <v>0</v>
      </c>
      <c r="D3094" t="n">
        <v>5</v>
      </c>
      <c r="E3094" t="s">
        <v>3042</v>
      </c>
      <c r="F3094" t="s"/>
      <c r="G3094" t="s"/>
      <c r="H3094" t="s"/>
      <c r="I3094" t="s"/>
      <c r="J3094" t="n">
        <v>0.5423</v>
      </c>
      <c r="K3094" t="n">
        <v>0</v>
      </c>
      <c r="L3094" t="n">
        <v>0.667</v>
      </c>
      <c r="M3094" t="n">
        <v>0.333</v>
      </c>
    </row>
    <row r="3095" spans="1:13">
      <c r="A3095" s="1">
        <f>HYPERLINK("http://www.twitter.com/NathanBLawrence/status/982305305584422913", "982305305584422913")</f>
        <v/>
      </c>
      <c r="B3095" s="2" t="n">
        <v>43196.71769675926</v>
      </c>
      <c r="C3095" t="n">
        <v>0</v>
      </c>
      <c r="D3095" t="n">
        <v>1</v>
      </c>
      <c r="E3095" t="s">
        <v>3043</v>
      </c>
      <c r="F3095" t="s"/>
      <c r="G3095" t="s"/>
      <c r="H3095" t="s"/>
      <c r="I3095" t="s"/>
      <c r="J3095" t="n">
        <v>0</v>
      </c>
      <c r="K3095" t="n">
        <v>0</v>
      </c>
      <c r="L3095" t="n">
        <v>1</v>
      </c>
      <c r="M3095" t="n">
        <v>0</v>
      </c>
    </row>
    <row r="3096" spans="1:13">
      <c r="A3096" s="1">
        <f>HYPERLINK("http://www.twitter.com/NathanBLawrence/status/982304179682234368", "982304179682234368")</f>
        <v/>
      </c>
      <c r="B3096" s="2" t="n">
        <v>43196.7145949074</v>
      </c>
      <c r="C3096" t="n">
        <v>1</v>
      </c>
      <c r="D3096" t="n">
        <v>0</v>
      </c>
      <c r="E3096" t="s">
        <v>3044</v>
      </c>
      <c r="F3096" t="s"/>
      <c r="G3096" t="s"/>
      <c r="H3096" t="s"/>
      <c r="I3096" t="s"/>
      <c r="J3096" t="n">
        <v>0</v>
      </c>
      <c r="K3096" t="n">
        <v>0</v>
      </c>
      <c r="L3096" t="n">
        <v>1</v>
      </c>
      <c r="M3096" t="n">
        <v>0</v>
      </c>
    </row>
    <row r="3097" spans="1:13">
      <c r="A3097" s="1">
        <f>HYPERLINK("http://www.twitter.com/NathanBLawrence/status/982304009653510144", "982304009653510144")</f>
        <v/>
      </c>
      <c r="B3097" s="2" t="n">
        <v>43196.71412037037</v>
      </c>
      <c r="C3097" t="n">
        <v>0</v>
      </c>
      <c r="D3097" t="n">
        <v>1</v>
      </c>
      <c r="E3097" t="s">
        <v>3045</v>
      </c>
      <c r="F3097" t="s"/>
      <c r="G3097" t="s"/>
      <c r="H3097" t="s"/>
      <c r="I3097" t="s"/>
      <c r="J3097" t="n">
        <v>0.5106000000000001</v>
      </c>
      <c r="K3097" t="n">
        <v>0</v>
      </c>
      <c r="L3097" t="n">
        <v>0.852</v>
      </c>
      <c r="M3097" t="n">
        <v>0.148</v>
      </c>
    </row>
    <row r="3098" spans="1:13">
      <c r="A3098" s="1">
        <f>HYPERLINK("http://www.twitter.com/NathanBLawrence/status/982303989059457027", "982303989059457027")</f>
        <v/>
      </c>
      <c r="B3098" s="2" t="n">
        <v>43196.7140625</v>
      </c>
      <c r="C3098" t="n">
        <v>0</v>
      </c>
      <c r="D3098" t="n">
        <v>5</v>
      </c>
      <c r="E3098" t="s">
        <v>3046</v>
      </c>
      <c r="F3098" t="s"/>
      <c r="G3098" t="s"/>
      <c r="H3098" t="s"/>
      <c r="I3098" t="s"/>
      <c r="J3098" t="n">
        <v>-0.34</v>
      </c>
      <c r="K3098" t="n">
        <v>0.124</v>
      </c>
      <c r="L3098" t="n">
        <v>0.876</v>
      </c>
      <c r="M3098" t="n">
        <v>0</v>
      </c>
    </row>
    <row r="3099" spans="1:13">
      <c r="A3099" s="1">
        <f>HYPERLINK("http://www.twitter.com/NathanBLawrence/status/982303961834229761", "982303961834229761")</f>
        <v/>
      </c>
      <c r="B3099" s="2" t="n">
        <v>43196.71399305556</v>
      </c>
      <c r="C3099" t="n">
        <v>0</v>
      </c>
      <c r="D3099" t="n">
        <v>2</v>
      </c>
      <c r="E3099" t="s">
        <v>3047</v>
      </c>
      <c r="F3099" t="s"/>
      <c r="G3099" t="s"/>
      <c r="H3099" t="s"/>
      <c r="I3099" t="s"/>
      <c r="J3099" t="n">
        <v>0.0772</v>
      </c>
      <c r="K3099" t="n">
        <v>0</v>
      </c>
      <c r="L3099" t="n">
        <v>0.9330000000000001</v>
      </c>
      <c r="M3099" t="n">
        <v>0.067</v>
      </c>
    </row>
    <row r="3100" spans="1:13">
      <c r="A3100" s="1">
        <f>HYPERLINK("http://www.twitter.com/NathanBLawrence/status/982303930284638213", "982303930284638213")</f>
        <v/>
      </c>
      <c r="B3100" s="2" t="n">
        <v>43196.71390046296</v>
      </c>
      <c r="C3100" t="n">
        <v>0</v>
      </c>
      <c r="D3100" t="n">
        <v>2</v>
      </c>
      <c r="E3100" t="s">
        <v>3048</v>
      </c>
      <c r="F3100" t="s"/>
      <c r="G3100" t="s"/>
      <c r="H3100" t="s"/>
      <c r="I3100" t="s"/>
      <c r="J3100" t="n">
        <v>0.4019</v>
      </c>
      <c r="K3100" t="n">
        <v>0</v>
      </c>
      <c r="L3100" t="n">
        <v>0.863</v>
      </c>
      <c r="M3100" t="n">
        <v>0.137</v>
      </c>
    </row>
    <row r="3101" spans="1:13">
      <c r="A3101" s="1">
        <f>HYPERLINK("http://www.twitter.com/NathanBLawrence/status/982303916980363266", "982303916980363266")</f>
        <v/>
      </c>
      <c r="B3101" s="2" t="n">
        <v>43196.71386574074</v>
      </c>
      <c r="C3101" t="n">
        <v>0</v>
      </c>
      <c r="D3101" t="n">
        <v>2</v>
      </c>
      <c r="E3101" t="s">
        <v>3049</v>
      </c>
      <c r="F3101" t="s"/>
      <c r="G3101" t="s"/>
      <c r="H3101" t="s"/>
      <c r="I3101" t="s"/>
      <c r="J3101" t="n">
        <v>0.4939</v>
      </c>
      <c r="K3101" t="n">
        <v>0</v>
      </c>
      <c r="L3101" t="n">
        <v>0.849</v>
      </c>
      <c r="M3101" t="n">
        <v>0.151</v>
      </c>
    </row>
    <row r="3102" spans="1:13">
      <c r="A3102" s="1">
        <f>HYPERLINK("http://www.twitter.com/NathanBLawrence/status/982303793147760640", "982303793147760640")</f>
        <v/>
      </c>
      <c r="B3102" s="2" t="n">
        <v>43196.71353009259</v>
      </c>
      <c r="C3102" t="n">
        <v>0</v>
      </c>
      <c r="D3102" t="n">
        <v>0</v>
      </c>
      <c r="E3102" t="s">
        <v>3050</v>
      </c>
      <c r="F3102" t="s"/>
      <c r="G3102" t="s"/>
      <c r="H3102" t="s"/>
      <c r="I3102" t="s"/>
      <c r="J3102" t="n">
        <v>0.6619</v>
      </c>
      <c r="K3102" t="n">
        <v>0</v>
      </c>
      <c r="L3102" t="n">
        <v>0.721</v>
      </c>
      <c r="M3102" t="n">
        <v>0.279</v>
      </c>
    </row>
    <row r="3103" spans="1:13">
      <c r="A3103" s="1">
        <f>HYPERLINK("http://www.twitter.com/NathanBLawrence/status/982303790303973376", "982303790303973376")</f>
        <v/>
      </c>
      <c r="B3103" s="2" t="n">
        <v>43196.71351851852</v>
      </c>
      <c r="C3103" t="n">
        <v>0</v>
      </c>
      <c r="D3103" t="n">
        <v>1</v>
      </c>
      <c r="E3103" t="s">
        <v>3051</v>
      </c>
      <c r="F3103" t="s"/>
      <c r="G3103" t="s"/>
      <c r="H3103" t="s"/>
      <c r="I3103" t="s"/>
      <c r="J3103" t="n">
        <v>-0.2755</v>
      </c>
      <c r="K3103" t="n">
        <v>0.1</v>
      </c>
      <c r="L3103" t="n">
        <v>0.9</v>
      </c>
      <c r="M3103" t="n">
        <v>0</v>
      </c>
    </row>
    <row r="3104" spans="1:13">
      <c r="A3104" s="1">
        <f>HYPERLINK("http://www.twitter.com/NathanBLawrence/status/982303133173977089", "982303133173977089")</f>
        <v/>
      </c>
      <c r="B3104" s="2" t="n">
        <v>43196.71170138889</v>
      </c>
      <c r="C3104" t="n">
        <v>0</v>
      </c>
      <c r="D3104" t="n">
        <v>3</v>
      </c>
      <c r="E3104" t="s">
        <v>3052</v>
      </c>
      <c r="F3104" t="s"/>
      <c r="G3104" t="s"/>
      <c r="H3104" t="s"/>
      <c r="I3104" t="s"/>
      <c r="J3104" t="n">
        <v>-0.8481</v>
      </c>
      <c r="K3104" t="n">
        <v>0.375</v>
      </c>
      <c r="L3104" t="n">
        <v>0.625</v>
      </c>
      <c r="M3104" t="n">
        <v>0</v>
      </c>
    </row>
    <row r="3105" spans="1:13">
      <c r="A3105" s="1">
        <f>HYPERLINK("http://www.twitter.com/NathanBLawrence/status/982303114404524032", "982303114404524032")</f>
        <v/>
      </c>
      <c r="B3105" s="2" t="n">
        <v>43196.71165509259</v>
      </c>
      <c r="C3105" t="n">
        <v>0</v>
      </c>
      <c r="D3105" t="n">
        <v>0</v>
      </c>
      <c r="E3105" t="s">
        <v>3053</v>
      </c>
      <c r="F3105" t="s"/>
      <c r="G3105" t="s"/>
      <c r="H3105" t="s"/>
      <c r="I3105" t="s"/>
      <c r="J3105" t="n">
        <v>-0.607</v>
      </c>
      <c r="K3105" t="n">
        <v>0.146</v>
      </c>
      <c r="L3105" t="n">
        <v>0.786</v>
      </c>
      <c r="M3105" t="n">
        <v>0.068</v>
      </c>
    </row>
    <row r="3106" spans="1:13">
      <c r="A3106" s="1">
        <f>HYPERLINK("http://www.twitter.com/NathanBLawrence/status/982302869146783744", "982302869146783744")</f>
        <v/>
      </c>
      <c r="B3106" s="2" t="n">
        <v>43196.71097222222</v>
      </c>
      <c r="C3106" t="n">
        <v>0</v>
      </c>
      <c r="D3106" t="n">
        <v>2</v>
      </c>
      <c r="E3106" t="s">
        <v>3054</v>
      </c>
      <c r="F3106" t="s"/>
      <c r="G3106" t="s"/>
      <c r="H3106" t="s"/>
      <c r="I3106" t="s"/>
      <c r="J3106" t="n">
        <v>0</v>
      </c>
      <c r="K3106" t="n">
        <v>0</v>
      </c>
      <c r="L3106" t="n">
        <v>1</v>
      </c>
      <c r="M3106" t="n">
        <v>0</v>
      </c>
    </row>
    <row r="3107" spans="1:13">
      <c r="A3107" s="1">
        <f>HYPERLINK("http://www.twitter.com/NathanBLawrence/status/982302842156404736", "982302842156404736")</f>
        <v/>
      </c>
      <c r="B3107" s="2" t="n">
        <v>43196.71090277778</v>
      </c>
      <c r="C3107" t="n">
        <v>0</v>
      </c>
      <c r="D3107" t="n">
        <v>3</v>
      </c>
      <c r="E3107" t="s">
        <v>3055</v>
      </c>
      <c r="F3107" t="s"/>
      <c r="G3107" t="s"/>
      <c r="H3107" t="s"/>
      <c r="I3107" t="s"/>
      <c r="J3107" t="n">
        <v>0.5423</v>
      </c>
      <c r="K3107" t="n">
        <v>0</v>
      </c>
      <c r="L3107" t="n">
        <v>0.6899999999999999</v>
      </c>
      <c r="M3107" t="n">
        <v>0.31</v>
      </c>
    </row>
    <row r="3108" spans="1:13">
      <c r="A3108" s="1">
        <f>HYPERLINK("http://www.twitter.com/NathanBLawrence/status/982302828466196480", "982302828466196480")</f>
        <v/>
      </c>
      <c r="B3108" s="2" t="n">
        <v>43196.71086805555</v>
      </c>
      <c r="C3108" t="n">
        <v>0</v>
      </c>
      <c r="D3108" t="n">
        <v>1</v>
      </c>
      <c r="E3108" t="s">
        <v>3056</v>
      </c>
      <c r="F3108">
        <f>HYPERLINK("https://video.twimg.com/ext_tw_video/982126507215618051/pu/vid/1280x720/URL9lnidsvk2iSHF.mp4?tag=2", "https://video.twimg.com/ext_tw_video/982126507215618051/pu/vid/1280x720/URL9lnidsvk2iSHF.mp4?tag=2")</f>
        <v/>
      </c>
      <c r="G3108" t="s"/>
      <c r="H3108" t="s"/>
      <c r="I3108" t="s"/>
      <c r="J3108" t="n">
        <v>0</v>
      </c>
      <c r="K3108" t="n">
        <v>0</v>
      </c>
      <c r="L3108" t="n">
        <v>1</v>
      </c>
      <c r="M3108" t="n">
        <v>0</v>
      </c>
    </row>
    <row r="3109" spans="1:13">
      <c r="A3109" s="1">
        <f>HYPERLINK("http://www.twitter.com/NathanBLawrence/status/982302432846852097", "982302432846852097")</f>
        <v/>
      </c>
      <c r="B3109" s="2" t="n">
        <v>43196.70976851852</v>
      </c>
      <c r="C3109" t="n">
        <v>0</v>
      </c>
      <c r="D3109" t="n">
        <v>0</v>
      </c>
      <c r="E3109" t="s">
        <v>3057</v>
      </c>
      <c r="F3109" t="s"/>
      <c r="G3109" t="s"/>
      <c r="H3109" t="s"/>
      <c r="I3109" t="s"/>
      <c r="J3109" t="n">
        <v>-0.2732</v>
      </c>
      <c r="K3109" t="n">
        <v>0.224</v>
      </c>
      <c r="L3109" t="n">
        <v>0.621</v>
      </c>
      <c r="M3109" t="n">
        <v>0.155</v>
      </c>
    </row>
    <row r="3110" spans="1:13">
      <c r="A3110" s="1">
        <f>HYPERLINK("http://www.twitter.com/NathanBLawrence/status/982302231826518017", "982302231826518017")</f>
        <v/>
      </c>
      <c r="B3110" s="2" t="n">
        <v>43196.70922453704</v>
      </c>
      <c r="C3110" t="n">
        <v>0</v>
      </c>
      <c r="D3110" t="n">
        <v>0</v>
      </c>
      <c r="E3110" t="s">
        <v>3058</v>
      </c>
      <c r="F3110" t="s"/>
      <c r="G3110" t="s"/>
      <c r="H3110" t="s"/>
      <c r="I3110" t="s"/>
      <c r="J3110" t="n">
        <v>0.7096</v>
      </c>
      <c r="K3110" t="n">
        <v>0</v>
      </c>
      <c r="L3110" t="n">
        <v>0.763</v>
      </c>
      <c r="M3110" t="n">
        <v>0.237</v>
      </c>
    </row>
    <row r="3111" spans="1:13">
      <c r="A3111" s="1">
        <f>HYPERLINK("http://www.twitter.com/NathanBLawrence/status/982301998593781760", "982301998593781760")</f>
        <v/>
      </c>
      <c r="B3111" s="2" t="n">
        <v>43196.70857638889</v>
      </c>
      <c r="C3111" t="n">
        <v>0</v>
      </c>
      <c r="D3111" t="n">
        <v>8</v>
      </c>
      <c r="E3111" t="s">
        <v>3059</v>
      </c>
      <c r="F3111" t="s"/>
      <c r="G3111" t="s"/>
      <c r="H3111" t="s"/>
      <c r="I3111" t="s"/>
      <c r="J3111" t="n">
        <v>0.3612</v>
      </c>
      <c r="K3111" t="n">
        <v>0</v>
      </c>
      <c r="L3111" t="n">
        <v>0.889</v>
      </c>
      <c r="M3111" t="n">
        <v>0.111</v>
      </c>
    </row>
    <row r="3112" spans="1:13">
      <c r="A3112" s="1">
        <f>HYPERLINK("http://www.twitter.com/NathanBLawrence/status/982301575686316032", "982301575686316032")</f>
        <v/>
      </c>
      <c r="B3112" s="2" t="n">
        <v>43196.7074074074</v>
      </c>
      <c r="C3112" t="n">
        <v>0</v>
      </c>
      <c r="D3112" t="n">
        <v>8</v>
      </c>
      <c r="E3112" t="s">
        <v>3060</v>
      </c>
      <c r="F3112" t="s"/>
      <c r="G3112" t="s"/>
      <c r="H3112" t="s"/>
      <c r="I3112" t="s"/>
      <c r="J3112" t="n">
        <v>-0.2023</v>
      </c>
      <c r="K3112" t="n">
        <v>0.123</v>
      </c>
      <c r="L3112" t="n">
        <v>0.784</v>
      </c>
      <c r="M3112" t="n">
        <v>0.093</v>
      </c>
    </row>
    <row r="3113" spans="1:13">
      <c r="A3113" s="1">
        <f>HYPERLINK("http://www.twitter.com/NathanBLawrence/status/982301493163364354", "982301493163364354")</f>
        <v/>
      </c>
      <c r="B3113" s="2" t="n">
        <v>43196.70717592593</v>
      </c>
      <c r="C3113" t="n">
        <v>0</v>
      </c>
      <c r="D3113" t="n">
        <v>3</v>
      </c>
      <c r="E3113" t="s">
        <v>3061</v>
      </c>
      <c r="F3113">
        <f>HYPERLINK("http://pbs.twimg.com/media/DaG25nRVAAEDse7.jpg", "http://pbs.twimg.com/media/DaG25nRVAAEDse7.jpg")</f>
        <v/>
      </c>
      <c r="G3113" t="s"/>
      <c r="H3113" t="s"/>
      <c r="I3113" t="s"/>
      <c r="J3113" t="n">
        <v>-0.8312</v>
      </c>
      <c r="K3113" t="n">
        <v>0.291</v>
      </c>
      <c r="L3113" t="n">
        <v>0.709</v>
      </c>
      <c r="M3113" t="n">
        <v>0</v>
      </c>
    </row>
    <row r="3114" spans="1:13">
      <c r="A3114" s="1">
        <f>HYPERLINK("http://www.twitter.com/NathanBLawrence/status/982301349101625344", "982301349101625344")</f>
        <v/>
      </c>
      <c r="B3114" s="2" t="n">
        <v>43196.7067824074</v>
      </c>
      <c r="C3114" t="n">
        <v>0</v>
      </c>
      <c r="D3114" t="n">
        <v>5</v>
      </c>
      <c r="E3114" t="s">
        <v>3062</v>
      </c>
      <c r="F3114" t="s"/>
      <c r="G3114" t="s"/>
      <c r="H3114" t="s"/>
      <c r="I3114" t="s"/>
      <c r="J3114" t="n">
        <v>-0.4939</v>
      </c>
      <c r="K3114" t="n">
        <v>0.151</v>
      </c>
      <c r="L3114" t="n">
        <v>0.849</v>
      </c>
      <c r="M3114" t="n">
        <v>0</v>
      </c>
    </row>
    <row r="3115" spans="1:13">
      <c r="A3115" s="1">
        <f>HYPERLINK("http://www.twitter.com/NathanBLawrence/status/982301291878715392", "982301291878715392")</f>
        <v/>
      </c>
      <c r="B3115" s="2" t="n">
        <v>43196.70662037037</v>
      </c>
      <c r="C3115" t="n">
        <v>0</v>
      </c>
      <c r="D3115" t="n">
        <v>8</v>
      </c>
      <c r="E3115" t="s">
        <v>3063</v>
      </c>
      <c r="F3115" t="s"/>
      <c r="G3115" t="s"/>
      <c r="H3115" t="s"/>
      <c r="I3115" t="s"/>
      <c r="J3115" t="n">
        <v>-0.3612</v>
      </c>
      <c r="K3115" t="n">
        <v>0.128</v>
      </c>
      <c r="L3115" t="n">
        <v>0.872</v>
      </c>
      <c r="M3115" t="n">
        <v>0</v>
      </c>
    </row>
    <row r="3116" spans="1:13">
      <c r="A3116" s="1">
        <f>HYPERLINK("http://www.twitter.com/NathanBLawrence/status/982301229337448448", "982301229337448448")</f>
        <v/>
      </c>
      <c r="B3116" s="2" t="n">
        <v>43196.70645833333</v>
      </c>
      <c r="C3116" t="n">
        <v>0</v>
      </c>
      <c r="D3116" t="n">
        <v>6</v>
      </c>
      <c r="E3116" t="s">
        <v>3064</v>
      </c>
      <c r="F3116" t="s"/>
      <c r="G3116" t="s"/>
      <c r="H3116" t="s"/>
      <c r="I3116" t="s"/>
      <c r="J3116" t="n">
        <v>-0.296</v>
      </c>
      <c r="K3116" t="n">
        <v>0.095</v>
      </c>
      <c r="L3116" t="n">
        <v>0.905</v>
      </c>
      <c r="M3116" t="n">
        <v>0</v>
      </c>
    </row>
    <row r="3117" spans="1:13">
      <c r="A3117" s="1">
        <f>HYPERLINK("http://www.twitter.com/NathanBLawrence/status/982301157505814530", "982301157505814530")</f>
        <v/>
      </c>
      <c r="B3117" s="2" t="n">
        <v>43196.70625</v>
      </c>
      <c r="C3117" t="n">
        <v>0</v>
      </c>
      <c r="D3117" t="n">
        <v>7</v>
      </c>
      <c r="E3117" t="s">
        <v>3065</v>
      </c>
      <c r="F3117">
        <f>HYPERLINK("http://pbs.twimg.com/media/DaDT5PNWAAAna5U.jpg", "http://pbs.twimg.com/media/DaDT5PNWAAAna5U.jpg")</f>
        <v/>
      </c>
      <c r="G3117" t="s"/>
      <c r="H3117" t="s"/>
      <c r="I3117" t="s"/>
      <c r="J3117" t="n">
        <v>0</v>
      </c>
      <c r="K3117" t="n">
        <v>0</v>
      </c>
      <c r="L3117" t="n">
        <v>1</v>
      </c>
      <c r="M3117" t="n">
        <v>0</v>
      </c>
    </row>
    <row r="3118" spans="1:13">
      <c r="A3118" s="1">
        <f>HYPERLINK("http://www.twitter.com/NathanBLawrence/status/982300955436822530", "982300955436822530")</f>
        <v/>
      </c>
      <c r="B3118" s="2" t="n">
        <v>43196.70569444444</v>
      </c>
      <c r="C3118" t="n">
        <v>0</v>
      </c>
      <c r="D3118" t="n">
        <v>8</v>
      </c>
      <c r="E3118" t="s">
        <v>3066</v>
      </c>
      <c r="F3118" t="s"/>
      <c r="G3118" t="s"/>
      <c r="H3118" t="s"/>
      <c r="I3118" t="s"/>
      <c r="J3118" t="n">
        <v>0.3612</v>
      </c>
      <c r="K3118" t="n">
        <v>0</v>
      </c>
      <c r="L3118" t="n">
        <v>0.894</v>
      </c>
      <c r="M3118" t="n">
        <v>0.106</v>
      </c>
    </row>
    <row r="3119" spans="1:13">
      <c r="A3119" s="1">
        <f>HYPERLINK("http://www.twitter.com/NathanBLawrence/status/982300888579629056", "982300888579629056")</f>
        <v/>
      </c>
      <c r="B3119" s="2" t="n">
        <v>43196.70550925926</v>
      </c>
      <c r="C3119" t="n">
        <v>0</v>
      </c>
      <c r="D3119" t="n">
        <v>8</v>
      </c>
      <c r="E3119" t="s">
        <v>3067</v>
      </c>
      <c r="F3119">
        <f>HYPERLINK("https://video.twimg.com/ext_tw_video/982125425513005057/pu/vid/1280x720/nFHabSWdEsWvCKeV.mp4?tag=2", "https://video.twimg.com/ext_tw_video/982125425513005057/pu/vid/1280x720/nFHabSWdEsWvCKeV.mp4?tag=2")</f>
        <v/>
      </c>
      <c r="G3119" t="s"/>
      <c r="H3119" t="s"/>
      <c r="I3119" t="s"/>
      <c r="J3119" t="n">
        <v>-0.34</v>
      </c>
      <c r="K3119" t="n">
        <v>0.107</v>
      </c>
      <c r="L3119" t="n">
        <v>0.893</v>
      </c>
      <c r="M3119" t="n">
        <v>0</v>
      </c>
    </row>
    <row r="3120" spans="1:13">
      <c r="A3120" s="1">
        <f>HYPERLINK("http://www.twitter.com/NathanBLawrence/status/982135293460398080", "982135293460398080")</f>
        <v/>
      </c>
      <c r="B3120" s="2" t="n">
        <v>43196.24855324074</v>
      </c>
      <c r="C3120" t="n">
        <v>0</v>
      </c>
      <c r="D3120" t="n">
        <v>498</v>
      </c>
      <c r="E3120" t="s">
        <v>3068</v>
      </c>
      <c r="F3120" t="s"/>
      <c r="G3120" t="s"/>
      <c r="H3120" t="s"/>
      <c r="I3120" t="s"/>
      <c r="J3120" t="n">
        <v>-0.743</v>
      </c>
      <c r="K3120" t="n">
        <v>0.406</v>
      </c>
      <c r="L3120" t="n">
        <v>0.478</v>
      </c>
      <c r="M3120" t="n">
        <v>0.116</v>
      </c>
    </row>
    <row r="3121" spans="1:13">
      <c r="A3121" s="1">
        <f>HYPERLINK("http://www.twitter.com/NathanBLawrence/status/982135152741527553", "982135152741527553")</f>
        <v/>
      </c>
      <c r="B3121" s="2" t="n">
        <v>43196.2481712963</v>
      </c>
      <c r="C3121" t="n">
        <v>0</v>
      </c>
      <c r="D3121" t="n">
        <v>0</v>
      </c>
      <c r="E3121" t="s">
        <v>3069</v>
      </c>
      <c r="F3121" t="s"/>
      <c r="G3121" t="s"/>
      <c r="H3121" t="s"/>
      <c r="I3121" t="s"/>
      <c r="J3121" t="n">
        <v>0</v>
      </c>
      <c r="K3121" t="n">
        <v>0</v>
      </c>
      <c r="L3121" t="n">
        <v>1</v>
      </c>
      <c r="M3121" t="n">
        <v>0</v>
      </c>
    </row>
    <row r="3122" spans="1:13">
      <c r="A3122" s="1">
        <f>HYPERLINK("http://www.twitter.com/NathanBLawrence/status/982134940396437505", "982134940396437505")</f>
        <v/>
      </c>
      <c r="B3122" s="2" t="n">
        <v>43196.24758101852</v>
      </c>
      <c r="C3122" t="n">
        <v>0</v>
      </c>
      <c r="D3122" t="n">
        <v>5</v>
      </c>
      <c r="E3122" t="s">
        <v>3070</v>
      </c>
      <c r="F3122" t="s"/>
      <c r="G3122" t="s"/>
      <c r="H3122" t="s"/>
      <c r="I3122" t="s"/>
      <c r="J3122" t="n">
        <v>0.8316</v>
      </c>
      <c r="K3122" t="n">
        <v>0</v>
      </c>
      <c r="L3122" t="n">
        <v>0.709</v>
      </c>
      <c r="M3122" t="n">
        <v>0.291</v>
      </c>
    </row>
    <row r="3123" spans="1:13">
      <c r="A3123" s="1">
        <f>HYPERLINK("http://www.twitter.com/NathanBLawrence/status/982134866295717888", "982134866295717888")</f>
        <v/>
      </c>
      <c r="B3123" s="2" t="n">
        <v>43196.24737268518</v>
      </c>
      <c r="C3123" t="n">
        <v>0</v>
      </c>
      <c r="D3123" t="n">
        <v>1</v>
      </c>
      <c r="E3123" t="s">
        <v>3071</v>
      </c>
      <c r="F3123" t="s"/>
      <c r="G3123" t="s"/>
      <c r="H3123" t="s"/>
      <c r="I3123" t="s"/>
      <c r="J3123" t="n">
        <v>0</v>
      </c>
      <c r="K3123" t="n">
        <v>0</v>
      </c>
      <c r="L3123" t="n">
        <v>1</v>
      </c>
      <c r="M3123" t="n">
        <v>0</v>
      </c>
    </row>
    <row r="3124" spans="1:13">
      <c r="A3124" s="1">
        <f>HYPERLINK("http://www.twitter.com/NathanBLawrence/status/982132142393077760", "982132142393077760")</f>
        <v/>
      </c>
      <c r="B3124" s="2" t="n">
        <v>43196.23986111111</v>
      </c>
      <c r="C3124" t="n">
        <v>0</v>
      </c>
      <c r="D3124" t="n">
        <v>37</v>
      </c>
      <c r="E3124" t="s">
        <v>3072</v>
      </c>
      <c r="F3124" t="s"/>
      <c r="G3124" t="s"/>
      <c r="H3124" t="s"/>
      <c r="I3124" t="s"/>
      <c r="J3124" t="n">
        <v>0</v>
      </c>
      <c r="K3124" t="n">
        <v>0</v>
      </c>
      <c r="L3124" t="n">
        <v>1</v>
      </c>
      <c r="M3124" t="n">
        <v>0</v>
      </c>
    </row>
    <row r="3125" spans="1:13">
      <c r="A3125" s="1">
        <f>HYPERLINK("http://www.twitter.com/NathanBLawrence/status/982068747463688192", "982068747463688192")</f>
        <v/>
      </c>
      <c r="B3125" s="2" t="n">
        <v>43196.06493055556</v>
      </c>
      <c r="C3125" t="n">
        <v>0</v>
      </c>
      <c r="D3125" t="n">
        <v>1</v>
      </c>
      <c r="E3125" t="s">
        <v>3073</v>
      </c>
      <c r="F3125" t="s"/>
      <c r="G3125" t="s"/>
      <c r="H3125" t="s"/>
      <c r="I3125" t="s"/>
      <c r="J3125" t="n">
        <v>-0.184</v>
      </c>
      <c r="K3125" t="n">
        <v>0.13</v>
      </c>
      <c r="L3125" t="n">
        <v>0.768</v>
      </c>
      <c r="M3125" t="n">
        <v>0.101</v>
      </c>
    </row>
    <row r="3126" spans="1:13">
      <c r="A3126" s="1">
        <f>HYPERLINK("http://www.twitter.com/NathanBLawrence/status/982068663393144832", "982068663393144832")</f>
        <v/>
      </c>
      <c r="B3126" s="2" t="n">
        <v>43196.0646875</v>
      </c>
      <c r="C3126" t="n">
        <v>0</v>
      </c>
      <c r="D3126" t="n">
        <v>1</v>
      </c>
      <c r="E3126" t="s">
        <v>3074</v>
      </c>
      <c r="F3126" t="s"/>
      <c r="G3126" t="s"/>
      <c r="H3126" t="s"/>
      <c r="I3126" t="s"/>
      <c r="J3126" t="n">
        <v>0</v>
      </c>
      <c r="K3126" t="n">
        <v>0</v>
      </c>
      <c r="L3126" t="n">
        <v>1</v>
      </c>
      <c r="M3126" t="n">
        <v>0</v>
      </c>
    </row>
    <row r="3127" spans="1:13">
      <c r="A3127" s="1">
        <f>HYPERLINK("http://www.twitter.com/NathanBLawrence/status/982049831312117760", "982049831312117760")</f>
        <v/>
      </c>
      <c r="B3127" s="2" t="n">
        <v>43196.01273148148</v>
      </c>
      <c r="C3127" t="n">
        <v>0</v>
      </c>
      <c r="D3127" t="n">
        <v>12</v>
      </c>
      <c r="E3127" t="s">
        <v>2945</v>
      </c>
      <c r="F3127">
        <f>HYPERLINK("https://video.twimg.com/ext_tw_video/982041706655821824/pu/vid/1280x720/XkXFuEfjhWYnivxK.mp4?tag=2", "https://video.twimg.com/ext_tw_video/982041706655821824/pu/vid/1280x720/XkXFuEfjhWYnivxK.mp4?tag=2")</f>
        <v/>
      </c>
      <c r="G3127" t="s"/>
      <c r="H3127" t="s"/>
      <c r="I3127" t="s"/>
      <c r="J3127" t="n">
        <v>0.762</v>
      </c>
      <c r="K3127" t="n">
        <v>0</v>
      </c>
      <c r="L3127" t="n">
        <v>0.743</v>
      </c>
      <c r="M3127" t="n">
        <v>0.257</v>
      </c>
    </row>
    <row r="3128" spans="1:13">
      <c r="A3128" s="1">
        <f>HYPERLINK("http://www.twitter.com/NathanBLawrence/status/982031974155112448", "982031974155112448")</f>
        <v/>
      </c>
      <c r="B3128" s="2" t="n">
        <v>43195.96344907407</v>
      </c>
      <c r="C3128" t="n">
        <v>0</v>
      </c>
      <c r="D3128" t="n">
        <v>0</v>
      </c>
      <c r="E3128" t="s">
        <v>3075</v>
      </c>
      <c r="F3128" t="s"/>
      <c r="G3128" t="s"/>
      <c r="H3128" t="s"/>
      <c r="I3128" t="s"/>
      <c r="J3128" t="n">
        <v>-0.7906</v>
      </c>
      <c r="K3128" t="n">
        <v>0.269</v>
      </c>
      <c r="L3128" t="n">
        <v>0.731</v>
      </c>
      <c r="M3128" t="n">
        <v>0</v>
      </c>
    </row>
    <row r="3129" spans="1:13">
      <c r="A3129" s="1">
        <f>HYPERLINK("http://www.twitter.com/NathanBLawrence/status/982022850713391104", "982022850713391104")</f>
        <v/>
      </c>
      <c r="B3129" s="2" t="n">
        <v>43195.93827546296</v>
      </c>
      <c r="C3129" t="n">
        <v>0</v>
      </c>
      <c r="D3129" t="n">
        <v>13</v>
      </c>
      <c r="E3129" t="s">
        <v>3076</v>
      </c>
      <c r="F3129">
        <f>HYPERLINK("http://pbs.twimg.com/media/DaChT8eWsAAmhOA.jpg", "http://pbs.twimg.com/media/DaChT8eWsAAmhOA.jpg")</f>
        <v/>
      </c>
      <c r="G3129" t="s"/>
      <c r="H3129" t="s"/>
      <c r="I3129" t="s"/>
      <c r="J3129" t="n">
        <v>-0.4199</v>
      </c>
      <c r="K3129" t="n">
        <v>0.122</v>
      </c>
      <c r="L3129" t="n">
        <v>0.878</v>
      </c>
      <c r="M3129" t="n">
        <v>0</v>
      </c>
    </row>
    <row r="3130" spans="1:13">
      <c r="A3130" s="1">
        <f>HYPERLINK("http://www.twitter.com/NathanBLawrence/status/982002660818784257", "982002660818784257")</f>
        <v/>
      </c>
      <c r="B3130" s="2" t="n">
        <v>43195.88255787037</v>
      </c>
      <c r="C3130" t="n">
        <v>0</v>
      </c>
      <c r="D3130" t="n">
        <v>46</v>
      </c>
      <c r="E3130" t="s">
        <v>3077</v>
      </c>
      <c r="F3130" t="s"/>
      <c r="G3130" t="s"/>
      <c r="H3130" t="s"/>
      <c r="I3130" t="s"/>
      <c r="J3130" t="n">
        <v>0.34</v>
      </c>
      <c r="K3130" t="n">
        <v>0.199</v>
      </c>
      <c r="L3130" t="n">
        <v>0.588</v>
      </c>
      <c r="M3130" t="n">
        <v>0.212</v>
      </c>
    </row>
    <row r="3131" spans="1:13">
      <c r="A3131" s="1">
        <f>HYPERLINK("http://www.twitter.com/NathanBLawrence/status/981995638090010630", "981995638090010630")</f>
        <v/>
      </c>
      <c r="B3131" s="2" t="n">
        <v>43195.86318287037</v>
      </c>
      <c r="C3131" t="n">
        <v>0</v>
      </c>
      <c r="D3131" t="n">
        <v>59</v>
      </c>
      <c r="E3131" t="s">
        <v>3078</v>
      </c>
      <c r="F3131" t="s"/>
      <c r="G3131" t="s"/>
      <c r="H3131" t="s"/>
      <c r="I3131" t="s"/>
      <c r="J3131" t="n">
        <v>0.6597</v>
      </c>
      <c r="K3131" t="n">
        <v>0</v>
      </c>
      <c r="L3131" t="n">
        <v>0.526</v>
      </c>
      <c r="M3131" t="n">
        <v>0.474</v>
      </c>
    </row>
    <row r="3132" spans="1:13">
      <c r="A3132" s="1">
        <f>HYPERLINK("http://www.twitter.com/NathanBLawrence/status/981989824096886784", "981989824096886784")</f>
        <v/>
      </c>
      <c r="B3132" s="2" t="n">
        <v>43195.8471412037</v>
      </c>
      <c r="C3132" t="n">
        <v>0</v>
      </c>
      <c r="D3132" t="n">
        <v>0</v>
      </c>
      <c r="E3132" t="s">
        <v>3079</v>
      </c>
      <c r="F3132" t="s"/>
      <c r="G3132" t="s"/>
      <c r="H3132" t="s"/>
      <c r="I3132" t="s"/>
      <c r="J3132" t="n">
        <v>-0.3089</v>
      </c>
      <c r="K3132" t="n">
        <v>0.131</v>
      </c>
      <c r="L3132" t="n">
        <v>0.869</v>
      </c>
      <c r="M3132" t="n">
        <v>0</v>
      </c>
    </row>
    <row r="3133" spans="1:13">
      <c r="A3133" s="1">
        <f>HYPERLINK("http://www.twitter.com/NathanBLawrence/status/981988146924670977", "981988146924670977")</f>
        <v/>
      </c>
      <c r="B3133" s="2" t="n">
        <v>43195.84251157408</v>
      </c>
      <c r="C3133" t="n">
        <v>0</v>
      </c>
      <c r="D3133" t="n">
        <v>3</v>
      </c>
      <c r="E3133" t="s">
        <v>3080</v>
      </c>
      <c r="F3133" t="s"/>
      <c r="G3133" t="s"/>
      <c r="H3133" t="s"/>
      <c r="I3133" t="s"/>
      <c r="J3133" t="n">
        <v>0.1511</v>
      </c>
      <c r="K3133" t="n">
        <v>0</v>
      </c>
      <c r="L3133" t="n">
        <v>0.914</v>
      </c>
      <c r="M3133" t="n">
        <v>0.08599999999999999</v>
      </c>
    </row>
    <row r="3134" spans="1:13">
      <c r="A3134" s="1">
        <f>HYPERLINK("http://www.twitter.com/NathanBLawrence/status/981982803356278784", "981982803356278784")</f>
        <v/>
      </c>
      <c r="B3134" s="2" t="n">
        <v>43195.82776620371</v>
      </c>
      <c r="C3134" t="n">
        <v>0</v>
      </c>
      <c r="D3134" t="n">
        <v>130</v>
      </c>
      <c r="E3134" t="s">
        <v>3081</v>
      </c>
      <c r="F3134" t="s"/>
      <c r="G3134" t="s"/>
      <c r="H3134" t="s"/>
      <c r="I3134" t="s"/>
      <c r="J3134" t="n">
        <v>0</v>
      </c>
      <c r="K3134" t="n">
        <v>0</v>
      </c>
      <c r="L3134" t="n">
        <v>1</v>
      </c>
      <c r="M3134" t="n">
        <v>0</v>
      </c>
    </row>
    <row r="3135" spans="1:13">
      <c r="A3135" s="1">
        <f>HYPERLINK("http://www.twitter.com/NathanBLawrence/status/981982561256792064", "981982561256792064")</f>
        <v/>
      </c>
      <c r="B3135" s="2" t="n">
        <v>43195.82709490741</v>
      </c>
      <c r="C3135" t="n">
        <v>0</v>
      </c>
      <c r="D3135" t="n">
        <v>783</v>
      </c>
      <c r="E3135" t="s">
        <v>3082</v>
      </c>
      <c r="F3135" t="s"/>
      <c r="G3135" t="s"/>
      <c r="H3135" t="s"/>
      <c r="I3135" t="s"/>
      <c r="J3135" t="n">
        <v>-0.7506</v>
      </c>
      <c r="K3135" t="n">
        <v>0.334</v>
      </c>
      <c r="L3135" t="n">
        <v>0.457</v>
      </c>
      <c r="M3135" t="n">
        <v>0.209</v>
      </c>
    </row>
    <row r="3136" spans="1:13">
      <c r="A3136" s="1">
        <f>HYPERLINK("http://www.twitter.com/NathanBLawrence/status/981982507322224640", "981982507322224640")</f>
        <v/>
      </c>
      <c r="B3136" s="2" t="n">
        <v>43195.82694444444</v>
      </c>
      <c r="C3136" t="n">
        <v>0</v>
      </c>
      <c r="D3136" t="n">
        <v>109</v>
      </c>
      <c r="E3136" t="s">
        <v>3083</v>
      </c>
      <c r="F3136">
        <f>HYPERLINK("http://pbs.twimg.com/media/DZo6C8iVAAEyRvN.jpg", "http://pbs.twimg.com/media/DZo6C8iVAAEyRvN.jpg")</f>
        <v/>
      </c>
      <c r="G3136" t="s"/>
      <c r="H3136" t="s"/>
      <c r="I3136" t="s"/>
      <c r="J3136" t="n">
        <v>0</v>
      </c>
      <c r="K3136" t="n">
        <v>0</v>
      </c>
      <c r="L3136" t="n">
        <v>1</v>
      </c>
      <c r="M3136" t="n">
        <v>0</v>
      </c>
    </row>
    <row r="3137" spans="1:13">
      <c r="A3137" s="1">
        <f>HYPERLINK("http://www.twitter.com/NathanBLawrence/status/981982472970874882", "981982472970874882")</f>
        <v/>
      </c>
      <c r="B3137" s="2" t="n">
        <v>43195.82685185185</v>
      </c>
      <c r="C3137" t="n">
        <v>0</v>
      </c>
      <c r="D3137" t="n">
        <v>295</v>
      </c>
      <c r="E3137" t="s">
        <v>3084</v>
      </c>
      <c r="F3137">
        <f>HYPERLINK("http://pbs.twimg.com/media/DaB0k84X4AU1VSZ.jpg", "http://pbs.twimg.com/media/DaB0k84X4AU1VSZ.jpg")</f>
        <v/>
      </c>
      <c r="G3137" t="s"/>
      <c r="H3137" t="s"/>
      <c r="I3137" t="s"/>
      <c r="J3137" t="n">
        <v>0</v>
      </c>
      <c r="K3137" t="n">
        <v>0</v>
      </c>
      <c r="L3137" t="n">
        <v>1</v>
      </c>
      <c r="M3137" t="n">
        <v>0</v>
      </c>
    </row>
    <row r="3138" spans="1:13">
      <c r="A3138" s="1">
        <f>HYPERLINK("http://www.twitter.com/NathanBLawrence/status/981982411012694016", "981982411012694016")</f>
        <v/>
      </c>
      <c r="B3138" s="2" t="n">
        <v>43195.82667824074</v>
      </c>
      <c r="C3138" t="n">
        <v>0</v>
      </c>
      <c r="D3138" t="n">
        <v>19</v>
      </c>
      <c r="E3138" t="s">
        <v>3085</v>
      </c>
      <c r="F3138">
        <f>HYPERLINK("http://pbs.twimg.com/media/DaCwBlKXkAUyqEy.jpg", "http://pbs.twimg.com/media/DaCwBlKXkAUyqEy.jpg")</f>
        <v/>
      </c>
      <c r="G3138" t="s"/>
      <c r="H3138" t="s"/>
      <c r="I3138" t="s"/>
      <c r="J3138" t="n">
        <v>-0.6808</v>
      </c>
      <c r="K3138" t="n">
        <v>0.223</v>
      </c>
      <c r="L3138" t="n">
        <v>0.777</v>
      </c>
      <c r="M3138" t="n">
        <v>0</v>
      </c>
    </row>
    <row r="3139" spans="1:13">
      <c r="A3139" s="1">
        <f>HYPERLINK("http://www.twitter.com/NathanBLawrence/status/981982378028683264", "981982378028683264")</f>
        <v/>
      </c>
      <c r="B3139" s="2" t="n">
        <v>43195.82658564814</v>
      </c>
      <c r="C3139" t="n">
        <v>0</v>
      </c>
      <c r="D3139" t="n">
        <v>113</v>
      </c>
      <c r="E3139" t="s">
        <v>3086</v>
      </c>
      <c r="F3139">
        <f>HYPERLINK("http://pbs.twimg.com/media/DaA-7IMUMAEnW3M.jpg", "http://pbs.twimg.com/media/DaA-7IMUMAEnW3M.jpg")</f>
        <v/>
      </c>
      <c r="G3139" t="s"/>
      <c r="H3139" t="s"/>
      <c r="I3139" t="s"/>
      <c r="J3139" t="n">
        <v>0.836</v>
      </c>
      <c r="K3139" t="n">
        <v>0.076</v>
      </c>
      <c r="L3139" t="n">
        <v>0.578</v>
      </c>
      <c r="M3139" t="n">
        <v>0.347</v>
      </c>
    </row>
    <row r="3140" spans="1:13">
      <c r="A3140" s="1">
        <f>HYPERLINK("http://www.twitter.com/NathanBLawrence/status/981982318452727808", "981982318452727808")</f>
        <v/>
      </c>
      <c r="B3140" s="2" t="n">
        <v>43195.82642361111</v>
      </c>
      <c r="C3140" t="n">
        <v>0</v>
      </c>
      <c r="D3140" t="n">
        <v>1557</v>
      </c>
      <c r="E3140" t="s">
        <v>3087</v>
      </c>
      <c r="F3140">
        <f>HYPERLINK("https://video.twimg.com/ext_tw_video/981941118106460160/pu/vid/1280x720/WriZHk-Z-XylVykr.mp4?tag=2", "https://video.twimg.com/ext_tw_video/981941118106460160/pu/vid/1280x720/WriZHk-Z-XylVykr.mp4?tag=2")</f>
        <v/>
      </c>
      <c r="G3140" t="s"/>
      <c r="H3140" t="s"/>
      <c r="I3140" t="s"/>
      <c r="J3140" t="n">
        <v>-0.636</v>
      </c>
      <c r="K3140" t="n">
        <v>0.189</v>
      </c>
      <c r="L3140" t="n">
        <v>0.8110000000000001</v>
      </c>
      <c r="M3140" t="n">
        <v>0</v>
      </c>
    </row>
    <row r="3141" spans="1:13">
      <c r="A3141" s="1">
        <f>HYPERLINK("http://www.twitter.com/NathanBLawrence/status/981982303193911296", "981982303193911296")</f>
        <v/>
      </c>
      <c r="B3141" s="2" t="n">
        <v>43195.82638888889</v>
      </c>
      <c r="C3141" t="n">
        <v>0</v>
      </c>
      <c r="D3141" t="n">
        <v>24</v>
      </c>
      <c r="E3141" t="s">
        <v>3088</v>
      </c>
      <c r="F3141">
        <f>HYPERLINK("http://pbs.twimg.com/media/DZpQDl0UMAASAJB.jpg", "http://pbs.twimg.com/media/DZpQDl0UMAASAJB.jpg")</f>
        <v/>
      </c>
      <c r="G3141" t="s"/>
      <c r="H3141" t="s"/>
      <c r="I3141" t="s"/>
      <c r="J3141" t="n">
        <v>0.4019</v>
      </c>
      <c r="K3141" t="n">
        <v>0</v>
      </c>
      <c r="L3141" t="n">
        <v>0.803</v>
      </c>
      <c r="M3141" t="n">
        <v>0.197</v>
      </c>
    </row>
    <row r="3142" spans="1:13">
      <c r="A3142" s="1">
        <f>HYPERLINK("http://www.twitter.com/NathanBLawrence/status/981978387764924416", "981978387764924416")</f>
        <v/>
      </c>
      <c r="B3142" s="2" t="n">
        <v>43195.8155787037</v>
      </c>
      <c r="C3142" t="n">
        <v>0</v>
      </c>
      <c r="D3142" t="n">
        <v>6</v>
      </c>
      <c r="E3142" t="s">
        <v>3089</v>
      </c>
      <c r="F3142" t="s"/>
      <c r="G3142" t="s"/>
      <c r="H3142" t="s"/>
      <c r="I3142" t="s"/>
      <c r="J3142" t="n">
        <v>0</v>
      </c>
      <c r="K3142" t="n">
        <v>0</v>
      </c>
      <c r="L3142" t="n">
        <v>1</v>
      </c>
      <c r="M3142" t="n">
        <v>0</v>
      </c>
    </row>
    <row r="3143" spans="1:13">
      <c r="A3143" s="1">
        <f>HYPERLINK("http://www.twitter.com/NathanBLawrence/status/981978372300529664", "981978372300529664")</f>
        <v/>
      </c>
      <c r="B3143" s="2" t="n">
        <v>43195.81553240741</v>
      </c>
      <c r="C3143" t="n">
        <v>0</v>
      </c>
      <c r="D3143" t="n">
        <v>4</v>
      </c>
      <c r="E3143" t="s">
        <v>3090</v>
      </c>
      <c r="F3143">
        <f>HYPERLINK("http://pbs.twimg.com/media/DaBnBr-WkAEyD1e.jpg", "http://pbs.twimg.com/media/DaBnBr-WkAEyD1e.jpg")</f>
        <v/>
      </c>
      <c r="G3143" t="s"/>
      <c r="H3143" t="s"/>
      <c r="I3143" t="s"/>
      <c r="J3143" t="n">
        <v>-0.0772</v>
      </c>
      <c r="K3143" t="n">
        <v>0.058</v>
      </c>
      <c r="L3143" t="n">
        <v>0.9419999999999999</v>
      </c>
      <c r="M3143" t="n">
        <v>0</v>
      </c>
    </row>
    <row r="3144" spans="1:13">
      <c r="A3144" s="1">
        <f>HYPERLINK("http://www.twitter.com/NathanBLawrence/status/981978359168163841", "981978359168163841")</f>
        <v/>
      </c>
      <c r="B3144" s="2" t="n">
        <v>43195.81549768519</v>
      </c>
      <c r="C3144" t="n">
        <v>0</v>
      </c>
      <c r="D3144" t="n">
        <v>6</v>
      </c>
      <c r="E3144" t="s">
        <v>3091</v>
      </c>
      <c r="F3144">
        <f>HYPERLINK("https://video.twimg.com/ext_tw_video/981954305782697984/pu/vid/1280x720/8HYHqJSfh0zD7gqI.mp4?tag=2", "https://video.twimg.com/ext_tw_video/981954305782697984/pu/vid/1280x720/8HYHqJSfh0zD7gqI.mp4?tag=2")</f>
        <v/>
      </c>
      <c r="G3144" t="s"/>
      <c r="H3144" t="s"/>
      <c r="I3144" t="s"/>
      <c r="J3144" t="n">
        <v>0</v>
      </c>
      <c r="K3144" t="n">
        <v>0</v>
      </c>
      <c r="L3144" t="n">
        <v>1</v>
      </c>
      <c r="M3144" t="n">
        <v>0</v>
      </c>
    </row>
    <row r="3145" spans="1:13">
      <c r="A3145" s="1">
        <f>HYPERLINK("http://www.twitter.com/NathanBLawrence/status/981978345377329153", "981978345377329153")</f>
        <v/>
      </c>
      <c r="B3145" s="2" t="n">
        <v>43195.81546296296</v>
      </c>
      <c r="C3145" t="n">
        <v>0</v>
      </c>
      <c r="D3145" t="n">
        <v>3</v>
      </c>
      <c r="E3145" t="s">
        <v>3091</v>
      </c>
      <c r="F3145">
        <f>HYPERLINK("http://pbs.twimg.com/media/DaCl2BMX0AU8AcG.jpg", "http://pbs.twimg.com/media/DaCl2BMX0AU8AcG.jpg")</f>
        <v/>
      </c>
      <c r="G3145" t="s"/>
      <c r="H3145" t="s"/>
      <c r="I3145" t="s"/>
      <c r="J3145" t="n">
        <v>0</v>
      </c>
      <c r="K3145" t="n">
        <v>0</v>
      </c>
      <c r="L3145" t="n">
        <v>1</v>
      </c>
      <c r="M3145" t="n">
        <v>0</v>
      </c>
    </row>
    <row r="3146" spans="1:13">
      <c r="A3146" s="1">
        <f>HYPERLINK("http://www.twitter.com/NathanBLawrence/status/981964257117032448", "981964257117032448")</f>
        <v/>
      </c>
      <c r="B3146" s="2" t="n">
        <v>43195.77658564815</v>
      </c>
      <c r="C3146" t="n">
        <v>0</v>
      </c>
      <c r="D3146" t="n">
        <v>1</v>
      </c>
      <c r="E3146" t="s">
        <v>3092</v>
      </c>
      <c r="F3146" t="s"/>
      <c r="G3146" t="s"/>
      <c r="H3146" t="s"/>
      <c r="I3146" t="s"/>
      <c r="J3146" t="n">
        <v>-0.5106000000000001</v>
      </c>
      <c r="K3146" t="n">
        <v>0.136</v>
      </c>
      <c r="L3146" t="n">
        <v>0.864</v>
      </c>
      <c r="M3146" t="n">
        <v>0</v>
      </c>
    </row>
    <row r="3147" spans="1:13">
      <c r="A3147" s="1">
        <f>HYPERLINK("http://www.twitter.com/NathanBLawrence/status/981964145313697793", "981964145313697793")</f>
        <v/>
      </c>
      <c r="B3147" s="2" t="n">
        <v>43195.77627314815</v>
      </c>
      <c r="C3147" t="n">
        <v>0</v>
      </c>
      <c r="D3147" t="n">
        <v>869</v>
      </c>
      <c r="E3147" t="s">
        <v>3093</v>
      </c>
      <c r="F3147" t="s"/>
      <c r="G3147" t="s"/>
      <c r="H3147" t="s"/>
      <c r="I3147" t="s"/>
      <c r="J3147" t="n">
        <v>-0.5574</v>
      </c>
      <c r="K3147" t="n">
        <v>0.184</v>
      </c>
      <c r="L3147" t="n">
        <v>0.8159999999999999</v>
      </c>
      <c r="M3147" t="n">
        <v>0</v>
      </c>
    </row>
    <row r="3148" spans="1:13">
      <c r="A3148" s="1">
        <f>HYPERLINK("http://www.twitter.com/NathanBLawrence/status/981964104125616128", "981964104125616128")</f>
        <v/>
      </c>
      <c r="B3148" s="2" t="n">
        <v>43195.77616898148</v>
      </c>
      <c r="C3148" t="n">
        <v>0</v>
      </c>
      <c r="D3148" t="n">
        <v>3497</v>
      </c>
      <c r="E3148" t="s">
        <v>3094</v>
      </c>
      <c r="F3148">
        <f>HYPERLINK("https://video.twimg.com/amplify_video/981891390815731712/vid/1280x720/xlpdDFEQtPNJEaWd.mp4?tag=2", "https://video.twimg.com/amplify_video/981891390815731712/vid/1280x720/xlpdDFEQtPNJEaWd.mp4?tag=2")</f>
        <v/>
      </c>
      <c r="G3148" t="s"/>
      <c r="H3148" t="s"/>
      <c r="I3148" t="s"/>
      <c r="J3148" t="n">
        <v>0.6327</v>
      </c>
      <c r="K3148" t="n">
        <v>0.132</v>
      </c>
      <c r="L3148" t="n">
        <v>0.62</v>
      </c>
      <c r="M3148" t="n">
        <v>0.248</v>
      </c>
    </row>
    <row r="3149" spans="1:13">
      <c r="A3149" s="1">
        <f>HYPERLINK("http://www.twitter.com/NathanBLawrence/status/981964087428108289", "981964087428108289")</f>
        <v/>
      </c>
      <c r="B3149" s="2" t="n">
        <v>43195.77612268519</v>
      </c>
      <c r="C3149" t="n">
        <v>0</v>
      </c>
      <c r="D3149" t="n">
        <v>3487</v>
      </c>
      <c r="E3149" t="s">
        <v>3095</v>
      </c>
      <c r="F3149" t="s"/>
      <c r="G3149" t="s"/>
      <c r="H3149" t="s"/>
      <c r="I3149" t="s"/>
      <c r="J3149" t="n">
        <v>-0.3818</v>
      </c>
      <c r="K3149" t="n">
        <v>0.11</v>
      </c>
      <c r="L3149" t="n">
        <v>0.89</v>
      </c>
      <c r="M3149" t="n">
        <v>0</v>
      </c>
    </row>
    <row r="3150" spans="1:13">
      <c r="A3150" s="1">
        <f>HYPERLINK("http://www.twitter.com/NathanBLawrence/status/981964028863045633", "981964028863045633")</f>
        <v/>
      </c>
      <c r="B3150" s="2" t="n">
        <v>43195.77596064815</v>
      </c>
      <c r="C3150" t="n">
        <v>0</v>
      </c>
      <c r="D3150" t="n">
        <v>1599</v>
      </c>
      <c r="E3150" t="s">
        <v>3096</v>
      </c>
      <c r="F3150" t="s"/>
      <c r="G3150" t="s"/>
      <c r="H3150" t="s"/>
      <c r="I3150" t="s"/>
      <c r="J3150" t="n">
        <v>-0.4767</v>
      </c>
      <c r="K3150" t="n">
        <v>0.134</v>
      </c>
      <c r="L3150" t="n">
        <v>0.866</v>
      </c>
      <c r="M3150" t="n">
        <v>0</v>
      </c>
    </row>
    <row r="3151" spans="1:13">
      <c r="A3151" s="1">
        <f>HYPERLINK("http://www.twitter.com/NathanBLawrence/status/981953117863505921", "981953117863505921")</f>
        <v/>
      </c>
      <c r="B3151" s="2" t="n">
        <v>43195.7458449074</v>
      </c>
      <c r="C3151" t="n">
        <v>0</v>
      </c>
      <c r="D3151" t="n">
        <v>23</v>
      </c>
      <c r="E3151" t="s">
        <v>3097</v>
      </c>
      <c r="F3151">
        <f>HYPERLINK("http://pbs.twimg.com/media/DaB-Oa-UwAAoUpx.jpg", "http://pbs.twimg.com/media/DaB-Oa-UwAAoUpx.jpg")</f>
        <v/>
      </c>
      <c r="G3151" t="s"/>
      <c r="H3151" t="s"/>
      <c r="I3151" t="s"/>
      <c r="J3151" t="n">
        <v>0</v>
      </c>
      <c r="K3151" t="n">
        <v>0</v>
      </c>
      <c r="L3151" t="n">
        <v>1</v>
      </c>
      <c r="M3151" t="n">
        <v>0</v>
      </c>
    </row>
    <row r="3152" spans="1:13">
      <c r="A3152" s="1">
        <f>HYPERLINK("http://www.twitter.com/NathanBLawrence/status/981952726388092928", "981952726388092928")</f>
        <v/>
      </c>
      <c r="B3152" s="2" t="n">
        <v>43195.74476851852</v>
      </c>
      <c r="C3152" t="n">
        <v>0</v>
      </c>
      <c r="D3152" t="n">
        <v>176</v>
      </c>
      <c r="E3152" t="s">
        <v>3098</v>
      </c>
      <c r="F3152" t="s"/>
      <c r="G3152" t="s"/>
      <c r="H3152" t="s"/>
      <c r="I3152" t="s"/>
      <c r="J3152" t="n">
        <v>0</v>
      </c>
      <c r="K3152" t="n">
        <v>0</v>
      </c>
      <c r="L3152" t="n">
        <v>1</v>
      </c>
      <c r="M3152" t="n">
        <v>0</v>
      </c>
    </row>
    <row r="3153" spans="1:13">
      <c r="A3153" s="1">
        <f>HYPERLINK("http://www.twitter.com/NathanBLawrence/status/981952663637168130", "981952663637168130")</f>
        <v/>
      </c>
      <c r="B3153" s="2" t="n">
        <v>43195.74459490741</v>
      </c>
      <c r="C3153" t="n">
        <v>0</v>
      </c>
      <c r="D3153" t="n">
        <v>22</v>
      </c>
      <c r="E3153" t="s">
        <v>3099</v>
      </c>
      <c r="F3153" t="s"/>
      <c r="G3153" t="s"/>
      <c r="H3153" t="s"/>
      <c r="I3153" t="s"/>
      <c r="J3153" t="n">
        <v>0.3436</v>
      </c>
      <c r="K3153" t="n">
        <v>0.126</v>
      </c>
      <c r="L3153" t="n">
        <v>0.664</v>
      </c>
      <c r="M3153" t="n">
        <v>0.21</v>
      </c>
    </row>
    <row r="3154" spans="1:13">
      <c r="A3154" s="1">
        <f>HYPERLINK("http://www.twitter.com/NathanBLawrence/status/981952256038842368", "981952256038842368")</f>
        <v/>
      </c>
      <c r="B3154" s="2" t="n">
        <v>43195.74347222222</v>
      </c>
      <c r="C3154" t="n">
        <v>0</v>
      </c>
      <c r="D3154" t="n">
        <v>0</v>
      </c>
      <c r="E3154" t="s">
        <v>3100</v>
      </c>
      <c r="F3154">
        <f>HYPERLINK("https://video.twimg.com/ext_tw_video/981952037116981248/pu/vid/640x360/yB7Un_FCzeBNL8u6.mp4?tag=2", "https://video.twimg.com/ext_tw_video/981952037116981248/pu/vid/640x360/yB7Un_FCzeBNL8u6.mp4?tag=2")</f>
        <v/>
      </c>
      <c r="G3154" t="s"/>
      <c r="H3154" t="s"/>
      <c r="I3154" t="s"/>
      <c r="J3154" t="n">
        <v>0</v>
      </c>
      <c r="K3154" t="n">
        <v>0</v>
      </c>
      <c r="L3154" t="n">
        <v>1</v>
      </c>
      <c r="M3154" t="n">
        <v>0</v>
      </c>
    </row>
    <row r="3155" spans="1:13">
      <c r="A3155" s="1">
        <f>HYPERLINK("http://www.twitter.com/NathanBLawrence/status/981952255472689152", "981952255472689152")</f>
        <v/>
      </c>
      <c r="B3155" s="2" t="n">
        <v>43195.74347222222</v>
      </c>
      <c r="C3155" t="n">
        <v>0</v>
      </c>
      <c r="D3155" t="n">
        <v>905</v>
      </c>
      <c r="E3155" t="s">
        <v>3101</v>
      </c>
      <c r="F3155" t="s"/>
      <c r="G3155" t="s"/>
      <c r="H3155" t="s"/>
      <c r="I3155" t="s"/>
      <c r="J3155" t="n">
        <v>0</v>
      </c>
      <c r="K3155" t="n">
        <v>0</v>
      </c>
      <c r="L3155" t="n">
        <v>1</v>
      </c>
      <c r="M3155" t="n">
        <v>0</v>
      </c>
    </row>
    <row r="3156" spans="1:13">
      <c r="A3156" s="1">
        <f>HYPERLINK("http://www.twitter.com/NathanBLawrence/status/981952148006109187", "981952148006109187")</f>
        <v/>
      </c>
      <c r="B3156" s="2" t="n">
        <v>43195.74317129629</v>
      </c>
      <c r="C3156" t="n">
        <v>0</v>
      </c>
      <c r="D3156" t="n">
        <v>1645</v>
      </c>
      <c r="E3156" t="s">
        <v>3102</v>
      </c>
      <c r="F3156">
        <f>HYPERLINK("https://video.twimg.com/amplify_video/962009372426633216/vid/1280x720/CRRFtMNsgQFP2akC.mp4", "https://video.twimg.com/amplify_video/962009372426633216/vid/1280x720/CRRFtMNsgQFP2akC.mp4")</f>
        <v/>
      </c>
      <c r="G3156" t="s"/>
      <c r="H3156" t="s"/>
      <c r="I3156" t="s"/>
      <c r="J3156" t="n">
        <v>0</v>
      </c>
      <c r="K3156" t="n">
        <v>0</v>
      </c>
      <c r="L3156" t="n">
        <v>1</v>
      </c>
      <c r="M3156" t="n">
        <v>0</v>
      </c>
    </row>
    <row r="3157" spans="1:13">
      <c r="A3157" s="1">
        <f>HYPERLINK("http://www.twitter.com/NathanBLawrence/status/981952115147984896", "981952115147984896")</f>
        <v/>
      </c>
      <c r="B3157" s="2" t="n">
        <v>43195.7430787037</v>
      </c>
      <c r="C3157" t="n">
        <v>0</v>
      </c>
      <c r="D3157" t="n">
        <v>2567</v>
      </c>
      <c r="E3157" t="s">
        <v>3103</v>
      </c>
      <c r="F3157">
        <f>HYPERLINK("https://video.twimg.com/amplify_video/981695257917186048/vid/1280x720/uLHQYZgBWQaAkYAI.mp4?tag=2", "https://video.twimg.com/amplify_video/981695257917186048/vid/1280x720/uLHQYZgBWQaAkYAI.mp4?tag=2")</f>
        <v/>
      </c>
      <c r="G3157" t="s"/>
      <c r="H3157" t="s"/>
      <c r="I3157" t="s"/>
      <c r="J3157" t="n">
        <v>-0.4404</v>
      </c>
      <c r="K3157" t="n">
        <v>0.281</v>
      </c>
      <c r="L3157" t="n">
        <v>0.719</v>
      </c>
      <c r="M3157" t="n">
        <v>0</v>
      </c>
    </row>
    <row r="3158" spans="1:13">
      <c r="A3158" s="1">
        <f>HYPERLINK("http://www.twitter.com/NathanBLawrence/status/981952036399992832", "981952036399992832")</f>
        <v/>
      </c>
      <c r="B3158" s="2" t="n">
        <v>43195.74285879629</v>
      </c>
      <c r="C3158" t="n">
        <v>0</v>
      </c>
      <c r="D3158" t="n">
        <v>2996</v>
      </c>
      <c r="E3158" t="s">
        <v>3104</v>
      </c>
      <c r="F3158" t="s"/>
      <c r="G3158" t="s"/>
      <c r="H3158" t="s"/>
      <c r="I3158" t="s"/>
      <c r="J3158" t="n">
        <v>-0.2732</v>
      </c>
      <c r="K3158" t="n">
        <v>0.091</v>
      </c>
      <c r="L3158" t="n">
        <v>0.909</v>
      </c>
      <c r="M3158" t="n">
        <v>0</v>
      </c>
    </row>
    <row r="3159" spans="1:13">
      <c r="A3159" s="1">
        <f>HYPERLINK("http://www.twitter.com/NathanBLawrence/status/981951627568533504", "981951627568533504")</f>
        <v/>
      </c>
      <c r="B3159" s="2" t="n">
        <v>43195.74173611111</v>
      </c>
      <c r="C3159" t="n">
        <v>0</v>
      </c>
      <c r="D3159" t="n">
        <v>12509</v>
      </c>
      <c r="E3159" t="s">
        <v>3105</v>
      </c>
      <c r="F3159" t="s"/>
      <c r="G3159" t="s"/>
      <c r="H3159" t="s"/>
      <c r="I3159" t="s"/>
      <c r="J3159" t="n">
        <v>-0.8965</v>
      </c>
      <c r="K3159" t="n">
        <v>0.406</v>
      </c>
      <c r="L3159" t="n">
        <v>0.547</v>
      </c>
      <c r="M3159" t="n">
        <v>0.047</v>
      </c>
    </row>
    <row r="3160" spans="1:13">
      <c r="A3160" s="1">
        <f>HYPERLINK("http://www.twitter.com/NathanBLawrence/status/981951496177750016", "981951496177750016")</f>
        <v/>
      </c>
      <c r="B3160" s="2" t="n">
        <v>43195.74137731481</v>
      </c>
      <c r="C3160" t="n">
        <v>0</v>
      </c>
      <c r="D3160" t="n">
        <v>464</v>
      </c>
      <c r="E3160" t="s">
        <v>3106</v>
      </c>
      <c r="F3160">
        <f>HYPERLINK("http://pbs.twimg.com/media/C29yetEWQAA70RW.jpg", "http://pbs.twimg.com/media/C29yetEWQAA70RW.jpg")</f>
        <v/>
      </c>
      <c r="G3160" t="s"/>
      <c r="H3160" t="s"/>
      <c r="I3160" t="s"/>
      <c r="J3160" t="n">
        <v>0</v>
      </c>
      <c r="K3160" t="n">
        <v>0</v>
      </c>
      <c r="L3160" t="n">
        <v>1</v>
      </c>
      <c r="M3160" t="n">
        <v>0</v>
      </c>
    </row>
    <row r="3161" spans="1:13">
      <c r="A3161" s="1">
        <f>HYPERLINK("http://www.twitter.com/NathanBLawrence/status/981951451827245056", "981951451827245056")</f>
        <v/>
      </c>
      <c r="B3161" s="2" t="n">
        <v>43195.74125</v>
      </c>
      <c r="C3161" t="n">
        <v>0</v>
      </c>
      <c r="D3161" t="n">
        <v>4</v>
      </c>
      <c r="E3161" t="s">
        <v>3107</v>
      </c>
      <c r="F3161" t="s"/>
      <c r="G3161" t="s"/>
      <c r="H3161" t="s"/>
      <c r="I3161" t="s"/>
      <c r="J3161" t="n">
        <v>0</v>
      </c>
      <c r="K3161" t="n">
        <v>0</v>
      </c>
      <c r="L3161" t="n">
        <v>1</v>
      </c>
      <c r="M3161" t="n">
        <v>0</v>
      </c>
    </row>
    <row r="3162" spans="1:13">
      <c r="A3162" s="1">
        <f>HYPERLINK("http://www.twitter.com/NathanBLawrence/status/981951416012038144", "981951416012038144")</f>
        <v/>
      </c>
      <c r="B3162" s="2" t="n">
        <v>43195.74115740741</v>
      </c>
      <c r="C3162" t="n">
        <v>0</v>
      </c>
      <c r="D3162" t="n">
        <v>669</v>
      </c>
      <c r="E3162" t="s">
        <v>3108</v>
      </c>
      <c r="F3162">
        <f>HYPERLINK("http://pbs.twimg.com/media/DaCMI-lXUAA471V.jpg", "http://pbs.twimg.com/media/DaCMI-lXUAA471V.jpg")</f>
        <v/>
      </c>
      <c r="G3162" t="s"/>
      <c r="H3162" t="s"/>
      <c r="I3162" t="s"/>
      <c r="J3162" t="n">
        <v>-0.6124000000000001</v>
      </c>
      <c r="K3162" t="n">
        <v>0.444</v>
      </c>
      <c r="L3162" t="n">
        <v>0.556</v>
      </c>
      <c r="M3162" t="n">
        <v>0</v>
      </c>
    </row>
    <row r="3163" spans="1:13">
      <c r="A3163" s="1">
        <f>HYPERLINK("http://www.twitter.com/NathanBLawrence/status/981951245173784576", "981951245173784576")</f>
        <v/>
      </c>
      <c r="B3163" s="2" t="n">
        <v>43195.74068287037</v>
      </c>
      <c r="C3163" t="n">
        <v>0</v>
      </c>
      <c r="D3163" t="n">
        <v>185</v>
      </c>
      <c r="E3163" t="s">
        <v>3109</v>
      </c>
      <c r="F3163" t="s"/>
      <c r="G3163" t="s"/>
      <c r="H3163" t="s"/>
      <c r="I3163" t="s"/>
      <c r="J3163" t="n">
        <v>0.3612</v>
      </c>
      <c r="K3163" t="n">
        <v>0</v>
      </c>
      <c r="L3163" t="n">
        <v>0.898</v>
      </c>
      <c r="M3163" t="n">
        <v>0.102</v>
      </c>
    </row>
    <row r="3164" spans="1:13">
      <c r="A3164" s="1">
        <f>HYPERLINK("http://www.twitter.com/NathanBLawrence/status/981951223627747328", "981951223627747328")</f>
        <v/>
      </c>
      <c r="B3164" s="2" t="n">
        <v>43195.740625</v>
      </c>
      <c r="C3164" t="n">
        <v>0</v>
      </c>
      <c r="D3164" t="n">
        <v>1295</v>
      </c>
      <c r="E3164" t="s">
        <v>3110</v>
      </c>
      <c r="F3164" t="s"/>
      <c r="G3164" t="s"/>
      <c r="H3164" t="s"/>
      <c r="I3164" t="s"/>
      <c r="J3164" t="n">
        <v>-0.6808</v>
      </c>
      <c r="K3164" t="n">
        <v>0.312</v>
      </c>
      <c r="L3164" t="n">
        <v>0.58</v>
      </c>
      <c r="M3164" t="n">
        <v>0.107</v>
      </c>
    </row>
    <row r="3165" spans="1:13">
      <c r="A3165" s="1">
        <f>HYPERLINK("http://www.twitter.com/NathanBLawrence/status/981951211762081797", "981951211762081797")</f>
        <v/>
      </c>
      <c r="B3165" s="2" t="n">
        <v>43195.74059027778</v>
      </c>
      <c r="C3165" t="n">
        <v>0</v>
      </c>
      <c r="D3165" t="n">
        <v>51</v>
      </c>
      <c r="E3165" t="s">
        <v>3111</v>
      </c>
      <c r="F3165">
        <f>HYPERLINK("http://pbs.twimg.com/media/DaCME6pW0AUjN1m.jpg", "http://pbs.twimg.com/media/DaCME6pW0AUjN1m.jpg")</f>
        <v/>
      </c>
      <c r="G3165" t="s"/>
      <c r="H3165" t="s"/>
      <c r="I3165" t="s"/>
      <c r="J3165" t="n">
        <v>0</v>
      </c>
      <c r="K3165" t="n">
        <v>0</v>
      </c>
      <c r="L3165" t="n">
        <v>1</v>
      </c>
      <c r="M3165" t="n">
        <v>0</v>
      </c>
    </row>
    <row r="3166" spans="1:13">
      <c r="A3166" s="1">
        <f>HYPERLINK("http://www.twitter.com/NathanBLawrence/status/981951093402845184", "981951093402845184")</f>
        <v/>
      </c>
      <c r="B3166" s="2" t="n">
        <v>43195.74026620371</v>
      </c>
      <c r="C3166" t="n">
        <v>0</v>
      </c>
      <c r="D3166" t="n">
        <v>22</v>
      </c>
      <c r="E3166" t="s">
        <v>3112</v>
      </c>
      <c r="F3166" t="s"/>
      <c r="G3166" t="s"/>
      <c r="H3166" t="s"/>
      <c r="I3166" t="s"/>
      <c r="J3166" t="n">
        <v>-0.4854</v>
      </c>
      <c r="K3166" t="n">
        <v>0.165</v>
      </c>
      <c r="L3166" t="n">
        <v>0.835</v>
      </c>
      <c r="M3166"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