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<sst xmlns="http://schemas.openxmlformats.org/spreadsheetml/2006/main" uniqueCount="3074">
  <si>
    <t>id</t>
  </si>
  <si>
    <t>created_at</t>
  </si>
  <si>
    <t>fav</t>
  </si>
  <si>
    <t>rt</t>
  </si>
  <si>
    <t>text</t>
  </si>
  <si>
    <t>media1</t>
  </si>
  <si>
    <t>media2</t>
  </si>
  <si>
    <t>media3</t>
  </si>
  <si>
    <t>media4</t>
  </si>
  <si>
    <t>compound</t>
  </si>
  <si>
    <t>neg</t>
  </si>
  <si>
    <t>neu</t>
  </si>
  <si>
    <t>pos</t>
  </si>
  <si>
    <t>Isn’t the same guy who was banging same hairdresser &amp;amp;  cheating on his wife and the media refuses to cover? 
Voters ain’t forgetting this. We voted for an outsider &amp;amp; we ain’t accepting GOP or DEM bs.
I will never support party that puts illegals over Americans 
#moleg #mogov https://t.co/t77zN9xR5g</t>
  </si>
  <si>
    <t>@RealTravisCook #spygate https://t.co/9de5BvLJw4</t>
  </si>
  <si>
    <t>RT @ScottPresler: CALIFORNIA,
If you're fed up with the rising homeless population, if you're fed up with the gas tax, if you're fed up wi…</t>
  </si>
  <si>
    <t>@Vets4AP @KcoachcCoach @JackPosobiec She wins if republicans in state aren’t excited.
Hawley sure is making a good case for not exciting them. 
Also backstabbing EG over clearly fake charges 4 low income tax credit lobby doesn’t help him. 
Haven’t seen Hawley at Lincoln days. Saw @AP4Liberty and @SykesforSenate</t>
  </si>
  <si>
    <t>RT @ThatsMy55: @JackPosobiec We know for sure Greitens upset several of the low income housing beneficiaries.  His accuser seems to have a…</t>
  </si>
  <si>
    <t>RT @RealSaavedra: Media lies in last 2 weeks:
-Israel killing civilians
-School shooter using assault weapon
-Trump calling immigrants ani…</t>
  </si>
  <si>
    <t>RT @KurtSchlichter: Badass!
They Were Heroes Too: Eight U.S. Military Chaplains Who Made the Ultimate Sacrifice https://t.co/ylV9gyNVnA #F…</t>
  </si>
  <si>
    <t>RT @nwsltrMe: Any Normal Americans surprised that Obama tweeted a picture of himself on Memorial Day? https://t.co/cEpromFeFV</t>
  </si>
  <si>
    <t>RT @KurtSchlichter: Liberals want to silence speech https://t.co/dPokuofnLg</t>
  </si>
  <si>
    <t>RT @KurtSchlichter: Go get it! https://t.co/E34IhqvePX</t>
  </si>
  <si>
    <t>RT @realDonaldTrump: A Democratic lawmaker just introduced a bill to Repeal the GOP Tax Cuts (no chance). This is too good to be true for R…</t>
  </si>
  <si>
    <t>Speak English or leave the country. I’m from Brazil. I can speak English. https://t.co/AJCqMjsiE5</t>
  </si>
  <si>
    <t>RT @msmole5: @CNN Another amazing Fake CNN story , American family's are being separated from there love one's when murdered by illegals !…</t>
  </si>
  <si>
    <t>RT @Patrickstuart78: @CNN So women can't take selfies with their kids now??????</t>
  </si>
  <si>
    <t>RT @Oil_Guns_Merica: Promising to raise taxes from the back of a Ferrari is peak Democrat https://t.co/5kL7Ddz5lk</t>
  </si>
  <si>
    <t>RT @realDonaldTrump: California has a rare opportunity to turn things around and solve its high crime, high tax, problems - along with so m…</t>
  </si>
  <si>
    <t>RT @KurtSchlichter: He's corrupt https://t.co/LdakzKiGT0</t>
  </si>
  <si>
    <t>This has been “substantiated” dummy https://t.co/huthQ7fneE</t>
  </si>
  <si>
    <t>RT @senatorshoshana: "How do we incentivize more boys to want to grow up to be farmers" https://t.co/LNi7SRoh3G</t>
  </si>
  <si>
    <t>RT @johncardillo: What’s happening to #TommyRobinson is a travesty. 
Everyone in the world who values freedom of the press should get loud…</t>
  </si>
  <si>
    <t>RT @KurtSchlichter: Things I care about more than illegal alien criminals being treated like every other kind of criminal: EVERYTHING EXCEP…</t>
  </si>
  <si>
    <t>How do you want to transport them? In a cage? https://t.co/q2RePlV3GR</t>
  </si>
  <si>
    <t>Lol. How do you want to transport them? I’m a cage? https://t.co/q2RePlV3GR</t>
  </si>
  <si>
    <t>RT @AsheSchow: Oops they did it again. https://t.co/d2egDDJqgm</t>
  </si>
  <si>
    <t>RT @KurtSchlichter: How would you prefer they be transported? Not in child seats? I don;t understand - why do you want to put kids at risk?…</t>
  </si>
  <si>
    <t>RT @bonniemurphy: 🚨#BoycottNetflix Good Decision🚨
Glad cancelled Full of bullies like Wolf and criminals like Soros and Obama’s - NOPE - n…</t>
  </si>
  <si>
    <t>RT @Sticknstones4: @KCStar The colluding Republicans with their sleezy LIHTC Coup are the ones burning this down.   They were  paid for pow…</t>
  </si>
  <si>
    <t>RT @YearOfZero: Well gee, whose fault is this, Hawley has conspired with the Tax Credit Scam Artists.
There shouldn’t have been an indictm…</t>
  </si>
  <si>
    <t>RT @Sticknstones4: Key words  ACTIVELY SOLICITED 
#Moleg #BARNESMUSTGO #greasyjay #moneybagsal #lihtc #sterling and #felonfaughn #greitens…</t>
  </si>
  <si>
    <t>RT @JW1057: @TeamGreitens @EricGreitens @SheenaGreitens I smell a possible conflict of interest. Should I say in Jay Barnes' case another c…</t>
  </si>
  <si>
    <t>RT @HotPokerPrinces: Missouri Wildlife Colluding in the woods until they are 
back in their corrupt habitat of the bogus Kangaroo court…</t>
  </si>
  <si>
    <t>RT @MSTLGA: 🚨Thread on #Moleg Collusion
Greasy Jay Barnes is Corrupt!   #BarnesMustGo there has been nothing ethical in how he has conducte…</t>
  </si>
  <si>
    <t>RT @MSTLGA: Greitens wanted to CURB tax credit program, the greedy tax credit mafia was not agreeable, so the program got cut to balance th…</t>
  </si>
  <si>
    <t>RT @MSTLGA: @RealTravisCook They had the opportunity to reform the program aka scam! 
Read the report.   Tax credit Mafia can’t operate on…</t>
  </si>
  <si>
    <t>@TomJEstes So glad he lost</t>
  </si>
  <si>
    <t>@TomJEstes Kander takes himself way too seriously</t>
  </si>
  <si>
    <t>RT @TomJEstes: He probably tweeted this from a party. #MemorialDay #moleg https://t.co/vXyDvpYRKj</t>
  </si>
  <si>
    <t>RT @JW1057: Democracy Under Attack: Defend Gov. Eric Greitens
https://t.co/poBhe7WFhw
#moleg #mogov #greitens #ThankYou #MemorialDay</t>
  </si>
  <si>
    <t>She isn’t a victim dude.
It was a consensual affair.
Regret doesn’t equal abuse.
If anything @EricGreitens is the victim 
#moleg #mogov #greitens #mosen https://t.co/7Q4ZzVCs4t</t>
  </si>
  <si>
    <t>RT @JW1057: Democracy Under Attack: Defend Gov. Eric Greitens
https://t.co/poBhe7WFhw
#moleg #mogov #greitens #ThankYou #MemorialDay</t>
  </si>
  <si>
    <t>RT @BobOnderMO: Honoring our nation’s fallen at @LakeSaintLouis! @HillForMissouri #moleg https://t.co/6cTDAB7fIh</t>
  </si>
  <si>
    <t>RT @magathemaga1: The #GreasyJay Poll We've ALL Been Waiting For!
We know #Greitens story is a TAX CREDIT COUP on voters
But is it also:…</t>
  </si>
  <si>
    <t>RT @magathemaga1: LOL!!!
WitchHunt Still On!
#ScammingScott running media! They cover 4 him!
#MoneyBagsAl got PAID! 
#KimShady is, well,…</t>
  </si>
  <si>
    <t>RT @Sticknstones4: SUPPORT GOVERNOR GREITENS .. SIGN &amp;amp; RT PETITION 
#missouri #maga #witchhunt #collusion #semo #springfield #joplin #bran…</t>
  </si>
  <si>
    <t>RT @Str8DonLemon: @POTUS SPEAKS:
Our fallen heroes not only wrote our history, they shaped our destiny. They saved lives of men &amp;amp; women wi…</t>
  </si>
  <si>
    <t>RT @YearOfZero: They aren’t committed to the process. Otherwise they wouldn’t have released a tainted report to taint the jury pool or COLL…</t>
  </si>
  <si>
    <t>RT @JackPosobiec: Various state actors have been slipping disinfo into the “Q-stream” for some time now https://t.co/O5KKdf9g2b</t>
  </si>
  <si>
    <t>RT @philip_saulter: Missouri House of Representatives: Urgent! Stop the Coup Against Gov. Eric Greitens - Sign the Petition! https://t.co/6…</t>
  </si>
  <si>
    <t>RT @realDonaldTrump: #MemorialDay🇺🇸 https://t.co/Iohcuhi4dQ</t>
  </si>
  <si>
    <t>Problem solved idiot. Don’t break the law and don’t come here illegally dumbass. These parents are irresponsible to bring their kids here knowing he consequences https://t.co/BJtLg3eVpq</t>
  </si>
  <si>
    <t>RT @JackPosobiec: This doesn’t look much different from our baby’s car seat https://t.co/82JAxa9fcM</t>
  </si>
  <si>
    <t>RT @DonaldJTrumpJr: You’re trying too hard!!! 
The desperation is palpable https://t.co/UdBk8JQxDP</t>
  </si>
  <si>
    <t>RT @realDonaldTrump: Our fallen heroes have not only written our history they have shaped our destiny. They saved the lives of the men and…</t>
  </si>
  <si>
    <t>RT @WhiteHouse: Today, President Trump participated in a Memorial Day ceremony at Arlington National Cemetery to honor and remember our nat…</t>
  </si>
  <si>
    <t>RT @JackPosobiec: The UK ban on discussing Tommy Robinson is the best argument for the First Amendment I have ever seen https://t.co/DkH57c…</t>
  </si>
  <si>
    <t>No you straight up lied and you knew it before you posted it https://t.co/Ta0SBY8668</t>
  </si>
  <si>
    <t>RT @IvankaTrump: My ♥️! #SundayMorning https://t.co/CN5iXutE5Q</t>
  </si>
  <si>
    <t>RT @JackPosobiec: The comments on this beautiful post are disgusting https://t.co/67vj35Ia0d</t>
  </si>
  <si>
    <t>RT @PeterSweden7: So @CaolanRob says the Tommy Robinson court case was over in just 5 minutes.
This is a kangaroo court.
Rule of law is g…</t>
  </si>
  <si>
    <t>RT @Mizzourah_Mom: The nerve of Rep. Trent to introduce ANY evidence that might help Greitens! The kangaroo court will not stand for it! Ho…</t>
  </si>
  <si>
    <t>RT @dbongino: FYI, the “Reagan Battalion” twitter feed is run by Trump-hating, police-state liberals. Don’t be fooled for a moment by these…</t>
  </si>
  <si>
    <t>RT @HennessySTL: The corrupt Missouri Republicans (like John Hancock) who are burning down their own party to drive out the governor are no…</t>
  </si>
  <si>
    <t>RT @ResignNowKim: Hey Bill: @RGreggKeller , the oligarch shill, is using this exact same argument- it’s the standard #johnrhancock @Missour…</t>
  </si>
  <si>
    <t>RT @ResignNowKim: Yet another reason why @JohnLamping is the man. @RGreggKeller worked w @hafnermo for Bruner. They lost, and now it appear…</t>
  </si>
  <si>
    <t>RT @ResignNowKim: @HennessySTL Step 1: engineer “crisis.”Step 2: tether target pol to “crisis.”Step 3: throw gasoline on “crisis.” Step 4:b…</t>
  </si>
  <si>
    <t>RT @ResignNowKim: @tonymess , who blocked me bc he’s a weak zealot SJW propagandist and not a journalist:  you completely mischaracterize H…</t>
  </si>
  <si>
    <t>RT @BillEigel: Beautiful day at Jefferson Barracks Cemetery to celebrate those veterans that gave the ultimate sacrifice!  Thank you to all…</t>
  </si>
  <si>
    <t>RT @YearOfZero: This is like saying never question leader. We know he took money from the LIHTC industry, we know he’s LOOKING 4 any reason…</t>
  </si>
  <si>
    <t>You never voted for republicans to begin with. I exposed you in in a discussion last month. You aren’t a Republican 
#moleg #mogocmv #Greitens https://t.co/eAhH6SgATZ</t>
  </si>
  <si>
    <t>RT @WiredSources: BREAKING: Kim Jong-un says he has agreed to President Trump's demand of total denuclearization of the Korean peninsula.</t>
  </si>
  <si>
    <t>RT @thebradfordfile: Obama's clock...
                 i'm guilty
     i'm guilty   ^    i'm guilty
  i'm guilty       |         i'm guilt…</t>
  </si>
  <si>
    <t>RT @PeterSweden7: Britain.
- Islamic teacher who sexually assaulted 11 yr old girl is spared jail.
- Tommy Robinson who reports on these c…</t>
  </si>
  <si>
    <t>RT @therealroseanne: @RealJamesWoods he has tried to report on rape gangs being protected in UK. He was just arrested-which is a death sent…</t>
  </si>
  <si>
    <t>RT @therealroseanne: I don't think any President should go from WH to producing big media 4 public consumption. It's an unholy alliance. Le…</t>
  </si>
  <si>
    <t>RT @w_terrence: 7 Killed in Memorial Day Weekend Shootings in Chicago! CNN is talking about gas prices instead, Al Sharpton is quiet, All t…</t>
  </si>
  <si>
    <t>RT @RagingGayCons: Democratic Party leaders want slavery reparations on the party platform by 2022.
Great idea! I'll pay $10 for every sla…</t>
  </si>
  <si>
    <t>RT @magathemaga1: SPEAK UP or be SPOKEN FOR
Want your right to choose your own leaders to stay intact?
Fight back
Here are 3 quick &amp;amp; eas…</t>
  </si>
  <si>
    <t>RT @magathemaga1: @max_billings @mndhls @GeorgeW01735467 @Independamerica @auroragustafson @rickpoguenow
@mybabyforever10
@Nanakarolwilcox…</t>
  </si>
  <si>
    <t>RT @magathemaga1: FLASHBACK: 
When first UNCOVERED, why didn’t #MoneyBagsAl Watkins tell us about money being from Scott? 
Patterns of a…</t>
  </si>
  <si>
    <t>RT @magathemaga1: SPEAK UP or BE SPOKEN FOR!
Call @Rep_TRichardson &amp;amp; DEMAND an END to the TAX CREDIT COUP!
573-751-4039 
Todd.Richardson@…</t>
  </si>
  <si>
    <t>RT @magathemaga1: @TxSecurityGal @tommyhubb
@catdeeann @Monie1948
@tracey_vinsand @deplorablesunny
@midwestjanbro @Pantszilla77
@comesummer…</t>
  </si>
  <si>
    <t>RT @magathemaga1: SUBPOENA!
Call @Rep_TRichardson &amp;amp; DEMAND #GreasyJay SUBPOENA all places like Sterling Bank involved in Tax Credit Scam!…</t>
  </si>
  <si>
    <t>RT @sigi_hill: @EdBigCon Wow, this article makes it ever clearer how corrupt #moleg is, how they are connected alone by $150M LIHTC benefit…</t>
  </si>
  <si>
    <t>RT @magathemaga1: I see #GreasyJay is little upset today &amp;amp; is peacocking for the cameras
Sorry @jaybarnes5 
We know you COLLUDED with Sco…</t>
  </si>
  <si>
    <t>RT @ABC: Pres. Trump shook the hands of graduates of the Naval Academy in Annapolis, Maryland for nearly 90 minutes this afternoon. Here’s…</t>
  </si>
  <si>
    <t>RT @HotPokerPrinces: Missouri Collusion to Unseat A Duly Elected Governor 
#greitens cut 150 million in LIHTC and the coup was ON https://…</t>
  </si>
  <si>
    <t>RT @gatewaypundit: UK Protesters Flood the Streets to Demand the Release of Imprisoned Journalist Tommy Robinson (VIDEOS) @CassandraRules h…</t>
  </si>
  <si>
    <t>RT @EdBigCon: BREAKING: Trump Campaign Mgr. Brad Parscale Is Collecting Names to Petition Facebook on Censoring Conservatives=&amp;gt; PLEASE SIGN…</t>
  </si>
  <si>
    <t>RT @magathemaga1: UNOFFICIAL PHOTO of #GreasyJay UNCOVERED in his natural habitat!
#Missouri
@314TruthSeeker @Kootiekat0507
@NSFMill @Res…</t>
  </si>
  <si>
    <t>RT @Education4Libs: NFL player Chris Long says the new rule requiring players to stand was a decision based off fear-mongering caused by Pr…</t>
  </si>
  <si>
    <t>RT @pookienorris: EASY SOLUTION.  Deport the WHOLE FAMILY so they won't be "ripped apart."</t>
  </si>
  <si>
    <t>RT @YearOfZero: Hey Sarah, did you know about this affair back in 2016? 
You notice how the media didn’t report the deposition being read…</t>
  </si>
  <si>
    <t>They aren’t committed to the process. Otherwise they wouldn’t have released a tainted report to taint the jury pool or COLLUDED with the CAO to engineer a nonexistent crime. 
You getting paid those tax credit money too?
#moleg #mogov #greitens https://t.co/B6lrz0fDXC</t>
  </si>
  <si>
    <t>This is like saying never question leader. We know he took money from the LIHTC industry, we know he’s LOOKING 4 any reason 2 impeach &amp;amp; we know he lied about the whole faughn tape thing. Also released incomplete reports intentionally 2 taint the jury pool
#moleg #mogov #greitens https://t.co/zgZVHlidLu</t>
  </si>
  <si>
    <t>RT @RodStryker: I stand for our National Anthem.
Those who take the knee truly are
Sons of Bit@#$😡
Strength &amp;amp; Honor🥁
#MemorialDayWeekend…</t>
  </si>
  <si>
    <t>RT @RealJamesWoods: Trump, like him or not, has “journalists” dancing like cats on a hot tin roof... https://t.co/SivtcP5BZg</t>
  </si>
  <si>
    <t>RT @dbongino: “If people in the media cannot decide whether they are in the business of reporting news or manufacturing propaganda, it is a…</t>
  </si>
  <si>
    <t>RT @VisioDeiFromLA: Whose fault is that?
The party @MissouriGOP had a hand in framing @EricGreitens and despite the charges being bogus, t…</t>
  </si>
  <si>
    <t>RT @magathemaga1: LIVE PHOTO FROM JEFF CITY STAR CHAMBER, FAUGHN GETS AWAY WITH THE FRAME JOB!
Citizens are fuming.
But what can they do?…</t>
  </si>
  <si>
    <t>RT @VisioDeiFromLA: Make No Mistake: 
The democrats are coming for our guns. We don't want to be sitting ducks, like in the Paris massacre…</t>
  </si>
  <si>
    <t>RT @SykesforSenate: I am deeply honored to have received General Kendall Penn's endorsement last month and proud to announce the General's…</t>
  </si>
  <si>
    <t>RT @SykesforSenate: How do you not pass the Farm Bill with a majority? Go home Paul. #MOSen #MAGA https://t.co/0z2cHCVkNk</t>
  </si>
  <si>
    <t>RT @Monetti4Senate: Great meeting with President of Judicial Watch, Tom Fitton. Great American. #MAGA #ReadyforMonetti #MoSen https://t.co/…</t>
  </si>
  <si>
    <t>RT @magathemaga1: @AnthonyBauman5 @AP4Liberty Bad comparison.
You really need to think to The Goths, the sacking of Rome, and why ultimate…</t>
  </si>
  <si>
    <t>RT @parscale: They put a spy within our ranks. This is the highest more egregious use of government power for political gain in modern hist…</t>
  </si>
  <si>
    <t>RT @VisioDeiFromLA: Churchill &amp;amp; people of England would rather die than surrender 2 Hitler. Freedom at all cost was their battle cry
Now,…</t>
  </si>
  <si>
    <t>RT @Kimbraov1: Theresa May MP: Free Tommy Robinson - Sign the Petition! https://t.co/5FL5OtJv4n via @Change</t>
  </si>
  <si>
    <t>RT @YearOfZero: The Immigration System was Never Broken
LAWS just haven’t been enforced. 
An important reminder for all #MoSen Candidates…</t>
  </si>
  <si>
    <t>RT @TheNoahRing: Well, this didn't age well. #ObamaGate https://t.co/LOxsC3gFtI</t>
  </si>
  <si>
    <t>RT @realDonaldTrump: I hereby demand, and will do so officially tomorrow, that the Department of Justice look into whether or not the FBI/D…</t>
  </si>
  <si>
    <t>RT @bennyjohnson: White House trolls the shit out of the press corp with title of this press release right now: 
'WHAT YOU NEED TO KNOW ABO…</t>
  </si>
  <si>
    <t>RT @Wysiwygats: The entire Conspiracy was based on Hillary winning and destroying @realDonaldTrump after, for even daring to challenge them…</t>
  </si>
  <si>
    <t>RT @MarkSKrikorian: "First, ICE should reward informants who provide tips about employers who routinely hire illegal immigrants....Secondly…</t>
  </si>
  <si>
    <t>RT @scrowder: Tommy Robinson arrested &amp;amp; jailed for over year for reporting on Muslim pedophile rape gangs.
The UK has legally barred journ…</t>
  </si>
  <si>
    <t>The Immigration System was Never Broken
LAWS just haven’t been enforced. 
An important reminder for all #MoSen Candidates 
What is it about democrats and not wanting to enforce laws?
https://t.co/jhY8O1azbm
#moleg #mogov #missouri</t>
  </si>
  <si>
    <t>RT @ResignNowKim: @AndrewHavKY3 @jaybarnes5 BOMBSHELL: BARNES DECEIVED ALL OF US! See Hannaway’s statement. He knew about payoff by Faughn…</t>
  </si>
  <si>
    <t>RT @Monetti4Senate: For those wanting to know my stance on @POTUS Southern Border Wall #MoSen https://t.co/qq92k9It75</t>
  </si>
  <si>
    <t>RT @YearOfZero: IMMIGRATION DETERMINES who is #MoSen candidate
MOST IMPORTANT issue as it determines all other issues
Candidates need con…</t>
  </si>
  <si>
    <t>RT @realDonaldTrump: This whole Russia Probe is Rigged. Just an excuse as to why the Dems and Crooked Hillary lost the Election and States…</t>
  </si>
  <si>
    <t>RT @therealroseanne: biggest conspiracy theory of all time: trump-russia collusion 'theory'</t>
  </si>
  <si>
    <t>RT @realDonaldTrump: With Spies, or “Informants” as the Democrats like to call them because it sounds less sinister (but it’s not), all ove…</t>
  </si>
  <si>
    <t>RT @ScottPresler: 🚨RED ALERT, RED ALERT🚨
June 5th is Election Day:
✔️Alabama
✔️California
✔️Iowa
✔️Mississippi
✔️Montana
✔️New Jersey
✔️Ne…</t>
  </si>
  <si>
    <t>Brian shelter is a paid liar https://t.co/mp9qbfmlS6</t>
  </si>
  <si>
    <t>RT @JackPosobiec: What specifically has President Trump misled the public on, as you claimed? 
Seems he keeps his promises more than most…</t>
  </si>
  <si>
    <t>RT @HenrySwissinger: @brianstelter @JackPosobiec Haha, the Washington Post as the arbiter of truth? You are as dumb as you look. https://t.…</t>
  </si>
  <si>
    <t>RT @JackPosobiec: CNN has attacked me MERCILESSLY yet never once afforded me a chance to respond
How about we take a chance to take the hi…</t>
  </si>
  <si>
    <t>RT @realDonaldTrump: Why didn’t President Obama do something about the so-called Russian Meddling when he was told about it by the FBI befo…</t>
  </si>
  <si>
    <t>RT @therealroseanne: So many of my family have served in the US armed forces. I can't wait til next season to address veterans' issues-DJ &amp;amp;…</t>
  </si>
  <si>
    <t>IMMIGRATION DETERMINES who is #MoSen candidate
MOST IMPORTANT issue as it determines all other issues
Candidates need concrete plans &amp;amp; 2 show clear intention of implementing 
MUST BE CENTERPIECE
@AP4Liberty @SykesforSenate @Monetti4Senate @HawleyMO 
https://t.co/SwoL6wFvQr</t>
  </si>
  <si>
    <t>RT @YearOfZero: Kyle is afraid to post on #moleg because his lies will get exposed.
It was a consensual affair and #greitens was framed. D…</t>
  </si>
  <si>
    <t>RT @HennessySTL: Fear the Missouri Tax-Credit Mafia
https://t.co/g6pQNDBi6s</t>
  </si>
  <si>
    <t>RT @JW1057: @KCStar If a party can't do the right thing by standing by an innocent man @EricGreitens than that party deserves to lose. 
#mo…</t>
  </si>
  <si>
    <t>RT @JW1057: Support Gov. Eric Greitens by signing and sharing petition opposing impeachment and/or censure.  https://t.co/zo2PsYxQ38
#moleg…</t>
  </si>
  <si>
    <t>RT @JW1057: https://t.co/poBhe7WFhw
#moleg #mogov #greitens #SundayMorning #RacingDay #Stlwx</t>
  </si>
  <si>
    <t>RT @JW1057: @CaseyNolen helped undermine Katrina Sneed's credibility. Why apologize to @SheenaGreitens? If @EricGreitens was abusive wouldn…</t>
  </si>
  <si>
    <t>RT @JW1057: @dsm012 https://t.co/poBhe7WFhw
#moleg #mogov #greitens #SundayMorning #RacingDay #Stlwx</t>
  </si>
  <si>
    <t>Well gee, whose fault is this, Hawley has conspired with the Tax Credit Scam Artists.
There shouldn’t have been an indictment period. 
#moleg #mogov @Rep_TRichardson https://t.co/lDGkIQpRoy</t>
  </si>
  <si>
    <t>RT @JW1057: @TeamGreitens @stlteaparty https://t.co/poBhe7WFhw
#moleg #mogov #greitens #SundayMorning #RacingDay #Stlwx</t>
  </si>
  <si>
    <t>RT @JW1057: Democracy Under Attack: Defend Gov. Eric Greitens @TeamGreitens 
https://t.co/poBhe7WFhw
#moleg #mogov #greitens #SundayMorni…</t>
  </si>
  <si>
    <t>RT @CJheartart: @FOX2now @johnrhancock This is unfair: if you were facing a criminal indictment @johnrhancock you would be a fool to testif…</t>
  </si>
  <si>
    <t>@gul_garak @Liberocules @AP4Liberty @Andyrhondaluke @Robert_Newell_2 @GayRepublicSwag Insulting trump and calling us stupid isn’t a good strategy. I can forgive that but his tweets today are insulting to people who voted for trump</t>
  </si>
  <si>
    <t>RT @charliekirk11: Obama used the IRS to audit conservatives 
Obama used the FTC to shut down gun manufactures via “operation chokepoint”…</t>
  </si>
  <si>
    <t>This is when @AP4Liberty jumped the shark. 
Just when was gaining momentum.
Insulting trump is insulting all of those who went big for trump in #missouri #MOSEN https://t.co/zBzPeljXRY</t>
  </si>
  <si>
    <t>Trump misspoke. I’m sorry. But you are misrepresenting trumps position here.
You know this. Your turning me off man going against trump. I am one of those former democrats that went trump and conservative. 
#MOSen https://t.co/9cWhUXT9r5</t>
  </si>
  <si>
    <t>@AP4Liberty Walls work. And fundamentally misunderstand the immigration problem. 
In absense of a wall, are you for strictly enforcing immigration law? That means mass deportations, strict everify, etc?</t>
  </si>
  <si>
    <t>@AP4Liberty doesn’t get the immigration problem 
Walls work. Ask Israel. Ask Hungary
There will be no #TeamLiberty if illegal immigration isn’t stopped
This is an opening 4 @HawleyMO 
Wouldn’t have issue, but He will not commit 2 strong immigration enforcement either #MOSen https://t.co/8E0tezoRQA</t>
  </si>
  <si>
    <t>@dylancmustang @ofthefree20 @Vets4AP @AP4Liberty Yes he is</t>
  </si>
  <si>
    <t>RT @magathemaga1: BARNES TEMPERAMENT &amp;amp; COLLUSION HAS ALLOWED MISSOURIANS TO UNCOVER SOFT COUP!
“We learned today Barnes knew about cash pa…</t>
  </si>
  <si>
    <t>RT @magathemaga1: ED DOWD ASKS STAR CHAMBER MASTER FOR FAUGN TO ANSWER THE QUESTIONS ABOUT FRAME JOB and MONEY DROP!
They laugh in his fac…</t>
  </si>
  <si>
    <t>RT @magathemaga1: @suchhate @RightSideUp313 @tkinder @Markknight45 @BigJShoota @HDowning113 @thisisjames @729ret @ohsynesthesia @trumpchess…</t>
  </si>
  <si>
    <t>RT @YearOfZero: @TeamTilley 
Since ur on here, can U explain what @MariaChappelleN meant by this tweet?
Somebody memed her. Something abo…</t>
  </si>
  <si>
    <t>RT @magathemaga1: ROD ROSENSTEIN IS A CRIMINAL ADMITS:
“I only come to #MoLeg to read about all that #COLLUSION”
That’s right. 
#GreasyJ…</t>
  </si>
  <si>
    <t>RT @HotPokerPrinces: Sterling Bank , Tilley, Parsons, Jeff Smith JES Holdings LLC
This is getting Hella Good !   Subpoena them All 
#greit…</t>
  </si>
  <si>
    <t>RT @HotPokerPrinces: @AndrewHavKY3 @magathemaga1 @EricGreitens Jay Barnes operated in Secret With Scott Faughn 
He was Tainted goods &amp;amp; his…</t>
  </si>
  <si>
    <t>RT @RealTravisCook: And ultimately, that's what this #WitchHunt has been about all along--that the voters of Missouri didn't allow the #gop…</t>
  </si>
  <si>
    <t>@TeamTilley 
Since ur on here, can U explain what @MariaChappelleN meant by this tweet?
Somebody memed her. Something about Republic services, faughn + Tilley. What does she mean? 
Asume has to do with the burning fire &amp;amp; not the #LIHTC COUP
#moleg #mogov #greitens #GreasyJay https://t.co/UrHAjbNL5G</t>
  </si>
  <si>
    <t>RT @Sticknstones4: Look somebody is pissed off at the threat of being subpoenaed!    It really Sucks when your LIHTC scam is being exposed.…</t>
  </si>
  <si>
    <t>RT @Sticknstones4: Low Income Housing Tax Credit Scam Players ! 
#greitens #moleg #mosen #mogov #lihtc #hayseedmafia #poplarbluff #missour…</t>
  </si>
  <si>
    <t>RT @J_Hancock: . @EricGreitens lawyers want Missouri House to subpoena bank tied to low-income housing developers
https://t.co/FUJOTn0WNo…</t>
  </si>
  <si>
    <t>RT @J_Hancock: Tax credits for low-income housing are ‘dead’ amid scrutiny from lawmakers and @EricGreitens
https://t.co/wELnpnPmke #moleg…</t>
  </si>
  <si>
    <t>RT @MSTLGA: Following The Players &amp;amp; The Game 
Collusion to take down Governor Greitens 
Corruption powered by greed of LIHTC
#donnybrook…</t>
  </si>
  <si>
    <t>RT @MSTLGA: Tax  Credit Mafia Chart 
#donnybrookstl #greitens #moleg #barnesmustgo #felonfaughn #mosen #mogov #STLcards https://t.co/CkDy1…</t>
  </si>
  <si>
    <t>RT @YearOfZero: @notorioushilary @RealTravisCook @Tito19993 @Norasmith1000 @Sticknstones4 @Neilin1Neil @EricGreitens @KathieConway @intheju…</t>
  </si>
  <si>
    <t>RT @Neilin1Neil: The false charges against Gov. Greitens were dropped. Since that did not work, #moleg will attempt impeachment. #moleg doe…</t>
  </si>
  <si>
    <t>RT @STC_GOP: Representative John Wiemann decided to stop by and help one of his supporters with some yard work while talking to his constit…</t>
  </si>
  <si>
    <t>RT @TomJEstes: You don’t want to talk about guns. You want to talk about taking our guns. And, no, we’re not going to talk about giving bac…</t>
  </si>
  <si>
    <t>RT @YearOfZero: Hey Roy. Why hasn’t the media talked about the fact that she dated Chris Koster?
Media and @jaybarnes5 afraid it will expo…</t>
  </si>
  <si>
    <t>RT @christoferguson: A tale of tax credit fraud and the usual #StL crony capitalism with developers: Lifting the veil on Paul McKee's 'tran…</t>
  </si>
  <si>
    <t>RT @MSTLGA: Life skills 101:   May sure you hired a skilled attorney 
And not a colluding Kangaroo 
#BARNESMUSTGO #MoLeg #GreasyJay #kanga…</t>
  </si>
  <si>
    <t>RT @repdottieb4mo: The political version of "Pimp my Ride"...on a low budget...hey man, I'm trying! The kids loved it! #maga #moleg https:/…</t>
  </si>
  <si>
    <t>RT @JW1057: @Neilin1Neil @EricGreitens @RealTravisCook @YearOfZero @Sticknstones4 @KathieConway @inthejungle234 @Norasmith1000 @liberty1776…</t>
  </si>
  <si>
    <t>RT @repdottieb4mo: It was great visiting with #MOLeg District 110 peeps last evening at the #Eureka block party and hearing their concerns…</t>
  </si>
  <si>
    <t>@RealTravisCook @notorioushilary @Tito19993 @Norasmith1000 @Sticknstones4 @Neilin1Neil @EricGreitens @KathieConway @inthejungle234 @liberty1776son @VisioDeiFromLA @DeplorableGoldn @Boothe08887997 @JW1057 @edemery Of course it’s common. Why do you think 50 shades was so successful</t>
  </si>
  <si>
    <t>Kyle is afraid to post on #moleg because his lies will get exposed.
It was a consensual affair and #greitens was framed. Does nothing of what has come out on how this is a scam Matter to you? 
It’s like you are getting paid to lie. Are you an operative?
#GreitensImpeachment https://t.co/dOx0VuzAec</t>
  </si>
  <si>
    <t>Hey Roy. Why hasn’t the media talked about the fact that she dated Chris Koster?
Media and @jaybarnes5 afraid it will expose this whole story as a fraud?
That is entirely relevant to #GreitensImpeachment #moleg #mogov https://t.co/ikCUuuhTs6</t>
  </si>
  <si>
    <t>It also doesn’t mean they were taken. 
This is idiotic. There would be no indictment without Kim Gardner’s bs. 
And this #GreitensImpeachment wouldn’t even be happening. 
@Rep_TRichardson @MissouriGOP https://t.co/RtN90OVpLG</t>
  </si>
  <si>
    <t>She isn’t a victim dude.
She also got caught lying in her ksdk interview.
#greitenspeachment #kcmo #stl https://t.co/t3gbVTVjEG</t>
  </si>
  <si>
    <t>RT @Thomas1774Paine: Comey Brings Up Trump’s Grandkids, So Trump Returns the Favor… and Scorches Him https://t.co/wt5pX4hCN9</t>
  </si>
  <si>
    <t>@notorioushilary @RealTravisCook @Tito19993 @Norasmith1000 @Sticknstones4 @Neilin1Neil @EricGreitens @KathieConway @inthejungle234 @liberty1776son @VisioDeiFromLA @DeplorableGoldn @Boothe08887997 @JW1057 @edemery They want this, the original alpha male movie character 
https://t.co/kj7AAm2qhi</t>
  </si>
  <si>
    <t>@notorioushilary @RealTravisCook @Tito19993 @Norasmith1000 @Sticknstones4 @Neilin1Neil @EricGreitens @KathieConway @inthejungle234 @liberty1776son @VisioDeiFromLA @DeplorableGoldn @Boothe08887997 @JW1057 @edemery So your arguing affirmative consent which would, if actually followed, turn off women because woman want leaders and in a way as a man, you have to read the clues you drop. They don’t want men who will constantly ask.</t>
  </si>
  <si>
    <t>@notorioushilary @RealTravisCook @Tito19993 @Norasmith1000 @Sticknstones4 @Neilin1Neil @EricGreitens @KathieConway @inthejungle234 @liberty1776son @VisioDeiFromLA @DeplorableGoldn @Boothe08887997 @JW1057 @edemery This is the type of insanity your advocating and in the end.
https://t.co/1VcpYuX7GG</t>
  </si>
  <si>
    <t>@notorioushilary @RealTravisCook @Tito19993 @Norasmith1000 @Sticknstones4 @Neilin1Neil @EricGreitens @KathieConway @inthejungle234 @liberty1776son @VisioDeiFromLA @DeplorableGoldn @Boothe08887997 @JW1057 @edemery What’s top selling genre of books?
Romance, erotica. 
98 percent buyers R women. Woman R just as dirty and horn dogs as men.  50 shades of grey thing important. There are lines in the from what’s public Ks stuff straight out of book
#moleg #greitens 
https://t.co/Zzko5oV9KK</t>
  </si>
  <si>
    <t>RT @TomiLahren: Hey guess what, you can still pout in your own time! Suck it up! https://t.co/gCPyI9dJGv https://t.co/pTeGEMbonv</t>
  </si>
  <si>
    <t>RT @SuzanneLTDHJ: 😡At this time in history w/Tommy Robinson under lock &amp;amp; key for outing rape gangs, let us not forget who Gavin Newsom was…</t>
  </si>
  <si>
    <t>RT @pink_lady56: #FreeTommy https://t.co/kVEUhMtfGE</t>
  </si>
  <si>
    <t>RT @USFreedomArmy: College has become a money factory. Most graduates have no skills. Enlist with our patriots at https://t.co/oSPeY48nOh.…</t>
  </si>
  <si>
    <t>@notorioushilary @RealTravisCook @Tito19993 @Norasmith1000 @Sticknstones4 @Neilin1Neil @EricGreitens @KathieConway @inthejungle234 @liberty1776son @VisioDeiFromLA @DeplorableGoldn @Boothe08887997 @JW1057 @edemery Also lying to the media and courts doesn’t help.</t>
  </si>
  <si>
    <t>@notorioushilary @RealTravisCook @Tito19993 @Norasmith1000 @Sticknstones4 @Neilin1Neil @EricGreitens @KathieConway @inthejungle234 @liberty1776son @VisioDeiFromLA @DeplorableGoldn @Boothe08887997 @JW1057 @edemery Use common sense. And realize, if you go over to a man’s house and engage in what appears to be role play straight out of 50 shades of grey, and continue to see the man, and don’t report it until years later when money shows up, expect serious skepticism.</t>
  </si>
  <si>
    <t>@notorioushilary @RealTravisCook @Tito19993 @Norasmith1000 @Sticknstones4 @Neilin1Neil @EricGreitens @KathieConway @inthejungle234 @liberty1776son @VisioDeiFromLA @DeplorableGoldn @Boothe08887997 @JW1057 @edemery BUT also seen plenty of women who have been scorned or pissed at their men just making up garbage to to get back him. It happens ALL THE TIME. Because women know they can get away with it, manipulate men to believe them. If anything—she would have had 0 problem with reporting it</t>
  </si>
  <si>
    <t>@notorioushilary @RealTravisCook @Tito19993 @Norasmith1000 @Sticknstones4 @Neilin1Neil @EricGreitens @KathieConway @inthejungle234 @liberty1776son @VisioDeiFromLA @DeplorableGoldn @Boothe08887997 @JW1057 @edemery Being LEO, I’ve actually studied this issue, have worked in these situations, and looked at it very closely and I do take accusations very seriously. A lot of women ARE VICTIMS of scumbag men.</t>
  </si>
  <si>
    <t>@notorioushilary @RealTravisCook @Tito19993 @Norasmith1000 @Sticknstones4 @Neilin1Neil @EricGreitens @KathieConway @inthejungle234 @liberty1776son @VisioDeiFromLA @DeplorableGoldn @Boothe08887997 @JW1057 @edemery You really haven’t read up on who is actually behind “affirmative consent” or any of this nonsense, have you?</t>
  </si>
  <si>
    <t>@notorioushilary @RealTravisCook @Tito19993 @Norasmith1000 @Sticknstones4 @Neilin1Neil @EricGreitens @KathieConway @inthejungle234 @liberty1776son @VisioDeiFromLA @DeplorableGoldn @Boothe08887997 @JW1057 @edemery And, if laws are actually codified like these nutjob liberals want, depending on how they are written, everything is up for interpretation. He pulled out but not fast enough. Rape. 
In the real world, thats called an accident. In the world you propose that’s called rape</t>
  </si>
  <si>
    <t>@notorioushilary @RealTravisCook @Tito19993 @Norasmith1000 @Sticknstones4 @Neilin1Neil @EricGreitens @KathieConway @inthejungle234 @liberty1776son @VisioDeiFromLA @DeplorableGoldn @Boothe08887997 @JW1057 @edemery But with affirmative consent, taken to its logical conclusion, instead of it just being a mistake and a risk both of you take, that woman could then “interpret that” as rape or abuse, as defined by those pushing this nonsense.</t>
  </si>
  <si>
    <t>@notorioushilary @RealTravisCook @Tito19993 @Norasmith1000 @Sticknstones4 @Neilin1Neil @EricGreitens @KathieConway @inthejungle234 @liberty1776son @VisioDeiFromLA @DeplorableGoldn @Boothe08887997 @JW1057 @edemery basically saying women aren’t in control while carrying the Venneer of “equality” 
Example, if u go to a man’s apartment after a date, consent to sex, but if he doesn’t pull out fast enough, that is just risk u take. You can’t say, well we agreed not to cum in me so that’s rape</t>
  </si>
  <si>
    <t>@notorioushilary @RealTravisCook @Tito19993 @Norasmith1000 @Sticknstones4 @Neilin1Neil @EricGreitens @KathieConway @inthejungle234 @liberty1776son @VisioDeiFromLA @DeplorableGoldn @Boothe08887997 @JW1057 @edemery You can tout all sorts of Marxist theory all you want, but ultimately affirmative consent is really another theory that removes responsibly from the woman in such a situation.</t>
  </si>
  <si>
    <t>@notorioushilary @RealTravisCook @Tito19993 @Norasmith1000 @Sticknstones4 @Neilin1Neil @EricGreitens @KathieConway @inthejungle234 @liberty1776son @VisioDeiFromLA @DeplorableGoldn @Boothe08887997 @JW1057 @edemery Woman want men to lead and I guarantee you, your views are in the minority even among women. 
Women want men who R leaders and alpha. This is by design. Why do you think so many women will straight up cheat on their man if they make more money than him, or with a governor to be?</t>
  </si>
  <si>
    <t>@notorioushilary @RealTravisCook @Tito19993 @Norasmith1000 @Sticknstones4 @Neilin1Neil @EricGreitens @KathieConway @inthejungle234 @liberty1776son @VisioDeiFromLA @DeplorableGoldn @Boothe08887997 @JW1057 @edemery I guarantee even the woman pushing this, when the right guy comes along, will gladly discard it. 
Your trying to get human beings to act different than biology that has been established for millions of years.</t>
  </si>
  <si>
    <t>@notorioushilary @RealTravisCook @Tito19993 @Norasmith1000 @Sticknstones4 @Neilin1Neil @EricGreitens @KathieConway @inthejungle234 @liberty1776son @VisioDeiFromLA @DeplorableGoldn @Boothe08887997 @JW1057 @edemery No. Biology doesn’t change and attraction isn’t a choice. We evolved mating procedures for survival reasons. What your trying to do is dictate biology with a trumped up feminist theory. You can’t change human nature.</t>
  </si>
  <si>
    <t>@notorioushilary @RealTravisCook @Tito19993 @Norasmith1000 @Sticknstones4 @Neilin1Neil @EricGreitens @KathieConway @inthejungle234 @liberty1776son @VisioDeiFromLA @DeplorableGoldn @Boothe08887997 @JW1057 @edemery If you claim women are equal to men then use common sense 
This situation right here is a perfect example... she kept seeing him and even nude webcammed after the alleged incident. Story is bs and so is your anti American Marxist theory</t>
  </si>
  <si>
    <t>@notorioushilary @RealTravisCook @Tito19993 @Norasmith1000 @Sticknstones4 @Neilin1Neil @EricGreitens @KathieConway @inthejungle234 @liberty1776son @VisioDeiFromLA @DeplorableGoldn @Boothe08887997 @JW1057 @edemery It hasn’t been around for a while. The only places it exists on college campuses and in radical leftists minds. Marxists are trying to replace common sense with it. 
Tell a man no. It’s simple. Don’t get involved with men you don’t trust.</t>
  </si>
  <si>
    <t>@notorioushilary @RealTravisCook @Tito19993 @Norasmith1000 @Sticknstones4 @Neilin1Neil @EricGreitens @KathieConway @inthejungle234 @liberty1776son @VisioDeiFromLA @DeplorableGoldn @Boothe08887997 @JW1057 @edemery They already do that with masculinity. Masculinity is bad per them and now that there are more and more feminized men and women complain. It’s what they wanted, I thought! 
No it’s the Marxists and post modernists wanted and tricked a generation</t>
  </si>
  <si>
    <t>@notorioushilary @RealTravisCook @Tito19993 @Norasmith1000 @Sticknstones4 @Neilin1Neil @EricGreitens @KathieConway @inthejungle234 @liberty1776son @VisioDeiFromLA @DeplorableGoldn @Boothe08887997 @JW1057 @edemery You fundamentally misunderstand human nature and female nature. I guarantee you don’t even live by these rules and if this were to actually be enforced eventually women would start asking, where have all the men who can take charge gone?</t>
  </si>
  <si>
    <t>@notorioushilary @RealTravisCook @Tito19993 @Norasmith1000 @Sticknstones4 @Neilin1Neil @EricGreitens @KathieConway @inthejungle234 @liberty1776son @VisioDeiFromLA @DeplorableGoldn @Boothe08887997 @JW1057 @edemery I guarantee that even people who parrot “affirmative consent” will get tired of a man asking at each state of a sexual interaction if “this is ok”
it’s bs and you know it. It’s not a thing except in the mind of Marxist professors and students who actually subscribe to their bs</t>
  </si>
  <si>
    <t>@notorioushilary @RealTravisCook @Tito19993 @Norasmith1000 @Sticknstones4 @Neilin1Neil @EricGreitens @KathieConway @inthejungle234 @liberty1776son @VisioDeiFromLA @DeplorableGoldn @Boothe08887997 @JW1057 @edemery If you don’t think so, then you don’t think woman are equal to men.
In this case, kitty not only consented, we went back for seconds and thirds. And that’s why this whole story is bs</t>
  </si>
  <si>
    <t>@notorioushilary @RealTravisCook @Tito19993 @Norasmith1000 @Sticknstones4 @Neilin1Neil @EricGreitens @KathieConway @inthejungle234 @liberty1776son @VisioDeiFromLA @DeplorableGoldn @Boothe08887997 @JW1057 @edemery They want men to lead. Not get “affirmative consent.”
Woman have the power to say no, and if a man doesn’t, then that crosses the line. But a man picking up nonverbal cues and signals and the woman going along is consent. Period.</t>
  </si>
  <si>
    <t>@notorioushilary @RealTravisCook @Tito19993 @Norasmith1000 @Sticknstones4 @Neilin1Neil @EricGreitens @KathieConway @inthejungle234 @liberty1776son @VisioDeiFromLA @DeplorableGoldn @Boothe08887997 @JW1057 @edemery “Affirmative consent” is post modern garbage, imaginary by Dance therapy majors. It’s not an actual thing 
Use common sense. If a man does something you dont like tell him no. Women expect men to pick up on not just verbal and non verbal cues &amp;amp; they don’t want be asked.</t>
  </si>
  <si>
    <t>@notorioushilary @RealTravisCook @Tito19993 @Norasmith1000 @Sticknstones4 @Neilin1Neil @EricGreitens @KathieConway @inthejungle234 @liberty1776son @VisioDeiFromLA @DeplorableGoldn @Boothe08887997 @JW1057 @edemery We as a society also need to accept the fact that if the woman waits 3 years or 30 years to file a report or come forward 90 percent chance it is bull with 10 percent chance of it being true.
#greitens #moleg #mogov</t>
  </si>
  <si>
    <t>@notorioushilary @RealTravisCook @Tito19993 @Norasmith1000 @Sticknstones4 @Neilin1Neil @EricGreitens @KathieConway @inthejungle234 @liberty1776son @VisioDeiFromLA @DeplorableGoldn @Boothe08887997 @JW1057 @edemery If you are assaulted, file a police report. 
Any cops will tell u, even in a domestic disturbance situation, we often will tell husband to split for 24-48 hours Even is she is at fault, just for things to cool down. And usually they cool down. But we take the claims seriously</t>
  </si>
  <si>
    <t>@notorioushilary @RealTravisCook @Tito19993 @Norasmith1000 @Sticknstones4 @Neilin1Neil @EricGreitens @KathieConway @inthejungle234 @liberty1776son @VisioDeiFromLA @DeplorableGoldn @Boothe08887997 @JW1057 @edemery Even if there are threats about releasing a picture, and we have probable cause, we can investigate and put a stop to it if true. 
We also need to do away with crappy witness advocates who manipulate people so they can EG a paycheck and post modernist thought on this subject.</t>
  </si>
  <si>
    <t>@notorioushilary @RealTravisCook @Tito19993 @Norasmith1000 @Sticknstones4 @Neilin1Neil @EricGreitens @KathieConway @inthejungle234 @liberty1776son @VisioDeiFromLA @DeplorableGoldn @Boothe08887997 @JW1057 @edemery What needs to happen is the following: 
Specifically teach women that regret doesn’t = lack of consent
Regret doesn’t = rape or assault 
If you are assaulted or abused, immediately go to the police. We do not laugh at this stuff contrary to what liberals claim. 
#moleg #mogov</t>
  </si>
  <si>
    <t>@RealTravisCook @Tito19993 @Norasmith1000 @Sticknstones4 @Neilin1Neil @EricGreitens @KathieConway @inthejungle234 @liberty1776son @VisioDeiFromLA @DeplorableGoldn @Boothe08887997 @JW1057 @edemery Better question: is IRS going to do full audit on woman and man’s bank accounts and any suspicious money transactions or large purchases?</t>
  </si>
  <si>
    <t>@RealTravisCook @Tito19993 @Norasmith1000 @Sticknstones4 @Neilin1Neil @EricGreitens @KathieConway @inthejungle234 @liberty1776son @VisioDeiFromLA @DeplorableGoldn @Boothe08887997 @JW1057 @edemery Even if she was blackmailed (she wast), we could have hauled him in and started an investigation if probable cause. 
There was no probable cause and that’s why KG didn’t go use her own police and that’s why this only came out now. Because it was a consensual affair and kinky</t>
  </si>
  <si>
    <t>@RealTravisCook @Tito19993 @Norasmith1000 @Sticknstones4 @Neilin1Neil @EricGreitens @KathieConway @inthejungle234 @liberty1776son @VisioDeiFromLA @DeplorableGoldn @Boothe08887997 @JW1057 @edemery Here’s why the story is bull. 
I’m a former LEO. She could have went to the police and we could have got court to issue TRO ASAP even though story is lie. We always do that and we always play with caution when women make claims. We then would have questioned greitens.</t>
  </si>
  <si>
    <t>RT @JW1057: @GarrettKRCG13 It is Barnes who was collaborating against Greitens before investigation even started. It was Barnes who release…</t>
  </si>
  <si>
    <t>RT @JW1057: @MBersin Why would he testify before a committee that predetermined its results, whose chairman is working with the money man,…</t>
  </si>
  <si>
    <t>RT @NickBSchroer: Let's remember and pay tribute this weekend to the American heroes that gave their lives to protect the freedoms that we…</t>
  </si>
  <si>
    <t>RT @JW1057: @ws_missouri @gregrazer is beyond disgusting. @EricGreitens is no coward and no idiot. He's smart to adhere to the wise advice…</t>
  </si>
  <si>
    <t>RT @JW1057: @rossgarber Perhaps, some people in the @MOHOUSECOMM need to read this article. It seems we could easily substitute Andrews Joh…</t>
  </si>
  <si>
    <t>RT @Sticknstones4: Where the petition to allow cross examination of witnesses? 
@Rep_TRichardson is a LIHTC puppet to his donors 
Witch H…</t>
  </si>
  <si>
    <t>RT @YearOfZero: I’m still waiting for the reports from yesterday on the deposition. You reported about them Wednesday. How come not on Thur…</t>
  </si>
  <si>
    <t>RT @YearOfZero: She is.
#moleg #mogov #greitens https://t.co/s87LGGwco3</t>
  </si>
  <si>
    <t>RT @YearOfZero: @cawleykl @sigi_hill @CaseyNolen She had 3 years to come forward. I’m 30 year LEO. She would have had no problem coming for…</t>
  </si>
  <si>
    <t>RT @YearOfZero: Why haven’t you reported on the deposition being read into record on thursday?
You did on Wednesday...
Why are you afraid…</t>
  </si>
  <si>
    <t>RT @melody_grover: Do two of @HawleyMO biggest early backers, @JCunninghamMO and @JohnLamping, still support him even after his politically…</t>
  </si>
  <si>
    <t>RT @HotPokerPrinces: Easy Peasy Cheesy Greasy Jay Barnes 
Kangaroo Court  Tribunal 
End the Coup against Governor Greitens 
#Moleg #mogo…</t>
  </si>
  <si>
    <t>RT @AndrewHavKY3: STATEMENT: Michelle Nasser, one of Gov. @EricGreitens’ attorneys with the Dowd Bennett law firm. “I believe the Committee…</t>
  </si>
  <si>
    <t>RT @YearOfZero: Only the truly delusional and paid off consultants believe this.
The delusional is harder to understand than the paid.
#m…</t>
  </si>
  <si>
    <t>RT @realDonaldTrump: Chicago Police have every right to legally protest against the mayor and an administration that just won’t let them do…</t>
  </si>
  <si>
    <t>RT @realDonaldTrump: Funny to watch the Democrats criticize Trade Deals being negotiated by me when they don’t even know what the deals are…</t>
  </si>
  <si>
    <t>Only the truly delusional and paid off consultants believe this.
The delusional is harder to understand than the paid.
#moleg #mogov https://t.co/YacSehdQc2</t>
  </si>
  <si>
    <t>Why haven’t you reported on the deposition being read into record on thursday?
You did on Wednesday...
Why are you afraid of doing your job?
#moleg #mogov #greitens https://t.co/UXtma1Q3SU</t>
  </si>
  <si>
    <t>Hey Sarah, did you know about this affair back in 2016? 
You notice how the media didn’t report the deposition being read into the record on Thursday?
Regret doesn’t equal abuse
It was a consensual affair. Your going to owe everybody an apology soon. 
#mosen #mogov #Greitens https://t.co/RswlCNEthT</t>
  </si>
  <si>
    <t>@cawleykl @sigi_hill @CaseyNolen She had 3 years to come forward. I’m 30 year LEO. She would have had no problem coming forward and we would have issued a TRO immediately and questioned greitens. 
She didn’t come forward because she is a liar just like her husband. She has already several times. 
#moleg #mogov</t>
  </si>
  <si>
    <t>She DATED CHRIS KOSTER. Stop lying, Karen.
SHE DATED HIM. 
Stacey Newman also colluded to engineer this crime with CAO.
#moleg #mogov #greitens #GreitensImpeachment https://t.co/zudXZTu9tk</t>
  </si>
  <si>
    <t>That doesn’t make her truthful. She’s been caught in quite a few lies
#moleg #mogov #greitens https://t.co/IRgzMhx6JR</t>
  </si>
  <si>
    <t>She is.
#moleg #mogov #greitens https://t.co/s87LGGwco3</t>
  </si>
  <si>
    <t>I’m still waiting for the reports from yesterday on the deposition. You reported about them Wednesday. How come not on Thursday?
#moleg #mogov #greitens https://t.co/cjDdnJVeko</t>
  </si>
  <si>
    <t>RT @magathemaga1: SECRET VIDEO of #GreasyJay's KANGAROO COURT UNCOVERED!
CAUGHT IN ACT of #COLLUSION with Faughn, BARNES DOUBLES DOWN &amp;amp; tr…</t>
  </si>
  <si>
    <t>RT @YearOfZero: Hey @Mikelkehoe what kind of deal did you cut with @mikeparson to engage in in this Tax Credit COUP
Barnes straight up COL…</t>
  </si>
  <si>
    <t>@beardedcrank @Politics_Polls @GravisMarketing @AP4Liberty It’s a good thing that, even if you don’t believe what I am saying, the evidence confirms what I’m saying. The woman has lied repeatedly</t>
  </si>
  <si>
    <t>RT @CJheartart: Thank you @curtisdtrent  for the fairminded and thorough questioning of witnesses. Pleae take note @jaybarnes5 @MOHouseGOP…</t>
  </si>
  <si>
    <t>RT @KenPrier: Why bother voting for a governor when #moleg and media are going to do an end run to deprive us of a duly elected official????</t>
  </si>
  <si>
    <t>@SuchHate @SKOLBLUE1 @ws_missouri @SDienerNews @LaurenTrager @KMOV She used to work at CAO and knows all these people. I gave her the benefit of the doubt a while back but it now looks like she was colluding with all these scammers</t>
  </si>
  <si>
    <t>@beardedcrank @Politics_Polls @GravisMarketing @AP4Liberty Are you in Missouri? Go look at Facebook comments. Only die hard Lunatic lefties and radical feminists believe it or republicans with something to gain</t>
  </si>
  <si>
    <t>@beardedcrank @Politics_Polls @GravisMarketing @AP4Liberty Yes he is. Nobody in Missouri believes the fake hairdresser story. Everybody knew about this woman before this story. She has a rep</t>
  </si>
  <si>
    <t>RT @Politics_Polls: MISSOURI
Trump Job Approval:
Approve 68%
Disapprove 31%
.
Sen. Claire McCaskill (D) Job Approval:
Approve 40%
Disapprov…</t>
  </si>
  <si>
    <t>RT @EdBigCon: Greitens’ lawyers want Missouri House to subpoena bank, low-income housing developers https://t.co/anx77RbtnY</t>
  </si>
  <si>
    <t>RT @YearOfZero: #MoLeg
Your little modern day Salem that’s going on is a total tax credit COUP—how much did they pay you!
We also know th…</t>
  </si>
  <si>
    <t>RT @magathemaga1: “Those that had benefited from status quo have attacked #Greitens in every way possible ... they R attempting 2 remove Hi…</t>
  </si>
  <si>
    <t>RT @magathemaga1: #GreasyJay is little upset today &amp;amp; is peacocking for the cameras today 
Sorry Greasy!
We know you COLLUDED with Scott F…</t>
  </si>
  <si>
    <t>RT @magathemaga1: Tax Credit Kings DEMAND COUP of #Greitens 
1. #GreasyJay &amp;amp; Faughn colluded
2. KMOV knew!
3. Stacey &amp;amp; KG colluded!
3. EVE…</t>
  </si>
  <si>
    <t>RT @dbongino: More disgusting, racist, liberal commentary. https://t.co/ISBp4RbpHg</t>
  </si>
  <si>
    <t>RT @NRATV: "What side is @NancyPelosi on? I'm not kidding. Listen to how she's almost celebratory in the fact that the North Korean Summit…</t>
  </si>
  <si>
    <t>RT @marklevinshow: Armed citizen killed mass shooter. Most lib media ignores. https://t.co/KprGmAdLiS</t>
  </si>
  <si>
    <t>RT @dbongino: No amount of dire warning will keep me from my bacon. https://t.co/D7nmOep6gP</t>
  </si>
  <si>
    <t>RT @NRATV: "Gun control is a focus group tested talking point. Liberals want gun confiscation. They don't want to control guns. They want t…</t>
  </si>
  <si>
    <t>RT @dbongino: This tweet wins the Internet for the week 👇🏻👇🏻 https://t.co/tcLaKWauKP</t>
  </si>
  <si>
    <t>RT @seanmdav: https://t.co/zZmCcYwhZm</t>
  </si>
  <si>
    <t>RT @dbongino: Another terrific @LeeSmithDC piece. https://t.co/zdIbbW1AIg</t>
  </si>
  <si>
    <t>RT @marklevinshow: Common sense media control, lol! https://t.co/iiNERF1QA5</t>
  </si>
  <si>
    <t>RT @dbongino: Clueless Democrat congressman apparently unaware of the consequences of a government spy attempting to contact an opposition…</t>
  </si>
  <si>
    <t>RT @dbongino: The Democrats, and their liberal media propaganda team, now that word of a spy probing the Trump team is out. 
#Spygate https…</t>
  </si>
  <si>
    <t>RT @dbongino: Why are the liberal media, &amp;amp; their Democrat pals, playing word games with the word “spy”? Big show today. 
DON’T MISS my podc…</t>
  </si>
  <si>
    <t>RT @KimStrassel: This Clapper et al line that purpose of spy was to monitor Russians, not campaign, is a joke. Did FBi task a spy to the Cl…</t>
  </si>
  <si>
    <t>@_CarrieP @dbongino @maggieNYT Media keeps lying and lying. Remember when “wiretapping” never happened. POTUS has seen all the documents</t>
  </si>
  <si>
    <t>RT @KimStrassel: Dictionary definition of spy: “person who secretly collects and reports information on the activities, movements, and plan…</t>
  </si>
  <si>
    <t>RT @dbongino: 😂 https://t.co/Fu3JYP5Fw0</t>
  </si>
  <si>
    <t>you do know @realDonaldTrump has likely already seen all the documents?
You apparently don’t what powers POTUS has. He has seen it all.
You keep lying to protect that traitor obama.
They all committed actual treason not just fake kind u accuse trump of 
#spygate @dbongino https://t.co/6qyLKyKO99</t>
  </si>
  <si>
    <t>RT @dbongino: @maggieNYT  https://t.co/kbakMNGslC</t>
  </si>
  <si>
    <t>RT @dbongino: Pravda Maggie working OT to provide air cover for the police-state Dems. Shameless. Disgusting. Disturbing. Dangerous. https:…</t>
  </si>
  <si>
    <t>RT @dbongino: If the same government SPY had interacted with the liberal media the way they interacted with the Trump team there would be a…</t>
  </si>
  <si>
    <t>RT @dbongino: #Spygate</t>
  </si>
  <si>
    <t>RT @dbongino: Mashup: If the Pravda, mainstream media, switched spots with Ian Fleming. 
#Spygate H/T Tim S. https://t.co/rXxTtjr2lc</t>
  </si>
  <si>
    <t>RT @dbongino: Please, if you don’t mind, subscribe to our podcast and help us move up the top charts and beat the liberal shows. Subscribe…</t>
  </si>
  <si>
    <t>RT @dbongino: Will there be investigations &amp;amp; arrests in the #Spygate scandal? Big show today. 
DON’T MISS my podcast today for the details.…</t>
  </si>
  <si>
    <t>#MoLeg
Your little modern day Salem that’s going on is a total tax credit COUP—how much did they pay you!
We also know that Barnes guy was colluding with the the West Butler County Man
And we will not tolerate it!
End the witch hunt!
#mogov #spygate
https://t.co/3jLkTg3wgS</t>
  </si>
  <si>
    <t>RT @repdottieb4mo: Okay, my dog, Duke is running for public office! He is loyal, trustworthy, doesn't ask for much, always positive, quick…</t>
  </si>
  <si>
    <t>RT @dbongino: Watching the Democrats, and their media boot-lickers, salivate over the North Korean tyrant’s attempted propaganda coup today…</t>
  </si>
  <si>
    <t>RT @mschlapp: Dear Republican Congress, Pres Obama oversaw a domestic espionage effort on political opponents. When will you ask him the to…</t>
  </si>
  <si>
    <t>RT @ScottPresler: Headed to Walmart to gather supplies for a new sign, 
"There are 3.6 Million black children in poverty. Why do democrats…</t>
  </si>
  <si>
    <t>RT @PoliticalShort: FBI Special Agent Joe Pientka, if subpoenaed, will provide testimony regarding the circumstances surrounding his interv…</t>
  </si>
  <si>
    <t>RT @JW1057: @KurtEricksonPD Does @Mikelkehoe deny that Barnes knew of the money and concealed it? Does Barnes deny he colluded with Faughn…</t>
  </si>
  <si>
    <t>RT @Neilin1Neil: @realDonaldTrump #MoLeg is out to Delegitimize the election of Eric Greitens, and put the screws to the peoplle who electe…</t>
  </si>
  <si>
    <t>Says the university of Alabama law professor. Trump can see all of the classified info. You apparently don’t know what the president is privy to https://t.co/ALo2pMhgrL</t>
  </si>
  <si>
    <t>RT @JackPosobiec: They don’t talk to you anymore https://t.co/K6N98iuzI7</t>
  </si>
  <si>
    <t>RT @JackPosobiec: We have been telling you about #Spygate every day for the past 10 months
It's all coming out now</t>
  </si>
  <si>
    <t>RT @JackPosobiec: I agree with Jim Jordan
If this doesn't warrant a Second Special Counsel, what does?</t>
  </si>
  <si>
    <t>RT @OliMauritania: #SpyGate aka CrossFire Hurricane was a false flag spying counter intelligence operation to entrap the Trump Campaign.</t>
  </si>
  <si>
    <t>RT @MarkSteynOnline: Tinker, Tailor, Clapper, Carter, Downer, Halper, Spy #SteynOnAmerica https://t.co/pQdnqHEOt6 https://t.co/mW59DtPQiX</t>
  </si>
  <si>
    <t>RT @JackPosobiec: Steyn is right. Mifsud has high-level ties to London https://t.co/xSlPfpYf4v</t>
  </si>
  <si>
    <t>RT @JackPosobiec: If you’re offended the President called Stefan Halper a spy you really don’t want to hear what he’s calling him in private</t>
  </si>
  <si>
    <t>RT @JackPosobiec: REPORT: FBI Spy Stefan Halper Spread False Claims About General Flynn https://t.co/2D2qD8l7Qy</t>
  </si>
  <si>
    <t>RT @JackPosobiec: If they were spying the whole time then they have known all along that there was no collusion</t>
  </si>
  <si>
    <t>RT @LennoxLewis: Me and @BronzeBomber turning @TheSlyStallone into a knuckle sandwich. 😂😂😂 We are in DC for pardoning of Jack Johnson who w…</t>
  </si>
  <si>
    <t>RT @WhiteHouse: Today, President Trump posthumously pardoned heavyweight boxing champion Jack Johnson. https://t.co/JzKP87ZxVM</t>
  </si>
  <si>
    <t>RT @JTLaVoice: Jack Johnson is pardoned, life is what it should be.... 👇👇 
PLEASE RETWEET 
@blackvoices 
@FloydMayweather  @kcranews 👇👇 @a…</t>
  </si>
  <si>
    <t>RT @JTLaVoice: @LennoxLewis @TheSlyStallone @HectorSulaimanS @realDonaldTrump God bless Trump, This literally almost made me cry...
just t…</t>
  </si>
  <si>
    <t>RT @LennoxLewis: I’m in DC with @TheSlyStallone &amp;amp; @HectorSulaimanS to attend a session where @realDonaldTrump  will posthumously pardon Jac…</t>
  </si>
  <si>
    <t>RT @joelpollak: Our "racist" president just pardoned Jack Johnson, the first black heavyweight champion -- which the Congressional Black Ca…</t>
  </si>
  <si>
    <t>RT @PrisonPlanet: Bannon makes nuanced point about economic nationalism, BBC's Emily Maitlis responds with 'but what about David Duke?'
Th…</t>
  </si>
  <si>
    <t>RT @JacobAWohl: John Brennan: “I don’t do evidence” https://t.co/cs4lcuz4PJ</t>
  </si>
  <si>
    <t>RT @JackPosobiec: Spoken like a true communist https://t.co/Cipq5ISMtO</t>
  </si>
  <si>
    <t>RT @JackPosobiec: The unmasking started way before President Trump was even the nominee</t>
  </si>
  <si>
    <t>RT @JackPosobiec: When Brennan and Clapper speak lies they are speaking their native language</t>
  </si>
  <si>
    <t>RT @JackPosobiec: The People’s President and the People’s Champ https://t.co/4Fu2865z2s</t>
  </si>
  <si>
    <t>RT @JackPosobiec: Scott Adams and Dale talk about CNN’s worst day ever. https://t.co/l9v5Dp9UEm</t>
  </si>
  <si>
    <t>RT @JackPosobiec: Donald Trump, Steven Seagal, and Lennox Lewis in 1995 -- President Trump, Sy Stallone, and Lennox Lewis in the Oval Offic…</t>
  </si>
  <si>
    <t>RT @JackPosobiec: Buried under the headline, "The emails appear to be consistent with Mr. Stone’s description in his sworn testimony"
Oh.…</t>
  </si>
  <si>
    <t>RT @JackPosobiec: Amazon, who shares an owner with the Washington Post, and is a CIA data contractor, assures you it is only "rarely" recor…</t>
  </si>
  <si>
    <t>RT @JackPosobiec: President Trump, Deontay Wilder, Sylvester Stallone, and Lennox Lewis https://t.co/B01K0ifcc0</t>
  </si>
  <si>
    <t>RT @JackPosobiec: Obama was too busy trading war criminals for deserters and sending pallets of cash to Iran to pardon Jack Johnson</t>
  </si>
  <si>
    <t>RT @JackPosobiec: When will Catherine Herridge, @SharylAttkisson, and @SaraCarterDC be hailed as the fantastic journalists they all are?</t>
  </si>
  <si>
    <t>RT @TolerantNot: @JackPosobiec Fans of the series are tired of the SJW, feminist propaganda that took priority over good storytelling and c…</t>
  </si>
  <si>
    <t>RT @JackPosobiec: Do we have a Constitution any more? https://t.co/hw2a4Xtjow</t>
  </si>
  <si>
    <t>RT @AndrewPollackFL: We need more security in our schools NOW! Politicians have had 20 years to fix it but they’ve chosen partisan politics…</t>
  </si>
  <si>
    <t>RT @JackPosobiec: We told you it was the FBI all along https://t.co/NczoittLA9</t>
  </si>
  <si>
    <t>RT @T_S_P_O_O_K_Y: Yeah, @maggieNYT - Jim Clapper admitted on @TheView Intel Community was spying on the @realDonaldTrump campaign - and ev…</t>
  </si>
  <si>
    <t>RT @JackPosobiec: “When they go high, we go spy”</t>
  </si>
  <si>
    <t>RT @KyleKashuv: I saw people from my school quoting @NickKristof's garbage article, despite its many, many gaping holes, so I decided to di…</t>
  </si>
  <si>
    <t>RT @JackPosobiec: Oh https://t.co/oChprkYvNs</t>
  </si>
  <si>
    <t>RT @JackPosobiec: FBI Agents to Testify Against Comey https://t.co/mtQgHmb1EN</t>
  </si>
  <si>
    <t>RT @JackPosobiec: Stefan Halper was working for Mueller, too? https://t.co/YEmAaTiq9n</t>
  </si>
  <si>
    <t>RT @therealroseanne: guys i try to hook u up w lots of links to read here-i feel its something I can do to help. Trust that Good is winning…</t>
  </si>
  <si>
    <t>RT @JackPosobiec: I see these media types understand intel collection just as well as they understand firearms</t>
  </si>
  <si>
    <t>RT @TuckerCarlson: In an interview, James Clapper claimed that Russia flipped the result of the 2016 election. Asked for evidence, Clapper…</t>
  </si>
  <si>
    <t>RT @JackPosobiec: Raise your hand if you want to know what was in Hillary’s 33,000 deleted emails</t>
  </si>
  <si>
    <t>RT @charliekirk11: Democrats in 2017: Trump is crazy for thinking he is getting spied on 
Democrats in 2018: We spied on Trump to “help an…</t>
  </si>
  <si>
    <t>RT @SykesforSenate: Nice try, Mark. Hope you had fun with your little Russian hoax investigation. Now it's our turn. #MOSen #MAGA #SpyGate…</t>
  </si>
  <si>
    <t>RT @RealTravisCook: So #NorthKorea now says they want to meet...now that they have ZERO leverage!  See that? That's negotiation and diploma…</t>
  </si>
  <si>
    <t>RT @YearOfZero: Why haven’t you all reported on the deposition being read into the record?
Are you colluding with Barnes, Kurt? I would li…</t>
  </si>
  <si>
    <t>RT @CStamper_: @KurtEricksonPD I wonder if Kehoe is doing anything in order to manipulate representatives and shore up allies for his own b…</t>
  </si>
  <si>
    <t>RT @Neilin1Neil: @Str8DonLemon A coup to oust the outsider. Greitens stopped the gravy train, now #MoLeg wants revenge. #Greitens #SaveGove…</t>
  </si>
  <si>
    <t>RT @Sticknstones4: That bull sh*t  @Mikelkehoe 
Jay Barnes is unethical !
Any of you #moleg that colluded with Scott Faughn or appear on…</t>
  </si>
  <si>
    <t>Why haven’t you all reported on the deposition being read into the record?
Are you colluding with Barnes, Kurt? I would like to know
@Rep_TRichardson @Eric_Schmitt @BooneCoMOGOP @StLCountyRepub @MissouriGOP 
#moleg #mogov https://t.co/cXe1PsP2XG</t>
  </si>
  <si>
    <t>Hey @Mikelkehoe what kind of deal did you cut with @mikeparson to engage in in this Tax Credit COUP
Barnes straight up COLLUDED WITH SCOTT FAUGHN 
Stop the coup!
#moleg #mogov #greiten https://t.co/pThpIeEE0c</t>
  </si>
  <si>
    <t>Probably cuz he most likely cut a deal with @mikeparson 4 whole Tax Credit Coup so he could become LT Gov
@Rep_TRichardson we see this TAX CREDIT COUP FOR WHAT IT IS. 
It’s an attack on MISSOURI VOTERS 
Also BARNES WAS CAUGHT COLLUDING 
End witch hunt #moleg #mogov #Greitens https://t.co/WGlFCt9pEv</t>
  </si>
  <si>
    <t>RT @YearOfZero: Barnes had the tape before the indictment. He is colluding in this COUP
Your pathetic attempt at spin won’t change this
H…</t>
  </si>
  <si>
    <t>Where is your tweets on Barnes or the deposition from today. Are you covering up for the tax credit coup people?
#moleg #mogov #greitens https://t.co/L9ft0UHVBZ</t>
  </si>
  <si>
    <t>Where is all the reporting on the deposition today? You all reported yesterday on it, but not today. 
The part where they read it into the deposition
#moleg #mogov #greitens https://t.co/cXe1PsP2XG</t>
  </si>
  <si>
    <t>RT @repdottieb4mo: I will not cloak myself in President Trump’s accomplishments....wait, yes i will! I was Trump before Trump was cool. I k…</t>
  </si>
  <si>
    <t>Barnes had the tape before the indictment. He is colluding in this COUP
Your pathetic attempt at spin won’t change this
He got it from Faughn!
#moleg #mogov #greitens #missouri https://t.co/RAIvcCLQ6x</t>
  </si>
  <si>
    <t>RT @BigJShoota: 🤣😂🤣😂🤣 #GreasyJay
@MSTLGA #GreitensTrial #GreitensIndictment #MoLeg
https://t.co/u7rOszc8Bm</t>
  </si>
  <si>
    <t>RT @AndrewHavKY3: STATEMENT: Legal Counsel for Greitens for Missouri and former Missouri Speaker of the House on Committee Chair @JayBarnes…</t>
  </si>
  <si>
    <t>RT @JohnLamping: Oh look, its Jane ((I'm not getting paid (directly by LIHTC bc that would be too obvious but of course that's BS since I m…</t>
  </si>
  <si>
    <t>RT @JohnLamping: You don't earn your living in the world of politics? https://t.co/dEsWKXLjhv</t>
  </si>
  <si>
    <t>RT @JohnLamping: Jane you're so brave! "Early"!?! Affair occurred in 2015, you knew about it no later than 2016, you came out against in "e…</t>
  </si>
  <si>
    <t>RT @JohnLamping: From page 58 of first testimony.  Committee (paraphrase): "what's your relationship with Koster?"    KS: "He's like a fath…</t>
  </si>
  <si>
    <t>RT @ws_missouri: Watkins says KMOV reporter Lauren Trager, who broke the story, was in his office with a camera crew on the day when Faughn…</t>
  </si>
  <si>
    <t>RT @YearOfZero: Barnes was in on it!
See Hannaway’s statement. He knew about payoff by Faughn before charges filed. Was involved in plotti…</t>
  </si>
  <si>
    <t>RT @YearOfZero: How is it that no reporter is tweeting #moleg reading the KS deposition into record RIGHT NOW but yesterday they tweeted al…</t>
  </si>
  <si>
    <t>@ws_missouri @JohnLamping @TomJEstes @BillEigel @Rep_TRichardson @Neilin1Neil @RealTravisCook @tonymess @KCStar Yeah ... it wasn’t directed directly at you... all the other peeps were doing it yesterday but not today ... hmmm</t>
  </si>
  <si>
    <t>Barnes was in on it!
See Hannaway’s statement. He knew about payoff by Faughn before charges filed. Was involved in plotting coup! 
Who else was involved @Rep_TRichardson ??
Email RepTodd.Richardson@house.mo.gov 
tel:573-751-4039 
#moleg #mosen @Rep_TRichardson @EricGreitens https://t.co/Ooj94JlpD2</t>
  </si>
  <si>
    <t>RT @RealTravisCook: Long way to go for a hypothetical situation, there...It's noticable that you have to come up with some scenario so far…</t>
  </si>
  <si>
    <t>@TrumpKc @CStamper_ Dude this is insane. We know there was a deposition today and they won’t do their jobs .</t>
  </si>
  <si>
    <t>RT @RealTravisCook: Bottom line: if Katrina Sneed hadn't cheated on her husband then there would be no "scandal" or allegations against #Gr…</t>
  </si>
  <si>
    <t>RT @HotPokerPrinces: LIES LIES LIES 🤥
Stacey Newman Lied  &amp;amp; Ks Lied 
C O L L U S I O N 
#Greitens #greitensimpeachment #moleg https://t.c…</t>
  </si>
  <si>
    <t>RT @Sticknstones4: Major Contradiction Alert 
Stacey Newman was offering to connect KS to media?
If a woman was abused why would you offe…</t>
  </si>
  <si>
    <t>RT @Neilin1Neil: Greitens attorneys will not be allowed to cross examine witnesses in the committee hearings. Witnesses hate Greitens, comm…</t>
  </si>
  <si>
    <t>RT @Sticknstones4: Being a Low Income House Tax Credit Bank pays well !   Sterling Bank Founder 3.975 M  house 
Did Missouri taxpayers pay…</t>
  </si>
  <si>
    <t>RT @MSTLGA: Scott Faughn vs Al Watkins
Which one is the Liar ?
Who Gave The $ 120,000
#DonnyBrookStl #greitens #moleg 
#lie #moneybagsAl…</t>
  </si>
  <si>
    <t>RT @YearOfZero: What about today’s deposition? Why are your journalists afraid to report on it?
We ain’t stupid
#moleg #mogov #greitens h…</t>
  </si>
  <si>
    <t>RT @YearOfZero: It wasn’t forced. 
Further #moleg isn’t reporting on the depositions read today. 
Further ks kept seeing #greitens and sh…</t>
  </si>
  <si>
    <t>RT @christoferguson: Interesting our #StL and #Missouri media seem to have been very involved in every step of this story #Moleg https://t.…</t>
  </si>
  <si>
    <t>RT @TomJEstes: If this is true...wow. #moleg #mogov https://t.co/e8f2HL83k9</t>
  </si>
  <si>
    <t>It wasn’t forced. 
Further #moleg isn’t reporting on the depositions read today. 
Further ks kept seeing #greitens and she has lied repeatedl
Stop your rape culture fantasies. She was grown woman who who had an affair and kept it going 
Consensual kinky affair 
#mogov https://t.co/Wk4HKbpVBL</t>
  </si>
  <si>
    <t>RT @YearOfZero: @CStamper_ Dude ive been saying the same thing. No tweets at all yet yesterday they just gave answers without proper contex…</t>
  </si>
  <si>
    <t>RT @YearOfZero: We all know @jaybarnes5 took money from the tax credit Kings and they want their impeachment. we all know #moleg conspired…</t>
  </si>
  <si>
    <t>What about today’s deposition? Why are your journalists afraid to report on it?
We ain’t stupid
#moleg #mogov #greitens https://t.co/uiFsnAG3xB</t>
  </si>
  <si>
    <t>We all know @jaybarnes5 took money from the tax credit Kings and they want their impeachment. we all know #moleg conspired with the CAO and who knows who else.
Why aren’t journalists putting one &amp;amp; one together?
@JohnLamping 
#moleg #mogov #greitens @Rep_TRichardson @BillEigel https://t.co/uJbcY2bugl</t>
  </si>
  <si>
    <t>@CStamper_ Dude ive been saying the same thing. No tweets at all yet yesterday they just gave answers without proper context. Anybody in legal profession knows lawyer act certain questions for a reason! Nothing today! Must be helpful to #greitens #moleg #mogov</t>
  </si>
  <si>
    <t>RT @YearOfZero: How come you didn’t live tweet it? Exonerating material for @EricGreitens ?
#moleg #greitens https://t.co/z8X61dLbbD</t>
  </si>
  <si>
    <t>RT @YearOfZero: @CJheartart @HouseGOP @KevinLAustin1 @gcmitts @gregrazer @curtisdtrent @cody4mo @CraigRedmon @CornejoForMO @shawnrhoads154…</t>
  </si>
  <si>
    <t>RT @YearOfZero: Did the entire #moleg committee lie to #missouri?
Maybe we need to vote them all out! 
#mogov</t>
  </si>
  <si>
    <t>RT @YearOfZero: How come know tweets about KS deposition being read into the record today??
Worried it may exonerate #greitens
#moleg #mo…</t>
  </si>
  <si>
    <t>RT @YearOfZero: Hey Jason, how come nobody is live tweeting the deposition today? 
Are journalists mad it will exonerate @EricGreitens ??…</t>
  </si>
  <si>
    <t>RT @YearOfZero: This is just ludicrous. 
They conspired to turn a consensual affair into an indictment based on a made up crime. It’s actu…</t>
  </si>
  <si>
    <t>RT @YearOfZero: Well, given you live tweeted yesterday all about the deposition out of context stuff but today aren’t tweeting at all... on…</t>
  </si>
  <si>
    <t>Well, given you live tweeted yesterday all about the deposition out of context stuff but today aren’t tweeting at all... one has to wonder — are you fake news?
And are you afraid it doesn’t fit your narrative ?
#moleg #mogov #greitens https://t.co/thlIB169Qg</t>
  </si>
  <si>
    <t>This is just ludicrous. 
They conspired to turn a consensual affair into an indictment based on a made up crime. It’s actually a legit conspiracy to frame @EricGreitens it absolutely does help his plight.
And #moleg conspired!
What are you smoking? #mogov #greitens https://t.co/VMq3F1fCja</t>
  </si>
  <si>
    <t>Hey Jason, how come nobody is live tweeting the deposition today? 
Are journalists mad it will exonerate @EricGreitens ??
Very odd considering they had no problem posting out of context snippets yesterday. 
What gives? 
#moleg #mogov #greitens https://t.co/ac5eT7QDbX</t>
  </si>
  <si>
    <t>How come know tweets about KS deposition being read into the record today??
Worried it may exonerate #greitens
#moleg #mogov #greitens https://t.co/BIQPshjJWI</t>
  </si>
  <si>
    <t>RT @YearOfZero: Oh  #moleg reporters! Where are all the live tweets discussing today’s deposition of KS?
Waiting! Are U afraid it will con…</t>
  </si>
  <si>
    <t>Did the entire #moleg committee lie to #missouri?
Maybe we need to vote them all out! 
#mogov</t>
  </si>
  <si>
    <t>Oh  #moleg reporters! Where are all the live tweets discussing today’s deposition of KS?
Waiting! Are U afraid it will confirm what we already know that KS is a liar, &amp;amp; it was all consensual?
@Rep_TRichardson @JayBarnes5 @JohnLamping @Neilin1Neil @Rep_TRichardson @MissouriGOP</t>
  </si>
  <si>
    <t>RT @BluesFan464: #moleg #mogov #Greitens #Littleoffthetop @jeanpetersbaker @MoDemParty https://t.co/eM2VMYkVje</t>
  </si>
  <si>
    <t>@CJheartart @HouseGOP @KevinLAustin1 @gcmitts @gregrazer @curtisdtrent @cody4mo @CraigRedmon @CornejoForMO @shawnrhoads154 @Jered_Taylor @phlchristo @RadioFreeAllman @jaybarnes5 @EricGreitens Also they all knew about the affair and the fact that she was dating other men like Chris Koster. They’ve been paid off and are corrupt. It’s a COUP on Missouri voters 
#moleg #mogov #greitens</t>
  </si>
  <si>
    <t>@CJheartart @HouseGOP @KevinLAustin1 @gcmitts @gregrazer @curtisdtrent @cody4mo @CraigRedmon @CornejoForMO @shawnrhoads154 @Jered_Taylor @phlchristo @RadioFreeAllman Well you see #moleg is in on the scam. They all took money from Jeff smith or other low income housing tax credit Kings and they are getting their marching orders from them.
Hey @jaybarnes5 here’s what needs to happen. End this nonsense. Apologize to @EricGreitens #mogov</t>
  </si>
  <si>
    <t>RT @CJheartart: All I am asking from the Missouri House is to consider the following. Then, let the 2020 elections play out and work togeth…</t>
  </si>
  <si>
    <t>RT @YearOfZero: How come you didn’t live tweet it? Exonerating material for @EricGreitens 
#moleg #greitens https://t.co/jHiunNufJp</t>
  </si>
  <si>
    <t>There is no photo.
Also, if she was so concerned about that, why did she later nude FaceTime with him?
You can keep pushing those lies all you want but he was falsely indicted. It’s time to get the fbi involved looking at the media, CAO and members of #moleg 
#mogov #greitens https://t.co/ky50f5aTSE</t>
  </si>
  <si>
    <t>How come you didn’t live tweet it? Exonerating material for @EricGreitens ?
#moleg #greitens https://t.co/z8X61dLbbD</t>
  </si>
  <si>
    <t>How come you didn’t live tweet it? Exonerating material for @EricGreitens 
#moleg #greitens https://t.co/jHiunNufJp</t>
  </si>
  <si>
    <t>@ws_missouri @JohnLamping @TomJEstes @BillEigel @Rep_TRichardson @Neilin1Neil @RealTravisCook @tonymess @KCStar Guess I’m more interested in why no live tweeting. We know it’s being read right now. No live tweeting from any journalist? I understand if your more of story reporter but seems very odd ...</t>
  </si>
  <si>
    <t>@ws_missouri @JohnLamping @TomJEstes @BillEigel @Rep_TRichardson @Neilin1Neil @RealTravisCook @tonymess @KCStar Well hey you replied.</t>
  </si>
  <si>
    <t>Hey @ws_missouri @JohnLamping @TomJEstes @BillEigel @Rep_TRichardson @Neilin1Neil @RealTravisCook check this out. Media cover up job in effect. No tweets today as they read this thing? Where is @tonymess or @KCStar ???</t>
  </si>
  <si>
    <t>How is it that no reporter is tweeting #moleg reading the KS deposition into record RIGHT NOW but yesterday they tweeted all sorts of out of context stuff? 
Don’t want citizens 2 know that affair is completely consenaual and that kitty has lied?
#mogov #greitens @JackSuntrup</t>
  </si>
  <si>
    <t>How is it @tonymess</t>
  </si>
  <si>
    <t>RT @YearOfZero: Guy is clearly an idiot 
1. It was consensual 
2. It was kinky 
3. She went back 
4. She later nude video chatted 
5. She…</t>
  </si>
  <si>
    <t>RT @Sticknstones4: Eny Meny Mini Mo 
Which one is lying 
Al , Scott or both ?
#greitens #moleg  #felonfaughn #followthemoney #missouripo…</t>
  </si>
  <si>
    <t>Which is why they have 0 credibility. Now is the chance for a journalist to report what’s really going on with this story and gain massive credibility and readers. Who will it be?
#moleg #mogov #greitens https://t.co/770vjxoBSB</t>
  </si>
  <si>
    <t>RT @christoferguson: #moleg trying to figure out who paid $120k to Watkins. https://t.co/95lbXG042F</t>
  </si>
  <si>
    <t>RT @YearOfZero: @EricGreitens is innocent!
Great ad showing what soros and #KimShady have been up to! 
Now we just need a video exposing…</t>
  </si>
  <si>
    <t>@EricGreitens is innocent!
Great ad showing what soros and #KimShady have been up to! 
Now we just need a video exposing the crooked @MOHouseGOP 
What was that Scott Faughn spoke to Kim Gardner about perception issues? COLLUSION
#moleg #mogov #greitens #stlouis #stl #maga https://t.co/ze1NRyjkTl</t>
  </si>
  <si>
    <t>RT @YearOfZero: She doesn’t even believe her self
You are just thinking with your feelings and not your brain. She said her own memory isn…</t>
  </si>
  <si>
    <t>RT @YearOfZero: Except she’s not doing squat about Gardner. 
Your worried about this. There should have never been an indictment in the fi…</t>
  </si>
  <si>
    <t>RT @YearOfZero: They literally indicted a man without evidence, colluded with law makers to engineer an indictment (not going to the police…</t>
  </si>
  <si>
    <t>RT @YearOfZero: It exposed a kinky consensual affair that reads like 50 shades of grey 
She went over because she wanted to and kept seein…</t>
  </si>
  <si>
    <t>She isn’t a victim. If she is afraid, she shouldn’t have cheated.
It was a consensual affair 
#moleg #mogov #Greitens https://t.co/GEy1DBcMjM</t>
  </si>
  <si>
    <t>The ad is accurate 
#moleg #mogov #greitens https://t.co/Z14HExbyGG</t>
  </si>
  <si>
    <t>She doesn’t even believe her self
You are just thinking with your feelings and not your brain. She said her own memory isn’t reliable and has repeatedly lied
You believe her but apparently mot in justice.
#moleg #mogov #greitens https://t.co/zoVFm5WuGh</t>
  </si>
  <si>
    <t>Because it was a kinky affair.
Of course those questions should be asked. You virtue signaling idiots act like they don’t ask those in every case like this.
#moleg #mogov #Greitens https://t.co/wWh8JOigLT</t>
  </si>
  <si>
    <t>Guy is clearly an idiot 
1. It was consensual 
2. It was kinky 
3. She went back 
4. She later nude video chatted 
5. She has lied repeatedly 
6. Memory not reliable 
Only victim is @EricGreitens 
#moleg #mogov #Greitens https://t.co/aS1rqqA8fd</t>
  </si>
  <si>
    <t>They literally indicted a man without evidence, colluded with law makers to engineer an indictment (not going to the police), lied to the GJ, and more!
What crack are you smoking?
#moleg #mogov #greitens https://t.co/Aq115LBiED</t>
  </si>
  <si>
    <t>It exposed a kinky consensual affair that reads like 50 shades of grey 
She went over because she wanted to and kept seeing him.
Also if was so bad why did she keep going back? You demean women by acting like they can’t control themselves 
#moleg #mogov #Greitens https://t.co/Aq115LBiED</t>
  </si>
  <si>
    <t>RT @Sticknstones4: Why didn’t  #Moleg order Scott Faughn to tell where the money came from ?    
Oh because they are protecting their LIHT…</t>
  </si>
  <si>
    <t>RT @Sticknstones4: Having a tax lien is a part of business 
No it isn’t Scott Faughn , 
Many respectable business owners pay their taxes…</t>
  </si>
  <si>
    <t>RT @CJheartart: @curtisdtrent Thank you for direct and poignant questioning to Mr. @scottfaughn. Follow the money! #moleg</t>
  </si>
  <si>
    <t>RT @MSTLGA: Oh my thou hast COLLUDED
#moleg #greitens #kimshady #nefariousnewman #DonnyBrookSTL https://t.co/vWUfZjVOWe</t>
  </si>
  <si>
    <t>RT @BigJShoota: #AsExpected
#KimShady Gardner barred from involvement in future #EricGreitensTrial 
#EricGrietensIndictment #MoLeg 
 http…</t>
  </si>
  <si>
    <t>RT @CJheartart: @seanhannity help a Missourian! They think this is funny! I’d love to have $120,000 under my mattress! #moleg #MOwitch hunt…</t>
  </si>
  <si>
    <t>RT @ThoseCardinals: @tonymess it would be nice if someone with #moleg would ask @scottfaughn how long the $100K and the $20K had been his m…</t>
  </si>
  <si>
    <t>RT @melody_grover: Faughn's testimony has as much credibility as Hillary's stories about her e-mail scandal. Faughn had $120k in cash lying…</t>
  </si>
  <si>
    <t>She isn’t a victim
#moleg #mogov https://t.co/bfpjzjIcl7</t>
  </si>
  <si>
    <t>RT @christoferguson: Scott Faughn dodging questions during #moleg hearing like https://t.co/BhTQzMiMLZ</t>
  </si>
  <si>
    <t>Except she’s not doing squat about Gardner. 
Your worried about this. There should have never been an indictment in the first place. 
You and the auditor are just partisan hacks and not interested in justice 
#moleg #mogov #greitens https://t.co/YGd071a9dA</t>
  </si>
  <si>
    <t>RT @johncardillo: Remember, @EricHolder is the only US AG in history to be held in civil and criminal contempt of Congress. 
Now he’s tell…</t>
  </si>
  <si>
    <t>RT @magathemaga1: Scott Faughn, the crooked media mogul who hand delivered $120,000 dollars cash to the lawyer now admits he had multiple c…</t>
  </si>
  <si>
    <t>RT @YearOfZero: So women shouldn’t be in charge on their own sexual decisions?
She was a grown woman. She entered into a consensual kinky…</t>
  </si>
  <si>
    <t>RT @Sticknstones4: Has the sham House committee had enough ?
I have , End this Witch Hunt 
Collusion, Lies, LITHC   ENOUGH ! 
#Moleg #Gr…</t>
  </si>
  <si>
    <t>Nicole quit lying. U ain’t concerned with squat but aiding democrats other wise you would be investigating #KimShady and the tax payer funded indictment that never should have happend. You are using your office to target your political opponents 
What a scum move 
#moleg #mogov https://t.co/6KnSFl3luI</t>
  </si>
  <si>
    <t>So women shouldn’t be in charge on their own sexual decisions?
She was a grown woman. She entered into a consensual kinky affair. 
The questions were required 
Facts don’t care about your feelings 
#moleg #mogov #greitens @RealTravisCook @Neilin1Neil https://t.co/qOsh8FwKXW</t>
  </si>
  <si>
    <t>RT @YearOfZero: The fact that Scott Faughn isn’t being cross examined is evidence to #moleg corruption.
The man is a pathological liar.…</t>
  </si>
  <si>
    <t>The fact that Scott Faughn isn’t being cross examined is evidence to #moleg corruption.
The man is a pathological liar. 
I will ask how many lies he told today. Take the poll 
#mosen #mogov #greitens</t>
  </si>
  <si>
    <t>RT @Sticknstones4: Tuned in for a second to watch the #Moleg witch hunt
What a fricken Joke 
If you idiots want to do this crap ,go to Ho…</t>
  </si>
  <si>
    <t>RT @Sticknstones4: #moleg why do you read over the questions &amp;amp; answers of ks deposition ?     Because it’s a witch hunt &amp;amp; you want to brush…</t>
  </si>
  <si>
    <t>RT @Sticknstones4: #moleg when you have Scott Faughn in Star Chamber today
Make sure you tell everybody,how many times each of you were at…</t>
  </si>
  <si>
    <t>RT @Sticknstones4: That’s not a conflict  Hatfield  represented Watkins 
This is a good ole boy cronyism JOKE. WITH HUNT 
#moleg #greitens…</t>
  </si>
  <si>
    <t>RT @Sticknstones4: Cut the crap #Moleg 
Ask how he got the cash
Did he pay taxes on it
Was it deposited
Was it withdrawn 
#Greitens #G…</t>
  </si>
  <si>
    <t>RT @Sticknstones4: #moleg 
Why does a guy have 120k cash laying around 
And have financial debt ?
Witch Hunt is a JOKE 
Sterling Bank JE…</t>
  </si>
  <si>
    <t>RT @TomJEstes: A lot of people who tweet #moleg seem to have an issue with the sixth amendment.</t>
  </si>
  <si>
    <t>RT @YearOfZero: She indicted without evidence....
There should have been no indictment 
#moleg #mogov #greitens https://t.co/E0nOFBWJKT</t>
  </si>
  <si>
    <t>She indicted without evidence....
There should have been no indictment 
#moleg #mogov #greitens https://t.co/E0nOFBWJKT</t>
  </si>
  <si>
    <t>RT @johncardillo: The missing piece in all of this is most likely that Clapper and Brennan and ran illegal IC/Agency ops on U.S. soil again…</t>
  </si>
  <si>
    <t>RT @ericbolling: Has anyone seen Jeff Sessions?  Has he been rendered incapacitated? Has he been devoured by the Swamp? 
Asking because a r…</t>
  </si>
  <si>
    <t>RT @YearOfZero: No we don’t. He is innocent and the people back him. 
Take a seat. Election is in 2020
#moleg #mogov #greitens https://t.…</t>
  </si>
  <si>
    <t>RT @YearOfZero: Hey Sarah you do know the woman was into kinky stuff, lived 50 shades of  gray, and also lied repeatedly.
Hey @RealTravisC…</t>
  </si>
  <si>
    <t>RT @YearOfZero: What law school did you go to?
DEVRY?
As a LEO, this is the correct questions we always ask. Of course the police ask the…</t>
  </si>
  <si>
    <t>RT @YearOfZero: My woman is into 50 shades of gray and is hella kinky. Did you marry your high school sweet heart?
Nothing wrong with that…</t>
  </si>
  <si>
    <t>RT @YearOfZero: He’s an outsider who is being unfairly attacked by people like you who don’t believe in the presumption of innocence 
#mol…</t>
  </si>
  <si>
    <t>And you are giving journalists a bad name. 
You do know the allegations against him are made up, right?
Consensual affair. 
#moleg #mogov #greitens https://t.co/jY9Ca4n9z2</t>
  </si>
  <si>
    <t>RT @JW1057: @jmannies @EricGreitens 2/2 50 Shades very relevant - as a woman repeatedly pointed out to me for weeks KS's statements at time…</t>
  </si>
  <si>
    <t>Well it is true.
#moleg #mogov #greitens https://t.co/BMwV158ZFe</t>
  </si>
  <si>
    <t>“A little bit of wrongness” https://t.co/LhcbnW2dZH</t>
  </si>
  <si>
    <t>RT @YearOfZero: She lied several times during the intervene and also admitted her memory isn’t reliable.
#moleg #mogov #greitens 
@Missou…</t>
  </si>
  <si>
    <t>@Sticknstones4 My woman has got one of those fold up ones</t>
  </si>
  <si>
    <t>RT @YearOfZero: Why are you shaming a woman who is making sexual decisions for herself?
News flash. Most women have dildos. It’s not a sec…</t>
  </si>
  <si>
    <t>He’s an outsider who is being unfairly attacked by people like you who don’t believe in the presumption of innocence 
#moleg #mogov #greitens https://t.co/2QrAJQUFhR</t>
  </si>
  <si>
    <t>My woman is into 50 shades of gray and is hella kinky. Did you marry your high school sweet heart?
Nothing wrong with that but women have the same urges as men and the woman was clearly into kinky stuff 
#moleg #mogov #greitena @RealTravisCook https://t.co/J6pB0zLxDi</t>
  </si>
  <si>
    <t>RT @magathemaga1: @blackwidow07 @RGreggKeller @ResignNowKim @JackSuntrup @stltoday @mopns @HennessySTL @EdBigCon @SKOLBLUE1 @Avenge_mypeopl…</t>
  </si>
  <si>
    <t>What law school did you go to?
DEVRY?
As a LEO, this is the correct questions we always ask. Of course the police ask these questions too. But Crooked Kim didn’t want to use the police because they would have said she isn’t credible!
#moleg #mogov #greitens https://t.co/89LTVbB8eU</t>
  </si>
  <si>
    <t>RT @BigLeague2020: @DannyHortonMO @SykesforSenate @realDonaldTrump @HawleyMO Do you have a crystal🔮ball?
“Political parties are likely to…</t>
  </si>
  <si>
    <t>RT @Sticknstones4: @MORepSommer I oppose that you take LIHTC contributions
Than you judge my Governor with your paid agenda 
NO MORE SCAMS…</t>
  </si>
  <si>
    <t>RT @christoferguson: #Missouri GOP senate challenger touts poll saying Hawley isn't best candidate to beat McCaskill https://t.co/OhofpZlnL…</t>
  </si>
  <si>
    <t>Hey Sarah you do know the woman was into kinky stuff, lived 50 shades of  gray, and also lied repeatedly.
Hey @RealTravisCook look at this 
#moleg #mogov #greitens 
@Rep_TRichardson @ali @BillEigel https://t.co/WT4almihHl</t>
  </si>
  <si>
    <t>No we don’t. He is innocent and the people back him. 
Take a seat. Election is in 2020
#moleg #mogov #greitens https://t.co/zetEM4cViq</t>
  </si>
  <si>
    <t>RT @magathemaga1: If she was into kinky stuff which it is clear she was, that is 100 percent a factor. 
Also, “undermine” presupposes she…</t>
  </si>
  <si>
    <t>RT @magathemaga1: Many woman are. Fun fact. The anti Greitens forces tried to meme “50 Shades of Greitens” before they realized people woul…</t>
  </si>
  <si>
    <t>@Mikelkehoe needs to be asked what deal he struck with @mikeparson to pull off this tax credit coup. 
Hey @MattStoneABC I hear your investigating this story.
It’s a witch hunt for sure.
Ask them about  #LIHTC
#moleg #mogov #greitens 
@Rep_TRichardson @Rep_TRichardson #MOsen https://t.co/7ejDWy9qtj</t>
  </si>
  <si>
    <t>RT @magathemaga1: @realDonaldTrump doesn’t lie but #MoLeg does!
YOU GOTTA FOLLOW THAT MONEY
FOLLOW THE MONEY!
FOLLOW THE MONEY!
FOLLOW TH…</t>
  </si>
  <si>
    <t>RT @magathemaga1: Ahem.
On top of her memory not being reliable enough “to testify” ... she admits to lying! 
#moleg #mogov #greitens #mi…</t>
  </si>
  <si>
    <t>RT @magathemaga1: 🚨 BREAKING 🚨
I HAVENT LIED ... SINCE MY LAST LIE! So she hasn't lied "SINCE" this went public!
On top of her saying tha…</t>
  </si>
  <si>
    <t>RT @magathemaga1: BREAKING #kimshady us at it again!
Hiding depositions! 
Wtf! Well, she is Kim Shady!
HT: @ws_missouri 
#moleg #mogov…</t>
  </si>
  <si>
    <t>RT @EricGreitens: Motorcycles. Veterans. Flags. No better way to celebrate the service of a generation of veterans. A moving tribute—hundre…</t>
  </si>
  <si>
    <t>RT @magathemaga1: Let's be Frank
Greitens was supposed to have resigned &amp;amp; this was all supposed to go as planned. But citizens saw through…</t>
  </si>
  <si>
    <t>RT @magathemaga1: Hola #MoLeg
@RGreggKeller getting nervous. Say thanks Greg! These will make awesome posters!
@Rep_TRichardson may have…</t>
  </si>
  <si>
    <t>@philip_saulter @magathemaga1 @Rep_TRichardson Same. Let’s vote them all out!</t>
  </si>
  <si>
    <t>RT @philip_saulter: @magathemaga1 @Rep_TRichardson Yeah sorry #Moleg but the Missouri voter isn't taking this sitting down💪</t>
  </si>
  <si>
    <t>Why are you shaming a woman who is making sexual decisions for herself?
News flash. Most women have dildos. It’s not a secret. It’s a fact of life. 
#moleg #mogov #greitens https://t.co/PE4CbMyv0E</t>
  </si>
  <si>
    <t>RT @magathemaga1: You seriously can't make this up!
What new nonsense will the consultants and the tax credit coup people try next @EricGr…</t>
  </si>
  <si>
    <t>Lol. Weren’t you just quoting the most serious never trumpet as a justification for this witch hunt?
Lol
#moleg #mogov #greitens https://t.co/a4wGIgSHdB</t>
  </si>
  <si>
    <t>RT @magathemaga1: TAINTED SP
TAINTED CASE 
TAINTED #MOLEG
FOLLOW THE MONEY
#mogov #Greitens #stlouis #missouri #stl #kcmo #maga #breaki…</t>
  </si>
  <si>
    <t>RT @JW1057: @jdianeadams I think she forgot the word ALLEGED "criminal wrongdoing." That agains reflect bias on Baker's part. @jeanpetersba…</t>
  </si>
  <si>
    <t>RT @MissouriLiberty: 3 Day Poll
Who is your pick to #fireclaire in the HOT Missouri Senate Race?
#MOSen #MOLeg #MOGov #MO #poll</t>
  </si>
  <si>
    <t>RT @MSTLGA: ITS NOT OK FOR YOU TO MAKE YOUR DONORS MILLIONAIRES!     
Todd Richardson 
Caleb Rowdan 
Shamed Dogan
Nicholas Schroer 
Elija…</t>
  </si>
  <si>
    <t>RT @JW1057: @971FMTalk @MarcCox971 Summary: Kitty hates the @EricGreitens for not leaving Sheena and making her the first lady. 
#moleg #mo…</t>
  </si>
  <si>
    <t>@JW1057 @jrosenbaum @jeanpetersbaker @EricGreitens @StLouisCityCA Dude what the heck</t>
  </si>
  <si>
    <t>RT @JW1057: @jrosenbaum @jeanpetersbaker @EricGreitens Barker has prejudged she is unethical for accepting appointment. @StLouisCityCA 
htt…</t>
  </si>
  <si>
    <t>RT @JW1057: @lindsaywise @KCStar Yes, please tell us about @jeanpetersbaker lack of ethics. @Rep_TRichardson @StLCountyRepub 
https://t.co…</t>
  </si>
  <si>
    <t>RT @JW1057: @ksdknews Still don't think this is political? Kitty runs around for months screaming privacy and then gives interview on eve o…</t>
  </si>
  <si>
    <t>RT @JW1057: @jeanpetersbaker This is Katrina "Kitty" Sneed with her clothes on. I would show you a picture with her clothes off, but it doe…</t>
  </si>
  <si>
    <t>RT @JW1057: @RealTravisCook @blackwidow07 @Markknight45 @magathemaga1 @VisioDeiFromLA @Avenge_mypeople @grcfay @EricGreitens @TeamGreitens…</t>
  </si>
  <si>
    <t>RT @magathemaga1: Hey @Rep_TRichardson 
Cross examination is as American as apple pie.
Why are the Tax Credit Coup plotters trying to dep…</t>
  </si>
  <si>
    <t>RT @magathemaga1: Cross examination not allowed confirming this is an all out COUP ON MISSOURI VOTERS
#moleg #mogov #Greitens 
@Rep_TRich…</t>
  </si>
  <si>
    <t>RT @magathemaga1: Faughn has finally agreed 2 come out of hiding &amp;amp; testify to his buddies on Barnes star chamber committee who also have in…</t>
  </si>
  <si>
    <t>RT @magathemaga1: As we know, contributions in themselves arent illegal. But the puzzle is who gave Scott the money.
I dont expect him to…</t>
  </si>
  <si>
    <t>RT @magathemaga1: Finally the original question
FOLLOW THE MONEY 
Faughn couldnt even pay his Bills six months ago. 
If you follow the M…</t>
  </si>
  <si>
    <t>RT @magathemaga1: The video
"The Memory that I have isn't strong enough to testify to..."
✔ZERO evidence
✔Memory unreliable
✔Hence testim…</t>
  </si>
  <si>
    <t>RT @Str8DonLemon: She said her memory isnt reliable. So her testimony wouldn't be.
Excuse of why she went back is laughable. She wanted to…</t>
  </si>
  <si>
    <t>RT @mycreativedeco1: It should have been a private matter instead of the gossip &amp;amp; false charges filed to destroy a man.  It is political je…</t>
  </si>
  <si>
    <t>RT @Kaybirds: Stop this B.S. #obstruction Let our #Governor -&amp;gt; @EricGreitens get back to work for us #Missourians! #MoLeg @MissouriGOP http…</t>
  </si>
  <si>
    <t>RT @magathemaga1: Then the KS Video 
Make no mistake. This was planned by Tax Credit COUP artists to air on the eve of the special session…</t>
  </si>
  <si>
    <t>RT @Str8DonLemon: "My memory isnt reliable enough to testify"
She lied about the stacey Newman part.
Also her explanation of why she went…</t>
  </si>
  <si>
    <t>RT @Str8DonLemon: It's funny you wont address the fact that I'm pointing out facts that make this interview even worse for coup people
You…</t>
  </si>
  <si>
    <t>RT @JW1057: Dear Kitty: Regret is not force. Regret is not coercion. Regret is wishing YOU had made a different choice in the past. You nee…</t>
  </si>
  <si>
    <t>RT @magathemaga1: @alisagbrnelson @Neilin1Neil @blackwidow07 @RealTravisCook @RightSideUp313 @jrosenbaum @RetNavy93 @Lautergeist @grcfay @H…</t>
  </si>
  <si>
    <t>RT @alisagbrnelson: Where HAVE I been? Great minds. #moleg https://t.co/9exakbEIZQ</t>
  </si>
  <si>
    <t>RT @DeplorableGoldn: RT 🚨
Shes conflicted period and needs to remove herself from the case 
Her public comments show she has already preju…</t>
  </si>
  <si>
    <t>RT @Norasmith1000: @BryanLowry3 @KCStar I don't really understand what there is to review now, Sneed just admitted on TV that her memory is…</t>
  </si>
  <si>
    <t>RT @Str8DonLemon: She was never credible to begin with
Her testimony from house to criminal was different meaning she lied.
Also she told…</t>
  </si>
  <si>
    <t>RT @magathemaga1: Good morning to everybody but @scottfaughn 
TAX CREDIT COUP ARTISTS busy pushing 3 pronged attack last night on eve of s…</t>
  </si>
  <si>
    <t>RT @CJheartart: Would someone @dbongino &amp;amp; Joseph diGenova @RadioFreeAllman &amp;amp; @seanhannity &amp;amp; @IngrahamAngle PLEASE look into the Missouri me…</t>
  </si>
  <si>
    <t>RT @magathemaga1: Now do Sterling Bank and JES Holdings.
I'll wait.
#moleg #mogov #greitens
CC @Eric_Schmitt @BillEigel @EricGreitens @N…</t>
  </si>
  <si>
    <t>RT @Avenge_mypeople: @JW1057 @EricGreitens @TeamGreitens You can bet she's getting payed. She went from being a woman who didn't want anyth…</t>
  </si>
  <si>
    <t>RT @JW1057: @EricGreitens We have your back! Choosing special prosecutor who has already judged you guilty. Kitty giving interview on eve o…</t>
  </si>
  <si>
    <t>RT @EricGreitens: An honor to be with families in Kingdom City to remember the service and sacrifice of fallen firefighters. https://t.co/4…</t>
  </si>
  <si>
    <t>She actually lied during the interview bro. 
Also she admitted her memory isn’t reliable! #moleg #mogov https://t.co/DKX05HrDLR</t>
  </si>
  <si>
    <t>She lied several times during the intervene and also admitted her memory isn’t reliable.
#moleg #mogov #greitens 
@MissouriGOP https://t.co/eImkBZvI1j</t>
  </si>
  <si>
    <t>Lol. Both of those people are greitens haters. Did you ever watch the interview? Actually ruins her credibility.
#moleg #mogov #greitens https://t.co/WQn5MLtz2C</t>
  </si>
  <si>
    <t>RT @SaraCarterDC: Why are you so concerned? What are you all so afraid of? These continued veiled threats, disinformation and ideological o…</t>
  </si>
  <si>
    <t>RT @Str8DonLemon: @ST_Designs @CaseyNolen @tonymess She isnt a victim.
KS ADMITS HER MEMORY ISN'T RELIABLE - AUDIO!
"...The Memory that I…</t>
  </si>
  <si>
    <t>RT @Sticknstones4: @CaseyNolen It’s a lie about Stacey Newman... those are not the texts 
Of a person trying to stop a story https://t.co/8…</t>
  </si>
  <si>
    <t>RT @JW1057: @CaseyNolen Do you think a man who has taken a nonconsensual nude photo of you and sexually and physically abused you can be a…</t>
  </si>
  <si>
    <t>RT @YearOfZero: Bro. What are you smoking. Not only did the woman lie about Stacey Newman but she said the following: 
“The memory that I…</t>
  </si>
  <si>
    <t>CNN is fake news. This is probably certain people making up lies 
#moleg #MoGov #greitens https://t.co/ihBPZkbwXI</t>
  </si>
  <si>
    <t>Bro. What are you smoking. Not only did the woman lie about Stacey Newman but she said the following: 
“The memory that I have isn’t strong enough to testify to”
also her excuse about going back was absurd. She went back because she wanted to hook up. 
#moleg #mogov #Greitens https://t.co/neo4vjWQph</t>
  </si>
  <si>
    <t>RT @sigi_hill: .. RIG OUR ELECTION SYSTEM  = ELECTION FRAUD! This #TaxCreditMob does not care about if this is wrong as long as they get th…</t>
  </si>
  <si>
    <t>RT @sigi_hill: Mike Kehoe &amp;amp; Jay Barnes have a nasty reputation among #MoLeg - arrogant ruthless careless bullies!
Slimy Todd Richardson pul…</t>
  </si>
  <si>
    <t>RT @VisioDeiFromLA: You mean how somebody bribed the accusers?
You do know they were paid large sums of money?
Why is nobody asking Phil…</t>
  </si>
  <si>
    <t>RT @seanmdav: It sure is weird that a campaign with no candidate and no election paid so much money in 2016 to the law firm that funneled c…</t>
  </si>
  <si>
    <t>RT @Str8DonLemon: Shes playing politics. She didnt care when #KimShady was wasting money but now shes all concerned.
What a fraud 
#moleg…</t>
  </si>
  <si>
    <t>RT @YearOfZero: Ali. Where have u been? 
Bunch of #Missouri citizens have been covering witch hunt &amp;amp; con job on @EricGreitens 
Reason us…</t>
  </si>
  <si>
    <t>RT @YearOfZero: These folks are actually talking about why a scam job the whole #greitens thing is.
Hashtags to look at besides #moleg #mo…</t>
  </si>
  <si>
    <t>RT @strmsptr: Yes #moleg. This is not shady at all 😎 #saveGovernorGreitens https://t.co/8KLn0Z5sKQ</t>
  </si>
  <si>
    <t>THERE IS NO EVIDENCE 
They have none. 
They indicted without evidence. The fundamental facts of the case aren’t changing.
DISMISS 
#moleg #mogov #greitens https://t.co/jvRbL1f6px</t>
  </si>
  <si>
    <t>FYI greitens is innocent. It was a consensual affair...
#moleg #mogov #Greitens https://t.co/WSBXPSFHTA</t>
  </si>
  <si>
    <t>RT @sigi_hill: @smart_hillbilly @ericgraves50 @EricGreitens @KOMUnews That is exactly correct statement! And #MoLeg knows that, that's why…</t>
  </si>
  <si>
    <t>RT @magathemaga1: Good afternoon 2 everybody but @scottfaughn 
Where U at bro? Going over public MEC disclosures... 
What's common theme?…</t>
  </si>
  <si>
    <t>RT @Sticknstones4: @HotPokerPrinces These took money from LIHTC
These #Moleg are swamp creatures and have no moral turpitude and should not…</t>
  </si>
  <si>
    <t>There is no evidence! That’s the problem! Review and dismiss! The fact that there is no evidence doesn’t change
#moleg #mogov #greitens #stl #StLouis #kimshady https://t.co/6PuLoTdBXZ</t>
  </si>
  <si>
    <t>RT @HotPokerPrinces: Let’s Play  
Is Your Legislator a Swamp Creature 🧟‍♂️🧟‍♀️
Go to https://t.co/RcPJFwdEMZ   Search candidates reports…</t>
  </si>
  <si>
    <t>@JjHoltcamp @41actionnews @StevenDialTV He didn’t.</t>
  </si>
  <si>
    <t>Now DISBAR HER
#moleg #mogov #greitens #stlouis #stl https://t.co/CbsmRuSdSP</t>
  </si>
  <si>
    <t>@SykesforSenate @JohnBrennan This is what I want to hear. He is a traitor</t>
  </si>
  <si>
    <t>RT @SykesforSenate: @JohnBrennan, I pray this isn't over before the #2018midrerm and our paths cross after I take office. The American peop…</t>
  </si>
  <si>
    <t>RT @magathemaga1: @Vets4AP @AnthonyBauman5 @AP4Liberty @Rhezorback @RMConservative @NeilMunroDC This nails many of our thinking on this 
h…</t>
  </si>
  <si>
    <t>RT @Croatansound: #FISAabuse #FusionGPS #SteeleDossier #ClintonCash #ObamaGate #CA #CAsen #CApol #CAgov #MO #MOsen #TN #TNsen #TNgov #IN #I…</t>
  </si>
  <si>
    <t>RT @BigLeague2020: @reneehulshof @bocomoclerk #MOSEN
REGISTER TO VOTE
EVERY VOTE COUNTS https://t.co/POpG9EJG8A</t>
  </si>
  <si>
    <t>Reminder: ted Cruz lost
#mosen https://t.co/ZFBdxyEe8G</t>
  </si>
  <si>
    <t>RT @Str8DonLemon: Hey @KevinCorlew you need your base. And your base wants this impeachment nonsense ended!
End the Tax Credit COUP and we…</t>
  </si>
  <si>
    <t>RT @STL_Blonde: @Str8DonLemon @NameRedacted7 @Avenge_mypeople @strmsptr @RealTravisCook @blackwidow07 @Neilin1Neil @HennessySTL @Peoples_Pu…</t>
  </si>
  <si>
    <t>@HawleyMO Let’s hear where you stand. This is a winning issue</t>
  </si>
  <si>
    <t>RT @HawleyMO: An illegal alien who crossed the US-Mexico border, not once but four times, shot multiple innocent bystanders in Kansas City…</t>
  </si>
  <si>
    <t>RT @YearOfZero: Black people are sick of democrats using them and taking them for granted like Claire has. More and more black amrerifans a…</t>
  </si>
  <si>
    <t>@ali Agree here</t>
  </si>
  <si>
    <t>RT @ali: Claire McCaskill uses black people. #mosen</t>
  </si>
  <si>
    <t>Black people are sick of democrats using them and taking them for granted like Claire has. More and more black amrerifans are voting conservative.
There is a movement. 
#mosen https://t.co/RAjIzP2wvt</t>
  </si>
  <si>
    <t>@ali</t>
  </si>
  <si>
    <t>Also I don’t trust the polls ali. But #ladderboy isn’t doing squat to excite the base. Maybe he is doing it covertly but all 3 of the outsiders seem to be working harder than and getting voters excited. @AP4Liberty @SykesforSenate @Monetti4Senate #mosen</t>
  </si>
  <si>
    <t>These folks are actually talking about why a scam job the whole #greitens thing is.
Hashtags to look at besides #moleg #mogov
#greitens #kimshady #scammingscott #moneybagsal 
There is a story here that only us citizens are talking about that most in the press refuse to report</t>
  </si>
  <si>
    <t>And then you should also follow the following citizen journalists/muckrakers, people are are talking about what’s really going on
@JW1057 
@CStamper_ 
@RealTravisCook 
@JohnLamping
@VisioDeiFromLA 
@Sticknstones4 
@RadioFreeAllman 
@magathemaga1 
@Str8DonLemon 
@RealTravisCook</t>
  </si>
  <si>
    <t>Hey @ali you need to be following the following people on the #greitens story 
Establishment journalists: 
@jrosenbaum @MarkReardonKMOX
They seem to try to be fair as best as possible</t>
  </si>
  <si>
    <t>Ali. Where have u been? 
Bunch of #Missouri citizens have been covering witch hunt &amp;amp; con job on @EricGreitens 
Reason us citizens R fighting for him is that hes being unfairly targeted by state’s low income housing credit lobby. Fake charges, the works!
#moleg #mogov #mosen https://t.co/mzFkb1StzZ</t>
  </si>
  <si>
    <t>RT @YearOfZero: Nobody cares what  KCSTARs opinion &amp;amp; you don’t get to decide if he keeps his job or not
Elections determine that
Anything…</t>
  </si>
  <si>
    <t>RT @HotPokerPrinces: Why are the Republicans protecting Scott Faughn ?
Bag Man drops off 70,000 in cash to Al Watkins &amp;amp; the House Committee…</t>
  </si>
  <si>
    <t>RT @YearOfZero: STERLING BANK
#moleg #mogov #greitens #missouri @Rep_TRichardson @BillEigel @Eric_Schmitt @EricGreitens 
#taxcredits http…</t>
  </si>
  <si>
    <t>Nobody cares what  KCSTARs opinion &amp;amp; you don’t get to decide if he keeps his job or not
Elections determine that
Anything less is a COUP on #Missouri voters 
You listening @Rep_TRichardson ?
@Eric_Schmitt @EricGreitens @TeamGreitens @RepEngler @SaraForMissouri 
#moleg #mogov https://t.co/quPwnpyOo5</t>
  </si>
  <si>
    <t>STERLING BANK
#moleg #mogov #greitens #missouri @Rep_TRichardson @BillEigel @Eric_Schmitt @EricGreitens 
#taxcredits https://t.co/ryBFw0Txjm</t>
  </si>
  <si>
    <t>RT @YearOfZero: Support @EricGreitens by signing and sharing these two petitions. 
(1) Oppose impeachment and/or censure.  
https://t.co/U…</t>
  </si>
  <si>
    <t>Support @EricGreitens by signing and sharing these two petitions. 
(1) Oppose impeachment and/or censure.  
https://t.co/UM2ddMukHU
(2) Oppose HR 2 that denies Greitens due process and basic fairness in House of Representatives.
#missouri #moleg #mogov #greitens #stl #mosen</t>
  </si>
  <si>
    <t>RT @ericgraves50: Governor @EricGreitens has now taken the podium to address the crowd. He was welcomed with a standing ovation. @KOMUnews…</t>
  </si>
  <si>
    <t>RT @JackPosobiec: Daily reminder that Gina Haspel was CIA Station Chief in London during Crossfire Hurricane</t>
  </si>
  <si>
    <t>RT @rhondas_lil_sis: @88YahamaKeys @YearOfZero @EricGreitens @Eric_Schmitt @MissouriGOP @TeamGreitens @Avenge_mypeople @philip_saulter @SKO…</t>
  </si>
  <si>
    <t>RT @JW1057: Hmm. Do you suppose @mikeparson will make @Mikelkehoe Lt. Gov. if the they succeed in impeaching/convicting @GovGreitensMO? Iro…</t>
  </si>
  <si>
    <t>RT @_LoveLike_JESUS: .
Joseph waited 13 years
Abraham waited 25 years
Moses waited 40 years
JESUS waited 30 years
If GOD is Making you Wait…</t>
  </si>
  <si>
    <t>RT @JackPosobiec: Scott Adams: It looks like John Brennan was the ringmaster of the biggest political scandal in our lifetime, and Great Br…</t>
  </si>
  <si>
    <t>RT @DineshDSouza: Translation: It’s very disturbing that our guys may be caught red-handed trying to drag Hillary across the finish line ht…</t>
  </si>
  <si>
    <t>RT @charliekirk11: Any elected official that aids illegals to evade ICE agents should be arrested and removed from office 
We cannot have…</t>
  </si>
  <si>
    <t>RT @dbongino: John Brennan knows his role in the political spying operation on Donald Trump is being exposed. Therefore this disgrace of a…</t>
  </si>
  <si>
    <t>RT @SykesforSenate: Great news for #Missouri! #MOSen #MAGA https://t.co/DrFxc3BVtF</t>
  </si>
  <si>
    <t>RT @AP4Liberty: “It is supposed to be illegal for the CIA to spy on Americans – so the question is did John Brennan ask the British intelli…</t>
  </si>
  <si>
    <t>RT @realDonaldTrump: “John Brennan is panicking. He has disgraced himself, he has disgraced the Country, he has disgraced the entire Intell…</t>
  </si>
  <si>
    <t>RT @TrumpChess: @CStamper_ You know there's a reason why most gop aren't running for re-election in #MO Politicians across #America have be…</t>
  </si>
  <si>
    <t>RT @Str8DonLemon: What deal did @Mikelkehoe cut with @mikeparson to enable this coup in #Greitens 
Also LIHTC ????
Somebody should be fol…</t>
  </si>
  <si>
    <t>RT @YearOfZero: Absurd. He deserves the right to defend himself. If facts are as you say, they will stand on their own merit.
Only people…</t>
  </si>
  <si>
    <t>RT @HennessySTL: BOOM! Devin Nunes: If FBI Paid to Spy on Trump “It’s Absolute Red Line! It’s Over With!… No Honest American Will Stand for…</t>
  </si>
  <si>
    <t>RT @ClintonMSix141: We spend a 115 billion dollars a year on illegals here in the USA.
Imagine how safe our schools could be with that mon…</t>
  </si>
  <si>
    <t>Absurd. He deserves the right to defend himself. If facts are as you say, they will stand on their own merit.
Only people opposed to not allowing cross examination or having witnesses testify on his behalf R people who R afraid of being cross examined! 
#moleg #mogov #Greitens https://t.co/bIfERTOmQy</t>
  </si>
  <si>
    <t>RT @catdeeann: #IStandWithGreitens
#MoLeg
@EricGreitens 
@MOGOP_Chairman 
@MissouriGOP https://t.co/pPgtLzkzm2</t>
  </si>
  <si>
    <t>RT @Avenge_mypeople: This can be illustrated in the case of #greitens in Missouri. Every dirty trick imaginable has been used by both Democ…</t>
  </si>
  <si>
    <t>RT @88YahamaKeys: So now you are making up your own rules #MoLeg? https://t.co/9VpFLJ8eX2</t>
  </si>
  <si>
    <t>RT @88YahamaKeys: #Moleg What are you going to impeach the @GovGreitensMO for?  Do tell! Because charges were dropped and then this was iss…</t>
  </si>
  <si>
    <t>@juliematthews50 @AnnetteRR Also it isn’t “slander”. It was speculation based on his position, and his statements. Reread my tweet
He denied it. I’m happy with his denial as nobody would make a denial like that if he did it as it would set it up for perjury if he was lying. 
That narrows it down</t>
  </si>
  <si>
    <t>@Vets4AP @catdeeann @CStamper_ This is reaching man.</t>
  </si>
  <si>
    <t>RT @philip_saulter: @ericgraves50 @EricGreitens @KOMUnews #Moleg seems to forget that Eric still has the support of many many Missourians.…</t>
  </si>
  <si>
    <t>RT @mvbcdo: Hah, it’s a @HawleyMO supporter trying to get their candidate to get to work. :D #mosen #moleg #AP4Senate https://t.co/OOcozUCi…</t>
  </si>
  <si>
    <t>RT @catdeeann: @CStamper_ #IStandWithGreitens I’m ashamed so many #MoLeg are throwing him under the bus! Many are term limited so they don’…</t>
  </si>
  <si>
    <t>RT @ggreenwald: That the FBI and its allies spent weeks falsely implying that their informant was some sort of secret, covert, sensitive, u…</t>
  </si>
  <si>
    <t>RT @Thomas1774Paine: There were 150+ "informants" embedded in Trump campaign &amp;amp; WH ratting to FBI and Mueller. This was ONE huge Op, so ther…</t>
  </si>
  <si>
    <t>RT @realDonaldTrump: Things are really getting ridiculous. The Failing and Crooked (but not as Crooked as Hillary Clinton) @nytimes has don…</t>
  </si>
  <si>
    <t>RT @realDonaldTrump: What ever happened to the Server, at the center of so much Corruption, that the Democratic National Committee REFUSED…</t>
  </si>
  <si>
    <t>RT @C_3C_3: Has Mueller asked Crowdstrike for proof of hack?
Has Mueller asked Assange how he got the emails?
Has Mueller asked if DNC info…</t>
  </si>
  <si>
    <t>RT @C_3C_3: Its clear that the plot to frame Trump wasnt just a Dem OP. It was a world wide scheme led by Globalist.
Globalists have inten…</t>
  </si>
  <si>
    <t>RT @Barnes_Law: "The story of the election was not that Trump voters were uninformed about their man and their country, but that the press…</t>
  </si>
  <si>
    <t>RT @C_3C_3: He already knows the answer.... https://t.co/YBmKXl7uS5</t>
  </si>
  <si>
    <t>RT @realDonaldTrump: Congrats to the House for passing the VA MISSION Act yesterday. Without this funding our veterans will be forced to st…</t>
  </si>
  <si>
    <t>RT @ScottPresler: THIS IS HUGE: China set to slash $200 Billion from its annual trade surplus &amp;amp; "significantly increase purchases" of US go…</t>
  </si>
  <si>
    <t>I hear STERLING BANK is a great place to bank!
#MoLeg #MoGov #Greitens #Missouri #stlouis #MoSen https://t.co/7wkigEyvAC</t>
  </si>
  <si>
    <t>RT @YearOfZero: So despite the fact that @EricGreitens has been proven innocent, the @KCStar doubles down on their nonsense 
Sure does loo…</t>
  </si>
  <si>
    <t>RT @BreitbartNews: “To meet the growing consumption needs of the Chinese people and the need for high-quality economic development, China w…</t>
  </si>
  <si>
    <t>RT @PoliticalShort: Obama’s Justice Department conducted a counterintelligence investigation on the Trump campaign. The investigation began…</t>
  </si>
  <si>
    <t>RT @dbongino: Now that the Democrats have acknowledged weaponizing govt to spy on their political opponents can we stop the BS and call the…</t>
  </si>
  <si>
    <t>RT @YearOfZero: Top 5 reasons KC STAR IS FAKE NEWS  
1. Cuz they are 
2. Cuz they are 
3. Cuz they are 
4. Cuz they are 
5. Cuz they are…</t>
  </si>
  <si>
    <t>RT @YearOfZero: So is @scottfaughn and his guests  going to apologize for their anti semitism and insulting of Missouri voters?
Also where…</t>
  </si>
  <si>
    <t>So is @scottfaughn and his guests  going to apologize for their anti semitism and insulting of Missouri voters?
Also where did you get the money Scott?
#moleg #mogov #greitens #missouri 
@EricGreitens @Eric_Schmitt @TeamGreitens @CStamper_ @JohnLamping @Neilin1Neil https://t.co/oePyLqHsUd</t>
  </si>
  <si>
    <t>Top 5 reasons KC STAR IS FAKE NEWS  
1. Cuz they are 
2. Cuz they are 
3. Cuz they are 
4. Cuz they are 
5. Cuz they are 
Tax credit lobby is probably paying you for those anti #greitens editorials 
Don’t like a politician?
Vote them out.
Don’t COUP them out!
#moleg #mogov https://t.co/6HUk7LyPee</t>
  </si>
  <si>
    <t>@TrumpChess @GovGreitensMO @realDonaldTrump Total scam!</t>
  </si>
  <si>
    <t>RT @TrumpChess: When soros stooge #Kimshady gets removed as STL C.A. guess WHO gets to appoint her replacement.....thats right @GovGreitens…</t>
  </si>
  <si>
    <t>So despite the fact that @EricGreitens has been proven innocent, the @KCStar doubles down on their nonsense 
Sure does look like the media has an agenda and that agenda is against the people!
Get a load of this @RealTravisCook @Neilin1Neil 
#moleg #mogov #greitens #kcmo https://t.co/wwYMMXfNT8</t>
  </si>
  <si>
    <t>They spied illegally https://t.co/V8UGOBawAJ</t>
  </si>
  <si>
    <t>RT @JackPosobiec: “There is no deep state” said the deep state</t>
  </si>
  <si>
    <t>RT @JackPosobiec: Well this is awkward https://t.co/tW1hwusGGW</t>
  </si>
  <si>
    <t>RT @realbobwhite63: @business @bopinion Are you freaking high? he was the lowest! sold out our entire country. We took a step back in progr…</t>
  </si>
  <si>
    <t>RT @Ezinger44: @business @bopinion He tried to rig our election an used every agency in the government to attack his political opponent. Ju…</t>
  </si>
  <si>
    <t>RT @DRUDGE_REPORT: REPORTS:  Cambridge professor outed as FBI informant inside Trump campaign... https://t.co/EKppLfEe6k</t>
  </si>
  <si>
    <t>RT @JackPosobiec: Hi @JohnBrennan! Do you know who paid CIA asset Stefan Halper to start spying on the Trump campaign even before the FBI o…</t>
  </si>
  <si>
    <t>RT @foxandfriends: “Spying by the very definition”: @jasoninthehouse reacts to reports of an FBI ‘informant’ in the Trump campaign https://…</t>
  </si>
  <si>
    <t>He lied. Lied. Obama spied ILLEGALLY https://t.co/IBOObPfaWJ</t>
  </si>
  <si>
    <t>RT @seanmdav: This guy sure does lie a lot. https://t.co/xwg2bbcaD7</t>
  </si>
  <si>
    <t>RT @MarvinStehr: My sincere sentiments, exactly! So hear this! https://t.co/Kx4dqLyVKD</t>
  </si>
  <si>
    <t>RT @dbongino: Police-state tyrant Jim Clapper worships the heavy-handed weaponization of govt. This man is a national disgrace and he’s a c…</t>
  </si>
  <si>
    <t>RT @JackPosobiec: A lot</t>
  </si>
  <si>
    <t>RT @JackPosobiec: To be clear: 
Yes, Obama spied on Trump</t>
  </si>
  <si>
    <t>RT @marklevinshow: President should appoint a commission to clean up FBI and Intel agencies https://t.co/vltxjbXTFr</t>
  </si>
  <si>
    <t>RT @OliverMcGee: I’m Black, I’m Republican and I’m proud to have voted for @realdonaldtrump.</t>
  </si>
  <si>
    <t>RT @kwilli1046: I'm tired of hearing Clapper Lied, Brennan Lied, Comey Lied... I want to see indictments, handcuffs, conviction then jail t…</t>
  </si>
  <si>
    <t>RT @RandPaul: I applaud @realDonaldTrump for taking action to stop federal money funding abortions. https://t.co/RciUDxXdfK</t>
  </si>
  <si>
    <t>RT @RealCandaceO: For the record— this is what Candace Owens thinks.
The entire world needs to toughen up. 
#victormentality #MAGA https:/…</t>
  </si>
  <si>
    <t>RT @reubing: BREAKING: Donald Trump representatives have reached an agreement with China on trade which will cut our trade deficit with the…</t>
  </si>
  <si>
    <t>RT @seanbrowneHunts: @RealJamesWoods The Orwelllian doublespeak from 'criminals' to 'illegal immigrants' to 'immigrants' to 'her residents…</t>
  </si>
  <si>
    <t>RT @RealJamesWoods: How fast would this clown be in jail if Reagan were president right now? https://t.co/HGa6Xa6Hdf</t>
  </si>
  <si>
    <t>RT @magathemaga1: What is HR 2?
It does the following:
👉Prevents @EricGreitens team from cross examine witnesses 
👉Prevents #Greitens fr…</t>
  </si>
  <si>
    <t>RT @magathemaga1: HR 2 is basically a fail safe that Jay Barnes and his star chamber concocted because the criminal proceedings turned out…</t>
  </si>
  <si>
    <t>RT @HotPokerPrinces: When is #moleg going to bring in Scott Faughn and follow the Money 
The 120k cash.  Which LIHTC recipents Paid For the…</t>
  </si>
  <si>
    <t>RT @HotPokerPrinces: OH Really ?   She had No evidence !  Stop the impeachment 
  #kimshady #greitens #moleg #stl #missouri 
Former employ…</t>
  </si>
  <si>
    <t>RT @JCunninghamMO: What is it people don’t understand about conduct while “in office?”  Seems so simple and straight forward. #moleg. https…</t>
  </si>
  <si>
    <t>RT @philip_saulter: @CStamper_ This is because Rinos don't actually want to make positive changes.  The swampy members of #Moleg, many of w…</t>
  </si>
  <si>
    <t>RT @YearOfZero: Support Gov. Eric Greitens by signing and sharing these two petitions. 
(1) Oppose impeachment and/or censure.  
https://t…</t>
  </si>
  <si>
    <t>Support Gov. Eric Greitens by signing and sharing these two petitions. 
(1) Oppose impeachment and/or censure.  
https://t.co/UM2ddMukHU
(2) Oppose HR 2 that denies Gov. Greitens due process and basic fairness in House of Representatives.
#missouri #moleg #mogov #greitens #stl</t>
  </si>
  <si>
    <t>RT @JW1057: @JohnLamping Sign petition and support @GovGreitensMO.
https://t.co/k8iYXhjOl5</t>
  </si>
  <si>
    <t>RT @JohnLamping: Difference is Parson will will do what he's told by lobbyist (sign), Eric is a fiscal conservative. https://t.co/ijXgliNhQC</t>
  </si>
  <si>
    <t>RT @JCunninghamMO: Why?  After two prosecutors dropped their cases for lack of evidence, moving forward by the legislature looks like a per…</t>
  </si>
  <si>
    <t>RT @JCunninghamMO: After two prosecutors dropped their cases, moving forward against @EricGreitens looks suspect and not like justice. #mol…</t>
  </si>
  <si>
    <t>RT @RealTravisCook: Dear #MoLeg:  We elected Governor #Greitens.  We are pleased with his performance thus far.  We also elected you.  This…</t>
  </si>
  <si>
    <t>RT @magathemaga1: It’s called DISCUSSION
Did you just sign up for the internet ? 
#MoLeg engaging in a COUP on #Greitens &amp;amp; we can back up…</t>
  </si>
  <si>
    <t>RT @magathemaga1: Good afternoon #MoLeg 
I still hear that THE COUP on Missouri Voters is on and that Scott Faughn still has not told us w…</t>
  </si>
  <si>
    <t>RT @magathemaga1: Thanks for pointing this out John. @RepEngler are you ok with #StarChamberBarnes latest motion to not:
👉Not Allow #Greit…</t>
  </si>
  <si>
    <t>RT @magathemaga1: The West County Bag Man is pushing the COUP propaganda hard today 
#moleg #mogov #Greitens https://t.co/FyPHDUDhok</t>
  </si>
  <si>
    <t>RT @magathemaga1: Also, I made a typo @johncombest 
They also aren’t allowing @EricGreitens to allow any witness to testify on his behalf…</t>
  </si>
  <si>
    <t>RT @magathemaga1: We ain’t letting the issue go #MoLeg 
@MattStoneABC 
#mogov #greitens #missouri #stl https://t.co/Y8lUiy5suO</t>
  </si>
  <si>
    <t>RT @SecOfState70: In a span of 48 hours President Trump got the MSM to side with North Korea and MS-13.</t>
  </si>
  <si>
    <t>RT @RichardTBurnett: Send all MS13 gang members to:
1. Schumer’s house
2. Pelosi’s house
3. Waters house
4. Schiff house
5. Hillary’s house…</t>
  </si>
  <si>
    <t>RT @Thomas1774Paine: Giuliani says Mueller ‘has all the facts … and he has nothing’ on Trump https://t.co/maYkwhEuGN</t>
  </si>
  <si>
    <t>RT @chuckwoolery: Why is #Trump so important to us? He is the only President that has put the #DeepState on it's heels, including the #Medi…</t>
  </si>
  <si>
    <t>RT @KCNewsGuy: Missouri Gov. Eric Greitens released this statement tonight following the end of the 2018 legislative session. #moleg #mogov…</t>
  </si>
  <si>
    <t>RT @mizzoudownunder: The ninth circle of hell in Dante’s Inferno, specially round four, was the closest to Satan. 
It contained Judas Isca…</t>
  </si>
  <si>
    <t>RT @HotPokerPrinces: What has come out of the baseless Greitens Witch Hunt?
Woke Voters !  #Moleg  We see Your corrupt ways 
#missouri #g…</t>
  </si>
  <si>
    <t>RT @KCNewsGuy: The office of Gov. Eric Greitens also released this statement in response to Missouri Attorney General Josh Hawley. #moleg #…</t>
  </si>
  <si>
    <t>RT @melody_grover: Someone call Ringling Brothers, because PT Barnum wants his circus back from @jaybarnes5. Somehow #moleg has managed to…</t>
  </si>
  <si>
    <t>RT @magathemaga1: Yet he didnt seem to do that when #Kimshady wasted money indicting #greitens ond false charges 
#LadderBoy is back 
#mo…</t>
  </si>
  <si>
    <t>RT @Str8DonLemon: #Ladderboy at it again!
Hawley shows clear COI so anything he says only be assumed to be coming from his interest in see…</t>
  </si>
  <si>
    <t>RT @SheenaGreitens: Delighted to see the Missouri General Assembly pass both #SB819 and #SB800! We worked hard last year to develop many of…</t>
  </si>
  <si>
    <t>RT @JohnLamping: #moleg If special interests can take out a sitting MOGOV think what will happen to you when you don't vote as you're told…</t>
  </si>
  <si>
    <t>RT @JohnLamping: #moleg go home stay there till Veto Session. Youve been played by lobbyists n leadership. Think how much has changed since…</t>
  </si>
  <si>
    <t>RT @Str8DonLemon: INNOCENT MAN FIGHTS BACK
#Missouri Coup is on!
Are U against:
✔Witch Hunts?
✔Prosecutorial Misconduct?
✔Undoing electi…</t>
  </si>
  <si>
    <t>RT @GartrellLinda: Soros-Funded Group Launches App to Help Illegal Aliens Avoid Feds 
Wherever there's anti-American turmoil, you can bet #…</t>
  </si>
  <si>
    <t>RT @NeilMunroDC: Let's follow the money through the discharge-petition, amnesty and cheap-labor maze. Spoiler: Starts with Ryan, goes throu…</t>
  </si>
  <si>
    <t>RT @1Romans58: Trump has lost close to a BILLION dollars since taking office.  Meanwhile you lowlifes manage to rack up millions of dollars…</t>
  </si>
  <si>
    <t>RT @magathemaga1: Yo #MoLeg 
Have we found The Funder yet?
✔Rich
✔Republican
✔Has an ax to grind with #greitens ?
✔Tax credits
Also have…</t>
  </si>
  <si>
    <t>RT @JCunninghamMO: #MOLeg beware. This letter writer expresses what a lot of your base strongly think.  https://t.co/ReVLsgmItg</t>
  </si>
  <si>
    <t>RT @HotPokerPrinces: Why No Haste to Find The Bag Man ? 
Supoenas were issued !   Why Doesn’t Jay Barnes &amp;amp; 
Committee  want to hear &amp;amp; cro…</t>
  </si>
  <si>
    <t>RT @TomFitton: The Russians funneled millions to Hillary Clinton, including cash to her personal coffers through Bill Clinton. Did Obama FB…</t>
  </si>
  <si>
    <t>RT @YearOfZero: Katrina chose 2 keep seeing her.
Katrina chose 2 go over to his house. Katrina chose 2 nude FaceTime after “incident”
Katr…</t>
  </si>
  <si>
    <t>RT @ArthurSchwartz: Didn’t you hire the Awan brothers? https://t.co/r8ZAHnJahQ</t>
  </si>
  <si>
    <t>RT @HotPokerPrinces: Why does Jay Barnes &amp;amp; Todd Richardson spend so much money on Fake new subscriptions by a supoena evader ?
#Missouricr…</t>
  </si>
  <si>
    <t>Katrina chose 2 keep seeing her.
Katrina chose 2 go over to his house. Katrina chose 2 nude FaceTime after “incident”
Katrina chose to engage in a consensual affair.
Get over it. The charges are fake and they won’t be refilled either as as No evidence 
#moleg #mogov #Greitens https://t.co/vuiy56UwJo</t>
  </si>
  <si>
    <t>RT @YearOfZero: Why don’t you audit the Low Income Housing Tax Credit or how much month was spent on lying Kim Gardner’s farce?
#moleg #mo…</t>
  </si>
  <si>
    <t>Do we get a refund for Kim Gardner’s farce ?
#moleg #mogov https://t.co/yKTLWmeEz0</t>
  </si>
  <si>
    <t>Why is it nuts? Time and again the media has lied about him
#moleg #mogov https://t.co/dEUJsarbmi</t>
  </si>
  <si>
    <t>RT @Norasmith1000: @BryanLowry3 I doubt Gardner turned over all of the investigative materials, she most likely "forgot" evidence that woul…</t>
  </si>
  <si>
    <t>RT @magathemaga1: @JohnLamping was reading ur feed... I assume this is pretty much close to target?
Also noticed too that guys in @MOHouse…</t>
  </si>
  <si>
    <t>RT @magathemaga1: Hey @supportelijah 
Why don’t you get the West butler county bag man into the @MOHouseGOP for questioning on where the m…</t>
  </si>
  <si>
    <t>Why don’t you audit the Low Income Housing Tax Credit or how much month was spent on lying Kim Gardner’s farce?
#moleg #mogov #greitens https://t.co/O3yC0gyPbx</t>
  </si>
  <si>
    <t>RT @magathemaga1: Find the Funder #MoLeg 
@MattStoneABC @EricGreitens @MOHouseGOP @MOGOP_Chairman @Rep_TRichardson @seanhannity @DRUDGE…</t>
  </si>
  <si>
    <t>RT @KimStrassel: Kindly-meant memo to all: coming IG report does not deal with the FBI’s handling of Trump-Russia probe. Is focused solely…</t>
  </si>
  <si>
    <t>RT @CollinRugg: Remember when the Left and the media called us conspiracy theorists for saying Trump was wiretapped?
I do. They are pretty…</t>
  </si>
  <si>
    <t>RT @HennessySTL: Be the Pollster! Poll your Missouri State Rep. Record Results Here. "Impeachment, Yay or Nay?"
→ https://t.co/zNqPo8Rp20…</t>
  </si>
  <si>
    <t>RT @philip_saulter: If you believe that abusing our legal system to attack a political opponent and then using a dismissed case as the grou…</t>
  </si>
  <si>
    <t>RT @realDonaldTrump: Great talk with my friend President Mauricio Macri of Argentina this week. He is doing such a good job for Argentina.…</t>
  </si>
  <si>
    <t>RT @magathemaga1: Hey @MattStoneABC this is Scott Faughn
This is the guy who dropped off the money and was evading s subpoena.
Investigat…</t>
  </si>
  <si>
    <t>RT @magathemaga1: Yo #MoLeg
How is it that U R going after @EricGreitens &amp;amp; can issue subpoenas but U can't issue subpoenas 4:
Scott Faugh…</t>
  </si>
  <si>
    <t>RT @christoferguson: Who didn’t have this list?: Greitens Attorney claims Charity donor list was used by anti-Greitens organization #Moleg…</t>
  </si>
  <si>
    <t>RT @magathemaga1: Yo 
We looking for this guy #moleg ?
@EricGreitens @Eric_Schmitt @MOGOP_Chairman @MattStoneABC @ByronYork @DRUDGE @jros…</t>
  </si>
  <si>
    <t>RT @christoferguson: The list of #Missouri GOP donors that can drop this amount of cash on a whim isn’t long: Lawyer says anti-Greitens cas…</t>
  </si>
  <si>
    <t>RT @Hope4Hopeless1: .@POTUS #Moleg #Mogov #WitchHunt
-Missouri House of Representatives-
 #WeThePeople of #MISSOURI DEMAND that YOU STOP…</t>
  </si>
  <si>
    <t>RT @sigi_hill: Missouri Crime Scene #moleg
#FightBackMO https://t.co/pz8NYuhP4g</t>
  </si>
  <si>
    <t>RT @KRCG13: JUST IN: Catherine Hanaway, counsel for Greitens for Missouri, releases statement regarding today's court filing, says governor…</t>
  </si>
  <si>
    <t>@yieldtopeds @deanplocher I think you should have the chance to apply for citizenship but you must do so legally. Why are you not able to?</t>
  </si>
  <si>
    <t>@yieldtopeds @deanplocher That’s why we need less immigration overall so situations like this don’t happen. Also, it’s about time we slow down immigration. These countries are never going to get better if people keep leaving.</t>
  </si>
  <si>
    <t>@yieldtopeds @deanplocher It’s not xenophobic, either. Our government has a national interest. The national interest is the American people. They come first. Nobody is stopping legal immigration. I’m not sure why you can’t hire a lawyer.</t>
  </si>
  <si>
    <t>@yieldtopeds @deanplocher So you are saying you can’t apply for citizenship?</t>
  </si>
  <si>
    <t>RT @SKOLBLUE1: @RightRachel Rachel don't you see, me and my 50 friends in each district that tell their friends in their districts makes a…</t>
  </si>
  <si>
    <t>RT @YearOfZero: 8. Please sign petition
Outlines point by point breakdown of why this is a total witch hunt &amp;amp; a coup
I encourage you to r…</t>
  </si>
  <si>
    <t>RT @magathemaga1: Ok. U Want a COUP. Sorry. Fixed it. Where did Scott Faughn Get his money? 
Does the name start with a J?
@MattStoneABC…</t>
  </si>
  <si>
    <t>RT @TomJEstes: This is a major issue in the #moleg  See #sb674 https://t.co/k0UpxoOHXl</t>
  </si>
  <si>
    <t>RT @magathemaga1: @RightRachel Look at campaign contributions and then look at who faughn and Skyler is likely connected to...
@MattStoneA…</t>
  </si>
  <si>
    <t>RT @magathemaga1: @RightRachel They aren’t in biz of investigating. They are in the biz of persecution. Time for the FBI and IRS to get inv…</t>
  </si>
  <si>
    <t>Why would he? You people lie constantly.
#moleg #mogov #greitens https://t.co/NxIuFzeSYn</t>
  </si>
  <si>
    <t>@JW1057 @RealJamesWoods @seanhannity @RoyBlunt @MarkReardonKMOX @GovGreitensMO Signed</t>
  </si>
  <si>
    <t>RT @SKOLBLUE1: Just like #TRUMP @chuckwoolery be an advocate for our Navy Seal Governor #Greitens ! Trying to #DrainTheSwamp but yet these…</t>
  </si>
  <si>
    <t>Guys can you take a look at this?
@RealJamesWoods @LarrySchweikart @joelpollak @joel_capizzi @PoliticalShort @DonaldJTrumpJr @ScottAdamsSays @EricTrump @Peoples_Pundit @JackPosobiec https://t.co/HG5k76qawJ</t>
  </si>
  <si>
    <t>RT @realDonaldTrump: Despite the disgusting, illegal and unwarranted Witch Hunt, we have had the most successful first 17 month Administrat…</t>
  </si>
  <si>
    <t>@yieldtopeds @deanplocher It took me around 10 years. I had to pay for lawyers and everything. I value my citizenship more than people who come illegally. What’s wrong with saving up and working toward it? How long have you been here?</t>
  </si>
  <si>
    <t>@yieldtopeds @deanplocher I understand process very well. I’m originally from Brazil. Consider this, it isn’t supposed to be easy and it isn’t a right to come here. When U finally attain citizenship — U will have fought long and hard for it. You will value it more. If u just make it easy, it’s worthless</t>
  </si>
  <si>
    <t>8. Please sign petition
Outlines point by point breakdown of why this is a total witch hunt &amp;amp; a coup
I encourage you to read this
They R railroading @EricGreitens because he is doing what he promised &amp;amp; is an outsider
#moleg #mogov #greitens #missouri
https://t.co/uOMc2G1eu5</t>
  </si>
  <si>
    <t>RT @JW1057: @chuckwoolery Please sign and retweet this petition in support of @GovGreitensMO. He is being attacked for his efforts to drain…</t>
  </si>
  <si>
    <t>RT @RealTravisCook: Do the #Democrats actually think there's some large block of voters somewhere in America that *doesn't* view Illegal Al…</t>
  </si>
  <si>
    <t>RT @magathemaga1: Thanks for sharing. I plan on signing it 
Anybody who doesn't believe this is a total witch hunt is blind. Did you even…</t>
  </si>
  <si>
    <t>RT @magathemaga1: And the media continues to ignore where Scott Faughns money came from 
#moleg #mogov #Greitens https://t.co/NCRXsT0DL9</t>
  </si>
  <si>
    <t>@CStamper_ Thanks for sharing. Great speech</t>
  </si>
  <si>
    <t>RT @magathemaga1: Elites/insiders want it. Not the everyday folks
U want to UNDO election cuz u are a liberal, tax credit queen, or just d…</t>
  </si>
  <si>
    <t>@yieldtopeds @deanplocher Citizenship confers privilege. If anybody gets the privilege, then citizenship doesn’t mean anything. Sorry but I don’t have sympathy. Are you trying to become a citizen? If so, there is a process. If you aren’t a citizen, you have to wait. It’s only fair.</t>
  </si>
  <si>
    <t>RT @magathemaga1: @MissouriGOP 
Sign &amp;amp; ask your followers to do so as well. This is baseless attack upon @GovGreitensMO and we must fight…</t>
  </si>
  <si>
    <t>RT @YearOfZero: 2. For too long, rural #Missouri had been forgotten...
@TeamGreitens @MissouriGOP 
#moleg #mogov #greitens https://t.co/f…</t>
  </si>
  <si>
    <t>RT @YearOfZero: 3. 113 K regulations and 33 thousand cut after review.
@EricGreitens cut the bs and got government out of people’s way.
#…</t>
  </si>
  <si>
    <t>RT @YearOfZero: 4. Eric #Greitens calls out the people behind the #Missouri COUP
Yes we know this is about your toys and tax credits!
@Er…</t>
  </si>
  <si>
    <t>RT @YearOfZero: 7. “When I Look to my left, I see you.... when I look to my right, I see your friends and family...”
This is why @EricGrei…</t>
  </si>
  <si>
    <t>RT @YearOfZero: 6. “I can be strong for them for 10 more seconds...”
Powerful.
#moleg #mogov #greitens #missouri 
@Eric_Schmitt @EricGrei…</t>
  </si>
  <si>
    <t>RT @YearOfZero: 5. @EricGreitens directly calls out the tax credit scammers. 
They are behind this witch hunt and coup. 
The media and po…</t>
  </si>
  <si>
    <t>7. “When I Look to my left, I see you.... when I look to my right, I see your friends and family...”
This is why @EricGreitens beat John Brunner and his opponents. 
Keep fighting, Eric. 
Very powerful speech
@HennessySTL @Eric_Schmitt @MissouriGOP  
#moleg #mogov #greitens https://t.co/Dczgzi7RLL</t>
  </si>
  <si>
    <t>6. “I can be strong for them for 10 more seconds...”
Powerful.
#moleg #mogov #greitens #missouri 
@Eric_Schmitt @EricGreitens @BooneCoMOGOP @Rep_TRichardson @MattStoneABC @MarkReardonKMOX @TeamGreitens https://t.co/OwouDckIpq</t>
  </si>
  <si>
    <t>5. @EricGreitens directly calls out the tax credit scammers. 
They are behind this witch hunt and coup. 
The media and political operatives will tell you otherwise but the men and women of #Missouri know the truth 
#moleg #mogov #greitens #stl #kcmo #breaking @FitzpatrickMO https://t.co/FvJu0CLHNn</t>
  </si>
  <si>
    <t>RT @YearOfZero: 1. Fighting for The Forgotten Man
@EricGreitens gives speech at the Bio-Disel Press Connferene in #Missouri
He also calls…</t>
  </si>
  <si>
    <t>4. Eric #Greitens calls out the people behind the #Missouri COUP
Yes we know this is about your toys and tax credits!
@Eric_Schmitt @EricGreitens @MarkReardonKMOX @BooneCoMOGOP @MissouriGOP 
#moleg #mogov #stl #kcmo https://t.co/UUxqJzMfro</t>
  </si>
  <si>
    <t>3. 113 K regulations and 33 thousand cut after review.
@EricGreitens cut the bs and got government out of people’s way.
#moleg #mogov #greitens #missouri #stl #kcmo https://t.co/A0CyBTpAXn</t>
  </si>
  <si>
    <t>2. For too long, rural #Missouri had been forgotten...
@TeamGreitens @MissouriGOP 
#moleg #mogov #greitens https://t.co/fhssL4qZCJ</t>
  </si>
  <si>
    <t>1. Fighting for The Forgotten Man
@EricGreitens gives speech at the Bio-Disel Press Connferene in #Missouri
He also calls out how he took away the toys and and other perks that Missouri was spending on illogically
#MoLeg #MoGov #Greitens #stl #kcmo https://t.co/Zt41fC9jCR</t>
  </si>
  <si>
    <t>RT @JW1057: @RealJamesWoods @seanhannity @RoyBlunt @MarkReardonKMOX 
Please sign and ask your followers to do so as well. This is baseless…</t>
  </si>
  <si>
    <t>RT @JW1057: @MissouriGOP 
Please sign and ask your followers to do so as well. This is baseless attack upon @GovGreitensMO  and we must fi…</t>
  </si>
  <si>
    <t>RT @JW1057: @rxpatrick @joelcurrier @ws_missouri Interesting that Watkins claims to have received cash on 1/8/18. That is the very same day…</t>
  </si>
  <si>
    <t>Now do the cost of Kim Gardner’s circus
How come no curiosity on that?
#moleg #mogov #Greitens https://t.co/PXfwPtM3rD</t>
  </si>
  <si>
    <t>RT @Str8DonLemon: #moleg members.
The FBI &amp;amp; IRS needs to investigate the whereabouts of Scott Faughn and who gave him the moneh to pay off…</t>
  </si>
  <si>
    <t>RT @Str8DonLemon: @Rep_TRichardson
IRS and FBI involved yet?
Who gave money 2 Faughn to pay off Al Watkins &amp;amp; Moon to invent fake sex scan…</t>
  </si>
  <si>
    <t>RT @Str8DonLemon: @Sticknstones4 @VisioDeiFromLA @latimes We citizens have been digging ... look into Jeff Smith and Scott Faughn... TAX CR…</t>
  </si>
  <si>
    <t>RT @YearOfZero: Your stills peddling that fake sex scandal from the hairdresser?
#moleg #mogov https://t.co/enUVzmHOzW</t>
  </si>
  <si>
    <t>RT @magathemaga1: @MattStoneABC @ABC Hashtags you need to look at #KimShady #ScammingScott and #MoneybagsAl in addition to #moleg 
@EricGr…</t>
  </si>
  <si>
    <t>RT @magathemaga1: Al Watkins says he got money cuz supposed 2 help with "fallout" of release. Why would anybody care if PS hurt financially…</t>
  </si>
  <si>
    <t>RT @J_Hancock: Al Watkins said that @scottfaughn told him that all $100,000 had come from "an unnamed, anonymous wealthy Republican who did…</t>
  </si>
  <si>
    <t>Vote Democrat or  don’t show up.
#moleg #mogov #greitens https://t.co/7tM2EkmPEc</t>
  </si>
  <si>
    <t>RT @christoferguson: Developer McKee raked in tax-credit profits while north #StL  decayed https://t.co/KCx97bGYXi #moleg</t>
  </si>
  <si>
    <t>RT @RealTravisCook: From Tuesday's radio show:  What the failed Eric #Greitens #WitchHunt tells  us about the misplaced priorities of the S…</t>
  </si>
  <si>
    <t>RT @HotPokerPrinces: Examples of Following the money in the seedy Low Income Housing Tax Credits 
$685,000 went to lawyers and consultants…</t>
  </si>
  <si>
    <t>RT @MSTLGA: #MoLeg Lawmakers are threatened if they try to cut off Low Income Housing Tax Credits- former Senator Jason Crowell 
This is W…</t>
  </si>
  <si>
    <t>RT @strmsptr: Good Morning all. We need to ask #moleg why, in addition to try to nullify our choice of Governor, why are they allowing our…</t>
  </si>
  <si>
    <t>RT @Sticknstones4: Jefferson City Swamp Creatures 🧟‍♀️🧟‍♂️
We coming For You 🗡 🐉 🔥 
Get Ready to Rumble 
TIMES UP on your LIHTC scam
We…</t>
  </si>
  <si>
    <t>RT @Sticknstones4: Greasy Jay Barnes is a bought &amp;amp; paid LIHTC
Politicians 
He’s a profits in my pockets before people kind of guy 
#moleg…</t>
  </si>
  <si>
    <t>RT @Sticknstones4: @HennessySTL the issue is this
1) the LITHC serves a need for affordable housing, nobody denies that need
2) the LITHC…</t>
  </si>
  <si>
    <t>RT @christoferguson: This web will be impossible to untangle: Follow the money trail behind the Greitens’ invasion of privacy case https://…</t>
  </si>
  <si>
    <t>RT @strmsptr: @971FMTalk @jallman971 @MarcCox971 @MyMoInfo @dailyjournalmo #JeffCitySwamp #moleg https://t.co/lOgp1q2ksk</t>
  </si>
  <si>
    <t>RT @Sticknstones4: Check out the Ladue News &amp;amp; Town &amp;amp; style!   See the lavish cocktail parties sterling bank put on 
Clayton’s version of t…</t>
  </si>
  <si>
    <t>RT @Sticknstones4: the bank became a profitable entity 3 months after opening, and by May 2007, it had reached $100 million in assets.   Ho…</t>
  </si>
  <si>
    <t>RT @strmsptr: Follow the money. Or in this case the Low Income Housing Tax Credit. #moleg #jeffcityswamp https://t.co/z1oFRCavVm</t>
  </si>
  <si>
    <t>RT @Sticknstones4: Do All Missouri Bank Executives have 3.975 Million dollar Homes ? Or just the ones affiliated with LIHTC 
#moleg #sterli…</t>
  </si>
  <si>
    <t>RT @strmsptr: @semotimes @thisweekinmopol @HafnerMO @missioncontinue @STLKCCRC I am more interested in Low Income Housing Tax Credits and w…</t>
  </si>
  <si>
    <t>RT @StevenDialTV: Al Watkins just sent me this photo of the mystery money he received before the #GreitensTrial 
He says he sent this image…</t>
  </si>
  <si>
    <t>RT @MSTLGA: Where can i find the auditors report on the Low Income Housing Tax Creidts ? 
Why did #Moleg allow years of inefficiency &amp;amp; abu…</t>
  </si>
  <si>
    <t>RT @Sticknstones4: @latimes Dig further , look into JES Holdings LLC  Jeff Smith 
His company receives the largest amount of Low Income Hou…</t>
  </si>
  <si>
    <t>@RealTravisCook @Sticknstones4 @VisioDeiFromLA  https://t.co/86Fq0EZUgt</t>
  </si>
  <si>
    <t>RT @YearOfZero: Why is it disturbing? 
It’s the truth.
She kept seeing the man. 
I love how you ignore the payoff money to the lawyer fo…</t>
  </si>
  <si>
    <t>RT @sigi_hill: @J_Hancock @EricGreitens That's gonna freak out th crooked corrupt #moleg 'impeachment team', 2 sharp lawyers exposing their…</t>
  </si>
  <si>
    <t>RT @Neilin1Neil: @Sticknstones4 “Start looking at your #Moleg on casenet.” Now, why didn’t I think of that!</t>
  </si>
  <si>
    <t>Why is it disturbing? 
It’s the truth.
She kept seeing the man. 
I love how you ignore the payoff money to the lawyer for this made up story 
#moleg #mogov #greitens https://t.co/TYCepWvwrh</t>
  </si>
  <si>
    <t>RT @RealTravisCook: From my Tuesday radio show--my reflections on the failed #WitchHunt against Governor #Greitens &amp;amp; what is says about the…</t>
  </si>
  <si>
    <t>RT @magathemaga1: Some things to ask regarding the #GreitensTrial @MattStoneABC 
✔Who is Skyler
✔Source of Money?
✔KS/PS bank statements c…</t>
  </si>
  <si>
    <t>RT @magathemaga1: Per #MoneyBagsAl, he got money cuz supposed to help with "the fallout" of release. Why would anybody care if PS hurt fina…</t>
  </si>
  <si>
    <t>RT @magathemaga1: Al says 120k to bring down @ericgreitens came from "wealthy Republican"
Who is Republican?
Who hates #Greitens
Who would…</t>
  </si>
  <si>
    <t>RT @seanmdav: If you're wondering what spawned today's hilarious NYT attempt to paper over widespread FBI/DOJ abuses, wonder no more. Peopl…</t>
  </si>
  <si>
    <t>RT @HotPokerPrinces: THE LA TIMES  PUT  MISSOURI  BIAS FAKE NEWS MEDIA TO SHAME ! 
OMG THE BROKE E BROKE DETAILS OF SCAMMING SCOTT FAUGHN…</t>
  </si>
  <si>
    <t>RT @YearOfZero: @puckroger @JCunninghamMO #moleg #mogov @BobOnderMO https://t.co/eBkm7T0m73</t>
  </si>
  <si>
    <t>Your stills peddling that fake sex scandal from the hairdresser?
#moleg #mogov https://t.co/enUVzmHOzW</t>
  </si>
  <si>
    <t>RT @magathemaga1: Took break &amp;amp; #KimShady dropped case. Her explanation is laughable
Clearly didnt want 2 take stand &amp;amp; explain:
No police…</t>
  </si>
  <si>
    <t>RT @Sticknstones4: HEY #MOLEG  LOOK AT HOW SLEEZY SCAMMING SCOTT FAUGHN IS !  LA TIMES IS HOT ! THEYRE FOLLOWING THE MONEY 💰 STERLING BANK…</t>
  </si>
  <si>
    <t>RT @MattStoneABC: ABC News has obtained a photo of one of the two packages each containing $50,000 that attorney Al Watkins claims he recei…</t>
  </si>
  <si>
    <t>RT @magathemaga1: I'm back #MoLeg 
Things got too boring.
Appears we have our first live look at  #MoneyBagaAl 50k.
Courtesy of @MattSto…</t>
  </si>
  <si>
    <t>RT @Str8DonLemon: Did #MoneyBagsAl file Form 8300 with  IRS. It is required, as is the case here, when receiving $10k or more in cash. Fede…</t>
  </si>
  <si>
    <t>RT @rhondas_lil_sis: Hoping #moleg will get back to the work of the people. #WitchHunt https://t.co/jQhE3R91nt</t>
  </si>
  <si>
    <t>RT @JW1057: @ksdknews I hear @EricGreitens may have left toilet seat up. Barnes' Star Chamber  (aka the Committee) should investigate that…</t>
  </si>
  <si>
    <t>@puckroger @JCunninghamMO #moleg #mogov @BobOnderMO https://t.co/eBkm7T0m73</t>
  </si>
  <si>
    <t>RT @Str8DonLemon: Scott Faughns propaganda arm is pushing the coup efforts along i see
#moleg #mogov #Greitens https://t.co/TbPLwrt9Jq</t>
  </si>
  <si>
    <t>RT @YearOfZero: Attn #MoLeg
Are you ready?
To be voted out?
For engaging in this COUP against @EricGreitens ....
Get ready because we a…</t>
  </si>
  <si>
    <t>RT @JW1057: @Lautergeist @SLMPD Perhaps, Wooten meant to say, "Mr. Tisaby did not perjure himself, he couldn't have done it without Kim Gar…</t>
  </si>
  <si>
    <t>Attn #MoLeg
Are you ready?
To be voted out?
For engaging in this COUP against @EricGreitens ....
Get ready because we are coming for you at the ballot box.
And where did Scott  get his money??? Tax Credit Man?
#mogov #mosen #greitens
@Eric_Schmitt @MissouriGOP @TeamGreitens https://t.co/XmObJz23Ue</t>
  </si>
  <si>
    <t>RT @YearOfZero: It’s time to fess up #Moleg 
Who is the man behind this COUP?
Who gave the money to Scott Faughn?
@KMOXKilleen @MarkRear…</t>
  </si>
  <si>
    <t>RT @seanmdav: Trump: Obama ordered the Code Red!
Media: LOL no there was never a code red idiot.
Anonymous leakers: You're damn right we or…</t>
  </si>
  <si>
    <t>RT @ByronYork: So he gave them to Special Prosecutor Avenatti?https://t.co/NKAVXtJbpc</t>
  </si>
  <si>
    <t>RT @DineshDSouza: Investigating donors to Trump’s inauguration? This suggests Mueller’s got nothing &amp;amp; is desperately thrashing around in se…</t>
  </si>
  <si>
    <t>RT @Cernovich: YouTube took this campaign ad by @williamsforga down as hate speech.
Watch it there and comment here.
Is this video hate s…</t>
  </si>
  <si>
    <t>RT @AndrewPollackFL: Those who were responsible for the death of my daughter will be held accountable. So many people failed my daughter an…</t>
  </si>
  <si>
    <t>RT @KatTheHammer1: "The most controversial thing I've ever done was decide to think with my brain instead of my skin tone." 
 ~@RealCandac…</t>
  </si>
  <si>
    <t>RT @FoxNews: Laura Ingraham: "What is your optimal timeline for [the Mueller probe] to wrap up?"
Rudy Giuliani: "They should do it today."…</t>
  </si>
  <si>
    <t>It’s time to fess up #Moleg 
Who is the man behind this COUP?
Who gave the money to Scott Faughn?
@KMOXKilleen @MarkReardonKMOX 
@Eric_Schmitt @EricGreitens @BillEigel @KevinCorlew @RealTravisCook @Neilin1Neil @SpeakerTimJones @BooneCoMOGOP https://t.co/HqKXok0bkX</t>
  </si>
  <si>
    <t>RT @ResignNowKim: @Neilin1Neil @EricGreitens @RealTravisCook @YearOfZero @Sticknstones4 @KathieConway @inthejungle234 @Norasmith1000 @liber…</t>
  </si>
  <si>
    <t>RT @ResignNowKim: @RJFerryJr @VisioDeiFromLA @HennessySTL @KMOXKilleen @EdBigCon @SKOLBLUE1 @blackwidow07 @stltoday @kmoxnews @Avenge_mypeo…</t>
  </si>
  <si>
    <t>RT @YearOfZero: Upset that Gardner, who engaged in serious judicial misconduct, collusion with #moleg on this witch hunt / COUP, and other…</t>
  </si>
  <si>
    <t>RT @DeplorableGoldn: RT 🚨👇
#OccupyJeffCity 
The peasants are coming!
@HennessySTL 
@EricGreitens @Eric_Schmitt @BillEigel @TeamGreitens…</t>
  </si>
  <si>
    <t>When does it get to the end of The Religion War? There’s gotta be something to merge the realities https://t.co/Q4frU8xO6B</t>
  </si>
  <si>
    <t>The affair was consensual. 
Why would a woman keep going back and seeing a rapist? 
Why would a woman nude face time after the supposed incident.
Did you know money was dropped off to the husbands lawyer? Where did that money go?
#moleg #mogov #greitens https://t.co/J6P2qSDPwY</t>
  </si>
  <si>
    <t>RT @Str8DonLemon: You clearly did not read both depositions or know anything, not to mention her story changed, meaning she lied (or was ma…</t>
  </si>
  <si>
    <t>RT @Str8DonLemon: Yo #Moleg 
The peasants are coming!
We are on a mission to find out who paid Scott Faughn and to find out who is paying…</t>
  </si>
  <si>
    <t>RT @TrumpChess: @Neilin1Neil @EricGreitens @RealTravisCook @YearOfZero @Sticknstones4 @KathieConway @inthejungle234 @Norasmith1000 @liberty…</t>
  </si>
  <si>
    <t>RT @Neilin1Neil: Time for the SWAMP to hear from the people !!! @EricGreitens @RealTravisCook @YearOfZero @Sticknstones4 @KathieConway @int…</t>
  </si>
  <si>
    <t>#OccupyJeffCity 
The peasants are coming!
@HennessySTL 
@EricGreitens @Eric_Schmitt @BillEigel @TeamGreitens @gatewaypundit @BooneCoMOGOP @StLCountyRepub 
#moleg #mogov #greitens https://t.co/gfb9eoAtH8</t>
  </si>
  <si>
    <t>RT @ResignNowKim: @MSTLGA Yeah: where is @nicolergalloway ‘s audit of the #TaxCreditQueen rip off of Missouri taxpayers? ($600M annual)And…</t>
  </si>
  <si>
    <t>RT @ResignNowKim: (2) All #moleg need to be required to do this. And if they aren’t willing to do it, then that entitles PUBLIC to an adver…</t>
  </si>
  <si>
    <t>RT @ResignNowKim: (3) #moleg need to PUBLICLY IDENTIFY all tax credit dominations to their campaigns- now. Hell, they should issue a press…</t>
  </si>
  <si>
    <t>RT @ResignNowKim: @ScottCharton @EricGreitens Did you quit the AP, or were you fired for being as stupid as you are slovenly? By definition…</t>
  </si>
  <si>
    <t>RT @ResignNowKim: (1) RE: #SpecialSession : Every single #moleg needs to disclose all monies received from any tax credit queen donor.  Inc…</t>
  </si>
  <si>
    <t>RT @ResignNowKim: So, who’s up for #OccupyJeffCity ? Those of us who can, let’s take our tents and campers and RVs and go tailgate/camp out…</t>
  </si>
  <si>
    <t>RT @YearOfZero: Washed up ex journalist and now tax credit funded propagandaist mad people are calling out this coup for what it is?
Tell…</t>
  </si>
  <si>
    <t>RT @Neilin1Neil: OCCUPY JEFF CITY STARTING FRIDAY @EricGreitens @RealTravisCook @YearOfZero @Sticknstones4 @KathieConway @inthejungle234 @N…</t>
  </si>
  <si>
    <t>Al Watkins didn’t disclose the money originally. 
Al Watkins is a liar @KMOXKilleen 
#MoneyBagsAl https://t.co/P6QjbKr8pk</t>
  </si>
  <si>
    <t>Washed up ex journalist and now tax credit funded propagandaist mad people are calling out this coup for what it is?
Tell me, did u get a bag of 50 grand dropped off to your house too?
We know ur buddy got some money in this sca
Also it was consensual 
#moleg #mogov #greitens https://t.co/LYcp6wSsHF</t>
  </si>
  <si>
    <t>RT @Sticknstones4: Jay Barnes, Todd Richardson, Elijah Haahr, Jamilah nasheed, Doug Libla, Gary Romine, Ron Richard , 
Gina Walsh, Rob Scha…</t>
  </si>
  <si>
    <t>Is he ever going to be hailed in and ask where he got the money he dropped off to Al Watkins?
#moleg #mogov #greitens https://t.co/HY1pqI0Hn8</t>
  </si>
  <si>
    <t>Upset that Gardner, who engaged in serious judicial misconduct, collusion with #moleg on this witch hunt / COUP, and other shady behavior, doesn’t have an edge?
That’s why we call her #kimshady 
Got 2 find out if she got any of those money bags too #mogov #Greitens https://t.co/gv2lu8MmT4</t>
  </si>
  <si>
    <t>Hey @BobOnderMO can you look into this???
#moleg #mogov #greitens https://t.co/dyNIIIkohP</t>
  </si>
  <si>
    <t>@Str8DonLemon @RealTravisCook @Avenge_mypeople @HotPokerPrinces @blackwidow07 @RetNavy93 @melody_grover @JCPenknife @MissouriGOP @BobOnderMO @philip_saulter Wholeheartedly agree! Vote them out!</t>
  </si>
  <si>
    <t>RT @YearOfZero: But not #KimShady investigators?
This is a coup
#moleg #mogov @Neilin1Neil @JW1057 @BobOnderMO @KevinCorlew @BillEigel @B…</t>
  </si>
  <si>
    <t>RT @YearOfZero: Jeff Smith?
Nobody wants to say the name but I’ll say it. Did the money come from Jeff Smith as rumored? Is #MoLeg investi…</t>
  </si>
  <si>
    <t>RT @YearOfZero: Hey @jaybarnes5 
Your committe is a sham as we all have been saying the whole time.
I hope members of the house aren’t st…</t>
  </si>
  <si>
    <t>RT @Str8DonLemon: #MoLeg coup plotters entire strategy is banking on the fact that they think the voters won't vote them out.
They are mis…</t>
  </si>
  <si>
    <t>RT @joelcurrier: .@SLMPD says that after meeting with @ericgreitens' defense lawyers Ed Dowd and Scott Rosenblum today, the deparment is op…</t>
  </si>
  <si>
    <t>But not #KimShady investigators?
This is a coup
#moleg #mogov @Neilin1Neil @JW1057 @BobOnderMO @KevinCorlew @BillEigel @BooneCoMOGOP https://t.co/Okl9XiHRSZ</t>
  </si>
  <si>
    <t>Jeff Smith?
Nobody wants to say the name but I’ll say it. Did the money come from Jeff Smith as rumored? Is #MoLeg investigating at least or just plotting this coup on behalf somebody?
#mogov #greitens #MoCoup
@BobOnderMO @EricGreitens @KevinCorlew @BooneCoMOGOP @paulcurtman https://t.co/5nJjEXDoqY</t>
  </si>
  <si>
    <t>RT @BryanLowry3: Watkins says he was led to believe that both halves of the $100K came from a single source and that Faughn and the courier…</t>
  </si>
  <si>
    <t>People shouldn’t watch CNN then https://t.co/q8h3dpvFAD</t>
  </si>
  <si>
    <t>Hey @jaybarnes5 
Your committe is a sham as we all have been saying the whole time.
I hope members of the house aren’t stupid enough to go along with your COUP. 
#moleg #mogov #greitens 
@BooneCoMOGOP @EricGreitens @MissouriGOP @BillEigel @BobOnderMO @BryanSpencer25 https://t.co/yyZ5BiM7Q1</t>
  </si>
  <si>
    <t>RT @Str8DonLemon: How much did Kim Gardners clown show cost?
#moleg #mogov #greitens https://t.co/X76n6MM03w</t>
  </si>
  <si>
    <t>RT @JW1057: @MariaChappelleN Watkins says he received $120k. Sullivan's contract is capped at $120k. Coincidence?
#moleg #mogov #greitens #…</t>
  </si>
  <si>
    <t>RT @JW1057: @ws_missouri Comm. caused own problems. Released 1st report 4/11 and haven't done anything with it. Could't wait a month until…</t>
  </si>
  <si>
    <t>RT @JW1057: @jmannies I've long argued @GovGreitensMO should testify before Comm. once criminal case ended. Comm. making me reconsider posi…</t>
  </si>
  <si>
    <t>RT @BigJShoota: This is just flatout NOT gonna happen. No govt. official in the #ShowMe State has EVER resigned. 😆😆😆😆
#MoLeg #Mogov #Greit…</t>
  </si>
  <si>
    <t>RT @KRCG13: BREAKING NEWS: Greitens attorney to file police report regarding alleged perjury against William Tisaby, the lead investigator…</t>
  </si>
  <si>
    <t>RT @Str8DonLemon: Yo #MoLeg
I see you still got ur witch hunt going!
Remember, there would be no second indictment without the first indi…</t>
  </si>
  <si>
    <t>RT @YearOfZero: Funny you didn’t show any concern for the cost of #KimShady and her outside investigators.
Hypocrite 
#moleg #mogov #Grei…</t>
  </si>
  <si>
    <t>RT @YearOfZero: This is a good thread on what to do to stop THE COUP against #Missouri voters
#moleg #mogov #greitens @MissouriGOP @TeamGr…</t>
  </si>
  <si>
    <t>This is a good thread on what to do to stop THE COUP against #Missouri voters
#moleg #mogov #greitens @MissouriGOP @TeamGreitens @JW1057 @Neilin1Neil https://t.co/5GBKrmpp1D</t>
  </si>
  <si>
    <t>RT @Sticknstones4: @YearOfZero they don’t care that #moleg was giving out 150 million in low income housing tax credits, 87,000,00 going to…</t>
  </si>
  <si>
    <t>Funny you didn’t show any concern for the cost of #KimShady and her outside investigators.
Hypocrite 
#moleg #mogov #Greitens https://t.co/UwiI8lgxo9</t>
  </si>
  <si>
    <t>RT @CJTUCKERTRUPAT: Main thread read whole thing very insightful of the situation in Missouri
#MOleg 
#Greitens 
#GreatAwakening
#MAGA http…</t>
  </si>
  <si>
    <t>RT @YearOfZero: I also would add, @Rep_TRichardson needs to get the IRS INVOLVED and look into this scott faughn guy. 
You can let him get…</t>
  </si>
  <si>
    <t>RT @MarkReardonKMOX: I’m actually a little bummed for those who led the Lynch mob like @JaneDueker and @tonymess —They have to be so so sad…</t>
  </si>
  <si>
    <t>RT @YearOfZero: It’s quite simple.
Kim Gardner met with the witness at a hotel secretly.
What kind of prosecuting attorney does that?
It…</t>
  </si>
  <si>
    <t>I also would add, @Rep_TRichardson needs to get the IRS INVOLVED and look into this scott faughn guy. 
You can let him get away with this. 
@paulcurtman @GOPMissouri @MissouriGOP 
#moleg #mogov</t>
  </si>
  <si>
    <t>RT @JW1057: Prosecution admits: No alleged photo. No witness who saw alleged photo. No evidence that alleged photo was transmitted to cloud…</t>
  </si>
  <si>
    <t>RT @JW1057: @MarkReardonKMOX @KMOXKilleen May want to look into secret Mission Continues donor list. Not so secret when the names are poste…</t>
  </si>
  <si>
    <t>RT @caesar718: @Str8DonLemon @HotPokerPrinces @RealTravisCook @MSTLGA @Hope4Hopeless1 @RetNavy93 @grcfay I think there are a lot of people…</t>
  </si>
  <si>
    <t>RT @MoScarlet: @scottfaughn How's that book deal working out for you? As it is; "...one of the most egregious railroadings we have ever wit…</t>
  </si>
  <si>
    <t>RT @JW1057: @ws_missouri May want to look into secret Mission Continues donor list. Not so secret when the names are posted on their websit…</t>
  </si>
  <si>
    <t>RT @chinyamy: #Greitens #GreitensIndictment #greitenstrial 👇Apparently these idiots oppose the legal system and wish that they could oust a…</t>
  </si>
  <si>
    <t>RT @daisydorie: Congrats to our first family of Missouri. Let's keep making Missouri a great state. @EricGreitens  #Greitens 
          nev…</t>
  </si>
  <si>
    <t>RT @JW1057: @BryanLowry3 To the contrary this case was all about Ms. Gardner and Mr. Tisaby. Ms. Gardner filed the case and Mr. Tisaby trie…</t>
  </si>
  <si>
    <t>RT @JW1057: You should move to unseal court records, including depositions, and use them as exhibits. We are here to fight for you. @Sheena…</t>
  </si>
  <si>
    <t>It’s quite simple.
Kim Gardner met with the witness at a hotel secretly.
What kind of prosecuting attorney does that?
It’s clear money changed hands given the money dropped off by that faughn guy. 
#moleg #mogov #Greitens https://t.co/NfqZB8YKGk</t>
  </si>
  <si>
    <t>RT @YearOfZero: Just a reminder 
@MOHOUSECOMM @MOHouseGOP @MOHouseDems A friendly reminder that a vote to impeach/censure @GovGreitensMO i…</t>
  </si>
  <si>
    <t>RT @Gingrich_of_PA: Tsk Tsk... Mark Levin is not “trusting the plan.” https://t.co/kKLl6Vkpeb</t>
  </si>
  <si>
    <t>RT @DevinNunes: This is what real reporting looks like...time to eliminate the redacted texts for all Americans to see! https://t.co/sfPLtW…</t>
  </si>
  <si>
    <t>RT @realDonaldTrump: Can you believe that with all of the made up, unsourced stories I get from the Fake News Media, together with the  $10…</t>
  </si>
  <si>
    <t>RT @OfficeOfMike: JUST IN: Former Congressman Jason Chaffetz tells Fox News that the DOJ is stalling Congressional requests for unprivilege…</t>
  </si>
  <si>
    <t>RT @Gingrich_of_PA: Worst BS excuse since Joy Reid https://t.co/iMnFxPhvGW</t>
  </si>
  <si>
    <t>RT @StefanMolyneux: The white farmers in South Africa taking up arms as they face the prospect of their land being forcibly taken back. htt…</t>
  </si>
  <si>
    <t>RT @robert_enna: What a waste of my taxpayer dollars. I won’t forget republican turncoats either. If you didn’t support the gov then you wo…</t>
  </si>
  <si>
    <t>Just a reminder 
@MOHOUSECOMM @MOHouseGOP @MOHouseDems A friendly reminder that a vote to impeach/censure @GovGreitensMO is a vote against your reelection
It’s called an election! If U feel unable 2 work with #greitens, please feel free to resign
End witch hunt
#moleg #mogov https://t.co/7jgXkne2Im</t>
  </si>
  <si>
    <t>RT @JW1057: @MOHOUSECOMM @MOHouseGOP @MOHouseDems A friendly reminder that a vote to impeach/censure @GovGreitensMO is a vote against your…</t>
  </si>
  <si>
    <t>RT @Mizzourah_Mom: @Neilin1Neil @EricGreitens @RealTravisCook @Sticknstones4 @KathieConway @inthejungle234 @Norasmith1000 @liberty1776son I…</t>
  </si>
  <si>
    <t>RT @Neilin1Neil: #MoLeg hires 2 or 3 $$ lawyers to answer questions for yellow bellied head of lynch mob at impeachment. To stop a mob take…</t>
  </si>
  <si>
    <t>RT @VisioDeiFromLA: Have been  wondering @Eric_Schmitt 
Do you stand with then people and against depriving them of their vote, or with pe…</t>
  </si>
  <si>
    <t>RT @VisioDeiFromLA: Scott Chartons buddy Scott Faughn got busted dropping off money to the key witness in the #GreitensTrial
Its clear to…</t>
  </si>
  <si>
    <t>RT @VisioDeiFromLA: Who paid Scott Faughn the money to pay Al Watkins.
We havent forgotten and the issue wont go away.
Guys like Scott Ch…</t>
  </si>
  <si>
    <t>RT @VisioDeiFromLA: #moleg wants to pretend that the issue of Scott Faughns money and where he got it isnt important, but its critical
👉Li…</t>
  </si>
  <si>
    <t>RT @Mizzourah_Mom: @STL_Blonde @MissouriGOP The sad thing is the #moleg committee said that this will not change anything. They are full st…</t>
  </si>
  <si>
    <t>RT @VisioDeiFromLA: What's it going to be @FitzpatrickMO 
Do you plan on screwing #Missouri voters over?
#MoLeg #Mogov #Greitens @Eric_Sc…</t>
  </si>
  <si>
    <t>@VisioDeiFromLA @BeckyRuth114 @parscale @larryelder @Neilin1Neil @HennessySTL @Shawtypepelina @Avenge_mypeople @SKOLBLUE1 @RealTravisCook @Lautergeist @ByronYork @AWESOMECQ @RightSideUp313 This is a great question @BeckyRuth114 
Do you plan on screwing Missouri voters?</t>
  </si>
  <si>
    <t>@VisioDeiFromLA @BillEigel @joel_capizzi @HennessySTL @Neilin1Neil @Shawtypepelina @Avenge_mypeople @willscharf @SKOLBLUE1 @RealTravisCook @RightSideUp313 @blackwidow07 @Lautergeist That’s a good question @BillEigel 
Do you plan on screwing #missouri voters?</t>
  </si>
  <si>
    <t>RT @VisioDeiFromLA: (3) Next on Deck
Nate Walker 
Will he screw over #Missouri Voters by impeaching?
Call him up or email him and ask hi…</t>
  </si>
  <si>
    <t>RT @VisioDeiFromLA: (5) Next on Deck
Bill Eigel 
Will he screw over #Missouri Voters by impeaching?
Call him up, email him and tweet him…</t>
  </si>
  <si>
    <t>RT @VisioDeiFromLA: (4) Next on Deck
Tim Remole 
Will he screw over #Missouri Voters by impeaching?
Call him up, email him and tweet him…</t>
  </si>
  <si>
    <t>RT @VisioDeiFromLA: @timremole Do you plan on screwing over #Missouri Voters?
Because if u vote 2 impeach @EricGreitens U are screwing ove…</t>
  </si>
  <si>
    <t>Jason did you run this over with a lawyer?
They can refile if they want but the fundamental facts of the case will remain the same.
They have no case, and Kim Gardner will have to testify. 
#moleg #mogov #greitens https://t.co/ia54qihHFS</t>
  </si>
  <si>
    <t>This article is outdated. #MoLeg https://t.co/6qjwlCH4dh</t>
  </si>
  <si>
    <t>RT @sweetatertot2: #Greitens was another victim of a political witch hunt. Democrats no longer believe in the Democratic process, they now…</t>
  </si>
  <si>
    <t>RT @Avenge_mypeople: There is some seriously underhanded, dirty politics in Missouri. Behind it all- the attempted prosecution of the gover…</t>
  </si>
  <si>
    <t>RT @VisioDeiFromLA: Misusing the justice system and impeaching on trumped up charges (or no charges) is NOT a peaceful transfer of power.…</t>
  </si>
  <si>
    <t>RT @caesar718: @MecklesMassacre @EricGreitens Things that make ya go “hmm?!” #KimShady #MoLeg #Greitens</t>
  </si>
  <si>
    <t>RT @HotPokerPrinces: Who is Andrew Newman  ? 
More Missouri Tax Credit Drama !
#moleg #STLCards #radiofreeallman #stl #istandwithjamieall…</t>
  </si>
  <si>
    <t>RT @Str8DonLemon: #MoLeg 
Food 4 thought
There would be no special committee if no fake indictment
Think.
U dbags only formed special h…</t>
  </si>
  <si>
    <t>RT @MtRushmore2016: Turning the tables on corrupt prosecutors! 👌🏼 Charge Against MO. Gov. Eric Greitens Dropped After Defense Allowed to Pu…</t>
  </si>
  <si>
    <t>Ks isn’t a victim. Give it a rest. 
#moleg #mogov https://t.co/2Uy3Acqoye</t>
  </si>
  <si>
    <t>RT @Avenge_mypeople: 2) @EricGreitens plan to put a stop to it is what stirred up this hornets nest of vipers. Even though the corrupt #Kim…</t>
  </si>
  <si>
    <t>RT @DeplorableGoldn: RT🚨
2) @EricGreitens plan to put a stop to it is what stirred up this hornets nest of vipers. Even though the corrupt…</t>
  </si>
  <si>
    <t>RT @ACTBrigitte: President Clinton Promised.
President Bush Promised.
President Obama Promised.
President Trump Delivered.
The US Embassy…</t>
  </si>
  <si>
    <t>RT @birdman8272: Who is the worst liberal in Congress?
Please Vote and Retweet! 
You can only choose one.</t>
  </si>
  <si>
    <t>RT @RealSaavedra: Thanks, @SeanHannity! https://t.co/0qulIRmjRU</t>
  </si>
  <si>
    <t>RT @OrwellNGoode: A funny place. https://t.co/JQiNNcG5HD</t>
  </si>
  <si>
    <t>RT @IMAO_: I think you're always going to have tension in the Middle East when there's people who want to kill the Jews and Jews who don't…</t>
  </si>
  <si>
    <t>RT @RealSaavedra: Avenatti: Spends months on CNN and MSNBC ruthlessly bashing Trump's character.
Also Avenatti: Has a meltdown after he is…</t>
  </si>
  <si>
    <t>RT @SecPompeo: Last December, @POTUS acknowledged Israel’s capital is Jerusalem. He directed @StateDept to move our embassy to Jerusalem as…</t>
  </si>
  <si>
    <t>RT @PeterSweden7: Guess how many migrants Sweden has taken in so far during 2018.
- 40 000.
You read that correct. Forty thousand in just…</t>
  </si>
  <si>
    <t>RT @ThomasSowell: "It is amazing how many of the intelligentsia call it 'greed' to want to keep what you have earned, but not greed to want…</t>
  </si>
  <si>
    <t>RT @MtRushmore2016: The Swamp has seeped into Missouri; The Establishment will fight against Outsiders who intend to upset their corrupt gr…</t>
  </si>
  <si>
    <t>RT @MoScarlet: Attn: #MOLEG Moles and Rats.
On this 14th day of May 2018, in my own free will I contributed my personal donation to @repdot…</t>
  </si>
  <si>
    <t>RT @HennessySTL: Stfb, #moleg. Stfb. https://t.co/EHiaxWg6Oo</t>
  </si>
  <si>
    <t>Astute my butt
I’m 30 year Leo. What is he?
Facts of the case do not change. They indicted a man without any actual evidence. Some b******t story. Oh they can refile but the SP will probably Toss it when he realizes exactly what I said. 
Time for #moleg to end this witch hunt https://t.co/wk71kda00o</t>
  </si>
  <si>
    <t>RT @VisioDeiFromLA: Hey Charton
Where is Faughn and I why dont uou do something constructive like ask him where he got that money.
Sorry…</t>
  </si>
  <si>
    <t>RT @DeplorableGoldn: Please!!!!!  #moleg #mogov #Greitens https://t.co/MSJrKtDWCI</t>
  </si>
  <si>
    <t>RT @VisioDeiFromLA: #MoLeg #Mogov #Greitens #GreitensTrial #KimShady #STL #StLouis #kcmo https://t.co/wYuck2DUTw</t>
  </si>
  <si>
    <t>RT @Norasmith1000: #moleg https://t.co/zfU0DuYAHN</t>
  </si>
  <si>
    <t>RT @24thstate: The latent anti-semitism of @molegislature is about to become manifest in the special session as exemplified by @johnrhancoc…</t>
  </si>
  <si>
    <t>RT @strmsptr: @JaneDueker And yes that applies to the sellout GOP folks in #moleg as well.</t>
  </si>
  <si>
    <t>RT @88YahamaKeys: @Aletheia_4Truth @molegislature @Bren05_ @rhondas_lil_sis Time will tell.  There was no case to begin with on invasion of…</t>
  </si>
  <si>
    <t>RT @HennessySTL: Tonight feels like 2009 all over again. Maybe we need a little #teaparty in JC #mo? Give #moleg the old George III treatme…</t>
  </si>
  <si>
    <t>RT @Str8DonLemon: @HennessySTL A storm is a brewing! 
#moleg #mogov #Greitens #missouri #MoSen https://t.co/qA4MUDmX5F</t>
  </si>
  <si>
    <t>RT @JW1057: @stlcao has suborned perjury, repeatedly lied to the court, and engaged in additional criminal conduct. Should we be concerned…</t>
  </si>
  <si>
    <t>RT @Sticknstones4: Confirmed No picture 
It’s Time the money behind this charade of a case be followed 
Who supplied the 120k cash 
#gre…</t>
  </si>
  <si>
    <t>RT @MtRushmore2016: “The real reason why this case was dismissed was there was no evidence," said defense attorney Jim Bennett. #GovGreiten…</t>
  </si>
  <si>
    <t>RT @HotPokerPrinces: FOLLOW THE MONEY ➡️➡️➡️MISSOURI COLLUSION 
GREITENS CUT 150 MILLION DOLLARS IN LOW INCOME HOUSING TAX CREDITS.. Devel…</t>
  </si>
  <si>
    <t>RT @JW1057: Consent. Committee Failure. Prosecutorial Misconduct. @MoRepEvans @TeamGreitens 
#moleg #mogov #greitens #KimShady #IStandWithG…</t>
  </si>
  <si>
    <t>RT @JW1057: @StevenDialTV @41actionnews This is what a persecution (aka witch hunt) looks like. @EricGreitens we are with you through this…</t>
  </si>
  <si>
    <t>RT @Norasmith1000: Can disbarment proceedings begin now against #kimgardner please? #moleg #mogov</t>
  </si>
  <si>
    <t>RT @Sticknstones4: Governor Eric Greitens Press Conference after Felony Invasion of Privacy Case was dropped 
We Have a great Mission Befo…</t>
  </si>
  <si>
    <t>RT @Norasmith1000: @christoferguson What Greiten's lawyer said after court today needs to really wake people up...if she can get away with…</t>
  </si>
  <si>
    <t>RT @JW1057: @EricGreitens  I am so proud that you are fighting the good fight. I stand behind you. I know that this was just one battle in…</t>
  </si>
  <si>
    <t>RT @VisioDeiFromLA: IT'S NOT A COUP
IT'S NOT A COUP
IT'S NOT A COUP
IT'S NOT A COUP
IT'S NOT A COUP
IT'S NOT A COUP
IT'S NOT A COUP
IT'S NO…</t>
  </si>
  <si>
    <t>RT @VisioDeiFromLA: Dont think we forgot about you, Scott.
We still need to know where Faughn is &amp;amp; where he got his money.
Would the guy…</t>
  </si>
  <si>
    <t>RT @smart_hillbilly: Hawley and Claire caught colluding together! Lol. 
#moleg #mosen #mondaymotivation https://t.co/uGR6pQjIrr</t>
  </si>
  <si>
    <t>RT @MtRushmore2016: @CStamper_ Geesh, sorta feels like the SC Mueller railroad job against Pres Trump in The Swamp! Sending the message, Ou…</t>
  </si>
  <si>
    <t>RT @blackwidow07: @amjoyshow no @EricGreitens will not be impeached. The citizens will make sure that #moleg understand it's not about them…</t>
  </si>
  <si>
    <t>RT @Norasmith1000: @VisioDeiFromLA @Rep_TRichardson @willscharf @Shawtypepelina @Neilin1Neil @RealTravisCook @Avenge_mypeople @HennessySTL…</t>
  </si>
  <si>
    <t>RT @AngelaLily0501: Kim Gardner and Soros underestimated our Navy Seal Governor!!! WINNING! #GreitensTrial #Greitens #moleg</t>
  </si>
  <si>
    <t>RT @caesar718: Well well, what do you know?! Complete political witch hunt against @EricGreitens. They should have been in receipt of evide…</t>
  </si>
  <si>
    <t>RT @RetNavy93: @rlippmann @tkinder The #moleg better think twice before calling for the Governor to resign. A lot of them are up for reelec…</t>
  </si>
  <si>
    <t>RT @JakeGrayPoliSci: This is why I think #MoLeg should have waited to act. With all the new evidence coming out including Judge Burlison’s…</t>
  </si>
  <si>
    <t>RT @TomJEstes: School admins like this guy are now openly opposing a bill that would require public schools to work harder to make sure kid…</t>
  </si>
  <si>
    <t>RT @HennessySTL: Now, that crooked Kim Gardner dropped fraudulent charges, it’s time for the people to take down the crooks trying to overt…</t>
  </si>
  <si>
    <t>RT @Str8DonLemon: Remember #MoLeg
No evidence.
She dont even have the photo!
The whole case based on that!
When do we disbar Crooked Kim…</t>
  </si>
  <si>
    <t>RT @VisioDeiFromLA: #Moleg doesnt care about #Missouri
Will they steal from U? If U let them.
Dont let them
Mike Kehoe #573-751-2076
@Mi…</t>
  </si>
  <si>
    <t>RT @VisioDeiFromLA: How I know this a COUP?
#MoLeg didn't even wait 2 release statements to try to distract from #Greitens statements
Des…</t>
  </si>
  <si>
    <t>RT @VisioDeiFromLA: (2) Next on Deck
J. Eggleston
Will he screw over #Missouri Voters by impeaching?
Call him up or email him and ask hi…</t>
  </si>
  <si>
    <t>RT @VisioDeiFromLA: (1) #Missouri COUP is ON!
Time 2 see which #MoLeg reps &amp;amp; senators support people and which want to screw over voters…</t>
  </si>
  <si>
    <t>RT @aaron_hedlund: What we observed today was a politically motivated, incompetent prosecutor with no evidence throw in the towel rather th…</t>
  </si>
  <si>
    <t>RT @strmsptr: So it is official, This #GreitensTrial will be centered on three year old hearsay testimony. No photos. Pure waste of the tax…</t>
  </si>
  <si>
    <t>RT @JCunninghamMO: A friend tweeted this: “It’s a shame some in #MoLeg are letting their distaste for the Gov ‘s actions cause them to take…</t>
  </si>
  <si>
    <t>RT @strmsptr: #moleg has lost the moral authority and ability to lead...  #WeThePeople will be like bulls in a china shop come November. Co…</t>
  </si>
  <si>
    <t>RT @realDonaldTrump: The so-called leaks coming out of the White House are a massive over  exaggeration put out by the Fake News Media in o…</t>
  </si>
  <si>
    <t>RT @IngrahamAngle: BREAKING TONIGHT: We talk to John Solomon for part two of a huge story he just broke on a possible conflict of interest…</t>
  </si>
  <si>
    <t>@EricGreitens Stand strong, brotha!</t>
  </si>
  <si>
    <t>RT @EricGreitens: Today, the prosecutor dropped the false charges against me.
This was a great victory and a long time coming. I've said f…</t>
  </si>
  <si>
    <t>RT @EricGreitens: We have a great mission before us. And at this time, I'd ask people of goodwill to come together so that we may continue…</t>
  </si>
  <si>
    <t>RT @magathemaga1: Where’s your buddy, Faughn?
And where did he get his money?
Also you know Skyler?
This isn’t going away no matter how…</t>
  </si>
  <si>
    <t>RT @magathemaga1: Well it was interesting, wasn’t it? 
You were on location?
Still evading that subpoena, Scott?
Where did you get the m…</t>
  </si>
  <si>
    <t>RT @JW1057: @mffisher Please get the facts straight about what we know regarding the affair between @EricGreitens and Katrina. @JamesMNHarr…</t>
  </si>
  <si>
    <t>RT @magathemaga1: He had a consensual affair while he wasnt Gov.
Investigate story instead of relying on our lame media.
Hairdresser stor…</t>
  </si>
  <si>
    <t>RT @magathemaga1: Here’s the link to the orginal tweet in question 
#moleg #mogov #greitens #greitenstrial #TheThing #TheMoCoup #missouri…</t>
  </si>
  <si>
    <t>RT @magathemaga1: @RGreggKeller 
Was going through #MoLeg tweets &amp;amp; a tweet of yours caught my eye
Whipping votes?  
“Failure to see ‘The…</t>
  </si>
  <si>
    <t>RT @SKOLBLUE1: @JGibsonDem @stltoday @kevinmcdermott It is EXTREMELY clear that you obviously have ZERO idea how military contracts work, n…</t>
  </si>
  <si>
    <t>RT @ofctimallen: Thanks to all you guys for the support.
We are back!</t>
  </si>
  <si>
    <t>RT @realDonaldTrump: President Xi of China, and I, are working together to give massive Chinese phone company, ZTE, a way to get back into…</t>
  </si>
  <si>
    <t>@CNN Sorry I don’t feel bad. 30 years in the country illegally and they couldn’t hire an immigration lawyer? Too bad. And don’t tell me that garbage about they couldnt. Lawyers can figure it out</t>
  </si>
  <si>
    <t>RT @LittleMrsSnshne: @CNN They had 30 years to figure it out. My great grandmother did it in 3. Weird</t>
  </si>
  <si>
    <t>RT @realRichHunting: @CNN Instead of wasting your time on trying to guilt trip Americans into agreeing with ILLEGAL IMMIGRATION, you could…</t>
  </si>
  <si>
    <t>RT @rswindow: @CNN 30 years and they never became legal, and you want me to feel bad?</t>
  </si>
  <si>
    <t>RT @JGCardinale: @sabine_durden @Hotskoz @CNN The story says these parents “Entered the US ILLEGALLY.” I was taught by my parents &amp;amp; I taugh…</t>
  </si>
  <si>
    <t>RT @DineshDSouza: The parents got away with breaking the law for  decades. Are we supposed to feel sorry for this family? https://t.co/rsO4…</t>
  </si>
  <si>
    <t>RT @PoliticalShort: 2 former Obama NSC officials wrote an op-ed in NYT suggesting that Europe sanction American companies in order to prote…</t>
  </si>
  <si>
    <t>RT @RealJack: Still waiting on the FBI to raid:
James Comey
Hillary Clinton
John Kerry
Andrew McCabe
Loretta Lynch
Debbie Wasserman-Schult…</t>
  </si>
  <si>
    <t>This guy is a reporter and he’s asks such a slanted question https://t.co/jrPPGS5AWH</t>
  </si>
  <si>
    <t>RT @charliekirk11: Trump accomplished more this week than Obama did in 8 years 
3.9% unemployment 
Captured top 5 ISIS leaders 
North Ko…</t>
  </si>
  <si>
    <t>RT @dbongino: This tweet is a clear indicator that Nunes is closing in on this explosive scandal. They’re panicking because they know when…</t>
  </si>
  <si>
    <t>RT @Sticknstones4: 61st Homocide 
Go Lyda Krewson Go !   Your stellar leadship is setting records 
Crime Rises while you allow the city b…</t>
  </si>
  <si>
    <t>RT @charliekirk11: You ever hear of Democrat privilege?
It means you can commit crimes without going to jail
Like Hillary selling our ura…</t>
  </si>
  <si>
    <t>RT @JW1057: 1/2 @MariaChappelleN I don't believe the $120k to Watkins was all the money spent. Where is the money for Scott Simpson coming…</t>
  </si>
  <si>
    <t>RT @Sticknstones4: When you have cash payments , closed door sessions, indictments without evidence &amp;amp; witnesses evading a supoena   You bet…</t>
  </si>
  <si>
    <t>RT @getongab: The ADL is an extremist hate organization.</t>
  </si>
  <si>
    <t>@AngelaLily0501 @magathemaga1 @EricGreitens @MOGOP_Chairman @Rep_TRichardson @ByronYork @MOHouseGOP @gatewaypundit @Norasmith1000 @Hope4Hopeless1 @RealTravisCook @Avenge_mypeople @EdBigCon @Sticknstones4 @HennessySTL @HotPokerPrinces Soros definitely got Kim Gardner in office but #moleg gop swamp has their hands all over this conspiracy 
Maybe some democrats too</t>
  </si>
  <si>
    <t>RT @magathemaga1: Who is "The Funder"?
Where is the money coming from?
It wasn’t Scott’s Money. 
#Greitens #GreitensTrial #mogov #moleg…</t>
  </si>
  <si>
    <t>RT @RealEagleWings: Rare video of 
.@realDonaldTrump 
Any questions @POTUS works for you ⁉️
#SaturdayMotivation https://t.co/dclHOig3Tq</t>
  </si>
  <si>
    <t>RT @charliekirk11: Anyone else sick of your tax dollars being spent to try and dig up dirt on our President, while the FBI, Hillary, and Ob…</t>
  </si>
  <si>
    <t>RT @johncardillo: This is a @CNN reporter who works for @KFILE openly cheering on the radical leader of #Iran. 
A guy who chants “death to…</t>
  </si>
  <si>
    <t>RT @Thomas1774Paine: FOX News Exposé Nailed Ben Rhodes in Unmasking Scandal but FOX Anti-Trump Executive KILLED the Story https://t.co/c3aF…</t>
  </si>
  <si>
    <t>RT @_JasonOsborne: So John Kerry just left a meeting @ L’Avenue in Paris w/3 Iranians. A friend was sitting next to their table and heard J…</t>
  </si>
  <si>
    <t>RT @donavese: I am guessing Muslim businessmen purchased these franchises. Why else change anything. I don't get gas there but I would do s…</t>
  </si>
  <si>
    <t>RT @bfowler7: Pilot and Flying J truck stops announced they were taking down the American Flag. They started the American Flag was offensiv…</t>
  </si>
  <si>
    <t>RT @realDonaldTrump: North Korea has announced that they will dismantle Nuclear Test Site this month, ahead of the big Summit Meeting on Ju…</t>
  </si>
  <si>
    <t>RT @cs0058sc: ATTN MICHIGAN..YOU NEED TO READ THIS ARTICLE &amp;amp; watch the debate.  Candidate for Gov, Abdul al-Sayed, becomes unhinged over qu…</t>
  </si>
  <si>
    <t>RT @smart_hillbilly: Kinda like your party pad? 
#moleg #mosen #Greitens #GreitensTrial https://t.co/U7Pak2i0Bd</t>
  </si>
  <si>
    <t>RT @TomJEstes: Let the boycotting begin. #findscott #moleg https://t.co/DV1khaaYgb</t>
  </si>
  <si>
    <t>RT @JW1057: Does anyone know, or believe that they know, the affair between @EricGreitens and Katrina Sneed began earlier that 3/21/15?  Ph…</t>
  </si>
  <si>
    <t>RT @ResignNowKim: Hey @RGreggKeller you’re out of touch and out of the loop. Try to keep up w current events- especially if you’re gonna tr…</t>
  </si>
  <si>
    <t>RT @VisioDeiFromLA: So your admitting U want #Greitens gone because of personal feelings?
The will of the voters dont care about ur feelin…</t>
  </si>
  <si>
    <t>RT @TomJEstes: Superintendent openly endorses @clairecmc See #moleg ? These people aren’t on your side. We need to ignore the educrats and…</t>
  </si>
  <si>
    <t>RT @JW1057: Hmm! 2 times in 12 years. 1 time wasn't really cheating? Were Kitty and Phil on a break so it didn't count (Ross &amp;amp; Rachel on Fr…</t>
  </si>
  <si>
    <t>RT @HotPokerPrinces: This Week In Missouri Politics 
More of Scott’s Total BS
70k delivered to Al Watkins
Evading Supoena 
BOYCOTT @KDNLA…</t>
  </si>
  <si>
    <t>RT @VisioDeiFromLA: @EdBigCon @sarahkendzior @StaarVellocet Sarah is an idiot. Hey Sarah how many times have you been wrong about russia?…</t>
  </si>
  <si>
    <t>RT @RealCandaceO: “Now that I’ve been free, I know what a dreadful condition slavery is. I have seen hundreds of escaped slaves but I never…</t>
  </si>
  <si>
    <t>RT @realDonaldTrump: Today, my Administration is launching the most sweeping action in history to lower the price of prescription drugs for…</t>
  </si>
  <si>
    <t>RT @_CaseyJames_: @DrFilomeno @KTHopkins It would, unfortunately there's an ideology with over a billion people that absolutely detests lib…</t>
  </si>
  <si>
    <t>RT @KTHopkins: Brussels. May 2018. I am a foreigner in my own lands. https://t.co/AQOH50qSdQ</t>
  </si>
  <si>
    <t>RT @gatewaypundit: PAY DIRT! House Discovers FBI Reportedly Had SPY Inside Trump Campaign -- While Obama DOJ Wiretapped Campaign, Transitio…</t>
  </si>
  <si>
    <t>RT @EdBigCon: Internet Sleuths Uncover Obama's Probable Top Secret Spy and Paid Informant Inside Trump Campaign https://t.co/MOMT8PuHQY via…</t>
  </si>
  <si>
    <t>RT @EdBigCon: Former Secret Service Agent: I Believe There Was MORE THAN ONE Deep State Source Inside Trump Campaign (VIDEO) https://t.co/B…</t>
  </si>
  <si>
    <t>RT @gatewaypundit: JOHN KERRY Continues Shadow Diplomacy -- Pictured Leaving Meeting with Iranian Officials in Paris https://t.co/LNXp7l4Rw…</t>
  </si>
  <si>
    <t>RT @HennessySTL: ONE DEAD – Several Injured in Paris Stabbing Near Place de l’Opéra, Paris — Assailant Screaming “Allahu Akbar!”  https://t…</t>
  </si>
  <si>
    <t>RT @JCPenknife: Greitens = no evidence of a photo.
Trump = no evidence of collusion.
#WitchHunt #GreitensTrial #DrainTheSwamp #deepstate</t>
  </si>
  <si>
    <t>RT @HennessySTL: Everyone now sees that the Greitens persecution comes down Republican career politicians colluding with half-wit Dem prose…</t>
  </si>
  <si>
    <t>RT @EdBigCon: @TomJEstes Since #SterlingBank is a major sponsor of @scottfaughn ‘s commercials that would be a start! #moleg</t>
  </si>
  <si>
    <t>RT @JW1057: KG concedes the following: No alleged photo. No witness who saw alleged photo. No evidence photo was transmitted to cloud (pres…</t>
  </si>
  <si>
    <t>RT @magathemaga1: So.... 
Not one of 16,000 photos is of the alleged victim &amp;amp; there is no photo that any photo was even taken on the date…</t>
  </si>
  <si>
    <t>RT @VisioDeiFromLA: "In April, the woman told investigators from the district attorney’s office as well as lawyers with the New York Innoce…</t>
  </si>
  <si>
    <t>RT @JW1057: Katrina "Kitty" Sneed doesn't believe her own accusations against @EricGreitens. Kitty embraces metoo and refers to secret phot…</t>
  </si>
  <si>
    <t>RT @VisioDeiFromLA: Who is the funder?
I've been tweeting this for days now.
Media isnt curious?
But imagine if roles were reversed and…</t>
  </si>
  <si>
    <t>RT @RealTravisCook: This #WitchHunt...um, I mean...this "case"...is falling apart faster than a Yugo in a moderate wind storm.  #KimShady #…</t>
  </si>
  <si>
    <t>RT @TomJEstes: Looks like accusers aren’t always honest. Maybe getting the whole story is a good idea before deciding someone’s guilt. #mol…</t>
  </si>
  <si>
    <t>RT @magathemaga1: Some things to ask regarding the #GreitensTrial 
✔ Who is Skyler
✔Source of Money?
✔KS/PS bank statements checked?
✔Wher…</t>
  </si>
  <si>
    <t>RT @HennessySTL: Hafnermole Hafnermole Hafner Mole Hafner mole Hafner mole mole mole mole mole Hafner mole #moleg Hafner mole</t>
  </si>
  <si>
    <t>RT @DeplorableGoldn: RT 🚨
It’s time to put pressure on the stations that carry Scott’s show. No network should be airing a TV show who’s ho…</t>
  </si>
  <si>
    <t>RT @HennessySTL: #moleg = coward. (Or a word associated with cat) https://t.co/xSV7bnpLgX</t>
  </si>
  <si>
    <t>RT @DeplorableGoldn: RT 🚨
This #WitchHunt...um, I mean...this "case"...is falling apart faster than a Yugo in a moderate wind storm. 😂 #Kim…</t>
  </si>
  <si>
    <t>RT @VisioDeiFromLA: Is @jaybarnes5 intentionally trying to taint jury pool?
@Eric_Schmitt the people see this COUP for what it is. Might w…</t>
  </si>
  <si>
    <t>RT @HennessySTL: Meet the Mole. Soon. Very soon. #moleg you will never forget. https://t.co/D2Wpg4I3e6</t>
  </si>
  <si>
    <t>RT @TomJEstes: It’s time to put pressure on the stations that carry Scott’s show. No network should be airing a TV show who’s host is evadi…</t>
  </si>
  <si>
    <t>RT @VisioDeiFromLA: Is it normal for A PA to meet up with witnesses on East Side and mishandle notes? 
Guess U missed that part of the mot…</t>
  </si>
  <si>
    <t>RT @ChrisHayesTV: Judge tore into CAO paid consultant Ronald Sullivan, who laughed after a ruling. Judge said, "I'm not impressed with your…</t>
  </si>
  <si>
    <t>RT @charliekirk11: If an illegal is found stealing a social security number, they should be immediately deported 
If an illegal commits a…</t>
  </si>
  <si>
    <t>RT @Sticknstones4: WHO PAID FOR GREITENS POLITICAL HITJOB ?
📌 SHAM HOUSE COMMITTEE WONT TELL
📌THE MEDIA WONT TELL 
📌PROSECUTOR KIM GARDN…</t>
  </si>
  <si>
    <t>RT @VisioDeiFromLA: Source of Faughn’s Money?
Did Simpson also get money bag dropped to him in the middle of the night? 
Simpson, Sneed,…</t>
  </si>
  <si>
    <t>RT @memoriadei: #moleg You say #MoGov #Greitens #GreitensTrial cant do his job under the circumstances so he must resign. You and #media ma…</t>
  </si>
  <si>
    <t>RT @VisioDeiFromLA: 1. ALLEGED VICTIM 
2. Naming in public interest 
3. Presupposes women weak &amp;amp; not strong
4. If U agree, U think women R…</t>
  </si>
  <si>
    <t>RT @EdBigCon: @sarahkendzior @StaarVellocet #Fact Bought and paid for GOPe are the ones trying to impeach him.  Hafner was fired because he…</t>
  </si>
  <si>
    <t>RT @Str8DonLemon: One of my favs to describe this whole mess.
Follow the money!
#greitenstrial #GreitensCriminalTrial 
#Greitens #stlouis…</t>
  </si>
  <si>
    <t>RT @ChrisHayesTV: We now know what forensic experts found on the Governor's phone. According to the defense, 16,000 images were reviewed &amp;amp;…</t>
  </si>
  <si>
    <t>RT @VisioDeiFromLA: #MoLeg
U lied/slandered a man. A kinky, consensual affair U all knew about
Denied presumption of innocence. Fairness.…</t>
  </si>
  <si>
    <t>RT @magathemaga1: #KimShady is SHADY
#moleg #mogov #GreitensTrial #Greitens https://t.co/nQRt7WYgdS</t>
  </si>
  <si>
    <t>RT @TomJEstes: The situation with @scottfaughn continues to get more serious. Thanks you to @MariaChappelleN for bringing attention to this…</t>
  </si>
  <si>
    <t>RT @Sticknstones4: Public defenders are asking the court to take action against the St. Louis Circuit Attorney's Office for failing to foll…</t>
  </si>
  <si>
    <t>RT @Jesus_isPeace: The Four Shocking Messages That Reveal The #Democrat #WitchHunt Against #Republican #GovEricGreitens
#MOLeg #MOSen #Mis…</t>
  </si>
  <si>
    <t>RT @Hope4Hopeless1: @Jesus_isPeace .@POTUS #MISSOURI #Moleg THERE IS VERY CLEAR EVIDENCE OF COLLUSION TO UNSEAT OUR DULY ELECTED GOVERNOR .…</t>
  </si>
  <si>
    <t>RT @VisioDeiFromLA: The Presumption of Innocence Matters ... also where is Scott Faughn &amp;amp; where did he get money?
26 years later, 2 men ex…</t>
  </si>
  <si>
    <t>RT @magathemaga1: Hi #moleg
1. No Photo
2. Find Scotty!
3. #MoGov COUP!
4. Moleg Collusion with #KimShady
5. Inconsistent testimony (she l…</t>
  </si>
  <si>
    <t>RT @RealJamesWoods: Because you’re a opportunistic climber, whom nobody takes seriously. https://t.co/t223kiWe5s</t>
  </si>
  <si>
    <t>RT @AP4Liberty: Josh Hawley will do anything to climb the political ladder, including throwing Governor @EricGreitens under the bus. 
@Hawl…</t>
  </si>
  <si>
    <t>RT @IngrahamAngle: Some Republicans are trying to pull an end-run around the President's plan to secure the border. We'll get the inside sc…</t>
  </si>
  <si>
    <t>RT @charliekirk11: Proof of citizenship and a photo ID should be required to vote in every election</t>
  </si>
  <si>
    <t>RT @DineshDSouza: I paid the price. Now it’s Rosie’s turn https://t.co/VV5zfSYLc9</t>
  </si>
  <si>
    <t>RT @thebradfordfile: Dear FBI spy in the Trump Campaign:
YOUR SECRET IDENTITY IS COMING OUT SOON.
I hope it was worth it.
#ObamaGate</t>
  </si>
  <si>
    <t>RT @bbusa617: McCain — I Gave Dossier To Comey, Not Happy About It, Go To Hell https://t.co/BwTWKY8xqE
McCAIN: "I GAVE DOSSIER TO COMEY, N…</t>
  </si>
  <si>
    <t>RT @T_S_P_O_O_K_Y: Well, well, well...ole Bill Sammon is being outed for what he is: Anti-Trump FOX NEWS Executive Investigated For Killing…</t>
  </si>
  <si>
    <t>RT @hrtablaze: Low Energy Jeb
Lyin Ted 
Lil Marco
Crazy Bernie 
Crooked Hillary 
Cryin Chuck 
Lil Rocket Man
Animal Assad 
And now we have…</t>
  </si>
  <si>
    <t>RT @Thomas1774Paine: Food Stamp Enrollment Drops by 1.3 Million in Two Months https://t.co/P18ShelOyD</t>
  </si>
  <si>
    <t>RT @RealJack: BREAKING: Sean Hannity just said an FBI spy worked for the Trump campaign. 
The Deep State did everything they could to take…</t>
  </si>
  <si>
    <t>RT @realDailyWire: Can We All Finally Admit Trump Is A Good President? https://t.co/I2VBW9i02i</t>
  </si>
  <si>
    <t>RT @DiamondandSilk: Ever wonder how a lot of these congressmen &amp;amp; women are able to get filthy rich off of $174,000 salary a year? Where doe…</t>
  </si>
  <si>
    <t>RT @NevadaJack2: A new batch of emails released by the FBI today revealed that former FBI Director James Comey and Special Counsel Robert M…</t>
  </si>
  <si>
    <t>RT @kwilli1046: Is AG Jeff Sessions Friend of Foe? It has been a 5 days since it was discovered that Rosie O’Donnell violated campaign cont…</t>
  </si>
  <si>
    <t>RT @mike_pence: Hoosiers deserve to know when @realDonaldTrump asked Joe Donnelly to support the policies that Indiana needs. Joe Donnelly…</t>
  </si>
  <si>
    <t>RT @thecjpearson: If President Obama had secured the release of those 3 prisoners from North Korea, he’d be met with wall to wall coverage,…</t>
  </si>
  <si>
    <t>RT @DennisDMZ: No doubt these three gentleman arriving home from North Korea tonight will be the first trio to arrive here in years that Li…</t>
  </si>
  <si>
    <t>RT @charliekirk11: 3.9% unemployment
Korean War is over
Largest tax cut ever
ISIS destroyed
US energy independent  
3 million + jobs c…</t>
  </si>
  <si>
    <t>RT @dbongino: Today was a firm reminder to me about the stupidity of the modern far-left. These are destructive, desperate people eager to…</t>
  </si>
  <si>
    <t>RT @yashar: Pamela Anderson Reaches Out to Kanye West to Help Julian Assange https://t.co/zYuwZSmS71</t>
  </si>
  <si>
    <t>RT @Trader_Moe: Study by neuroscientist at MIT Sloan shows journalists are drunks with below average brain function:
https://t.co/h0sBCy7nU…</t>
  </si>
  <si>
    <t>RT @1776Stonewall: New emails obtained through the Freedom of Information Act by Judicial Watch show that James Comey coordinated his testi…</t>
  </si>
  <si>
    <t>RT @getongab: Nah, speak freely. https://t.co/eqZnS6UIEk</t>
  </si>
  <si>
    <t>RT @IngrahamAngle: Matt Drudge warns Trump is opening a pandora's box of censorship with 'crusade on fake news’ https://t.co/P7SiuRByza</t>
  </si>
  <si>
    <t>RT @TomFitton: About That FBI ‘Source,’ Did the bureau engage in outright spying against the 2016 @RealDonaldTrump campaign? by @KimStrasse…</t>
  </si>
  <si>
    <t>RT @realDonaldTrump: Thank you Indiana! #MAGA🇺🇸
https://t.co/fCv76VyUax</t>
  </si>
  <si>
    <t>RT @DeplorableGoldn: RT 🚨
1. Newman Lynch Mob 
@StaceyNewman seems 2 be Involved In #greitens witch hunt in some way. She also helped orga…</t>
  </si>
  <si>
    <t>RT @memoriadei: There is so much hate going on about my #MoGov #GreitensTrial that I cannot tell Democrats from Republicans!  Now that is N…</t>
  </si>
  <si>
    <t>RT @VisioDeiFromLA: Outsider advice
U screwed a man. Lied about him. Released incomplete report, timed 4 maximum political damage
U all a…</t>
  </si>
  <si>
    <t>RT @VisioDeiFromLA: “Everybody I disagree with is a bot!”
The emotional child’s guide to online political debate.
Here is the better ques…</t>
  </si>
  <si>
    <t>RT @VisioDeiFromLA: Another question:
Kim Gardner (#KimShady)
Don Tisaby (#TriflingTisaby)
Scott Simpson
Katrina Sneed
All met in “a hote…</t>
  </si>
  <si>
    <t>RT @memoriadei: I am ashamed of #moleg the first time in the 15 yrs I have been in this great state.  Your pressure in posts and #media hav…</t>
  </si>
  <si>
    <t>RT @magathemaga1: Waiting 4 @ScottCharton to get off phone with @scottfaughn as they figure how 2 spin latest news showing this 2 be scam a…</t>
  </si>
  <si>
    <t>RT @christoferguson: Remind me again why a bench trial was not allowed? #Moleg https://t.co/Es26FwocMA</t>
  </si>
  <si>
    <t>RT @RealTravisCook: Hey now--the kitty (Sneed, that is) screwed the Governor just as much as he screwed her.  She's just as much to blame f…</t>
  </si>
  <si>
    <t>@HotPokerPrinces @MariaChappelleN @eyokley @J_Hancock @scottfaughn @ScottSifton @BobOnderMO Any luck finding him Maria?</t>
  </si>
  <si>
    <t>RT @J_Hancock: . @MariaChappelleN says she plans to go one by one through the 34-member Senate, asking each Senator if they know where @sco…</t>
  </si>
  <si>
    <t>RT @magathemaga1: @kmbc @KrisKetzKMBC @Sticknstones4 @SKOLBLUE1 @Avenge_mypeople @Lautergeist @Hope4Hopeless1 @HotPokerPrinces @Norasmith10…</t>
  </si>
  <si>
    <t>RT @magathemaga1: @kmbc @KrisKetzKMBC Questions 
How do you explain the collusion between the Missouri legislature, Stacey Newman, Kim Gar…</t>
  </si>
  <si>
    <t>RT @HotPokerPrinces: #donnybrookST
Let’s talk about Lobbyists and Special Interests 
funneling cash to Scott Faughn 
120k to take Down #gre…</t>
  </si>
  <si>
    <t>@kmbc @KrisKetzKMBC The house testimony and the criminal don’t match up. 
Meaning the witness lied
Given this is public info? How is it that media hasn’t posted this out?</t>
  </si>
  <si>
    <t>RT @magathemaga1: Hmmm..... 
#MoLeg #MoGov #GreitensTrial #Greitens #stlouis #missouri #stl #kcmo https://t.co/CBrGbcgACF</t>
  </si>
  <si>
    <t>RT @HotPokerPrinces: MEDIA, TIME TO STOP GETTING YOUR STRINGS PULLED BY SCOTT FAUGHN
 FOLLOW THE MONEY !
120K CASH BUYS A FAKE SEX SCANDA…</t>
  </si>
  <si>
    <t>RT @VisioDeiFromLA: Claire out of step with MO. If election about ideas, GOP wins. If about oppressors vs oppressed (imagined), she wins
#…</t>
  </si>
  <si>
    <t>RT @DeplorableGoldn: Holy hell!
RT 🚨
Very interesting.
#MoLeg #MoGov #Greitens #GreitensIndictment #stlouis #stl #kcmo https://t.co/sIxiXf…</t>
  </si>
  <si>
    <t>RT @magathemaga1: WitchHunt Still On!
#ScammingScott running media while RUNNING FROM MEDIA!
#MoneyBagsAl got 20k MORE!
#KimShady is, well…</t>
  </si>
  <si>
    <t>RT @magathemaga1: @Sticknstones4 @shesova @EricGreitens @TuckerCarlson @FoxNews @molegislature Follow the money!
#MoLeg #mogov #Greitens #…</t>
  </si>
  <si>
    <t>RT @HotPokerPrinces: The “NAKED TRUTHS”
No Photo or Copy has ever been seen
Accuser Never told the Committee
She used FaceTime with Greit…</t>
  </si>
  <si>
    <t>RT @HotPokerPrinces: There’s No Device this Alledged Photo was taken
The Acuser has Never seen the Alledged Photo
No Evidence the Alledge…</t>
  </si>
  <si>
    <t>RT @magathemaga1: Yeah and thanks to Lauren and her sham report on the tape, the entire pool is tainted #greitenstrial 
#greitens https://…</t>
  </si>
  <si>
    <t>RT @magathemaga1: Tell me again how there shouldn’t be a bench trial? They have people tainting the poll right outside the court house!
#g…</t>
  </si>
  <si>
    <t>RT @MSTLGA: @RonFRichard You’re derelict of your duty 
The governor can sign passed bills into law 
Stop screwing Missouri Voters with yo…</t>
  </si>
  <si>
    <t>RT @HotPokerPrinces: WHEN THE SHERIFF GIVES YOU A HUG  &amp;amp; PATS YOU ONTHE BACK FOR SUPPORT 
YOU KNOW ITS A WITCH HUNT  !    GO GOVERNOR GREI…</t>
  </si>
  <si>
    <t>RT @magathemaga1: #GreitensTrial
Wonder if any of the potential jurors know #Moleg was coordinating with the circuit attorneys office???…</t>
  </si>
  <si>
    <t>RT @memoriadei: For so many who say they believe in our Constitution and justice system, there seems to be a lot who believe #Greitens is g…</t>
  </si>
  <si>
    <t>RT @MSTLGA: FOLLOW THE MONEY
Who was the source of the 120K Cash ?
#Moleg #MoGov #Greitens https://t.co/d1nMvvWoBc</t>
  </si>
  <si>
    <t>RT @magathemaga1: Good Morning #MoLeg
We need to talk
We still dont know where Scott Faughn is
We still dont know where the money came f…</t>
  </si>
  <si>
    <t>RT @Avenge_mypeople: In case you haven't seen the latest article describing how @staceynewman used Kitty Sneed to attempt to bring down Gov…</t>
  </si>
  <si>
    <t>RT @VisioDeiFromLA: 2 LIBS on #MoLeg complaining about #DACA
👉They aren’t undocumented
👉They R illegal 
👉DACA unconstitutional
👉Trump offe…</t>
  </si>
  <si>
    <t>RT @Sticknstones4: #DONNYBROOKSTL
Please discuss #MoLeg Collusion https://t.co/MtEfW3y0EZ</t>
  </si>
  <si>
    <t>RT @NickBSchroer: Words from Dems in #moleg past two days: Fully funding formula for #PublicEducation (two yrs in a row) is not enough mone…</t>
  </si>
  <si>
    <t>@HennessySTL ???</t>
  </si>
  <si>
    <t>RT @magathemaga1: Can somebody ask Maria what she meant by her tweet:
"Scott Faughn-Tilley-Parson-Republic Services-Exelon connection"
Is…</t>
  </si>
  <si>
    <t>RT @Hells_Wrath_: @Acosta That's what we elected him to do Jim. https://t.co/8soRTKywMP</t>
  </si>
  <si>
    <t>RT @mimimonger: @DragonflyMama7 @Acosta Thrilled not to be held under nuclear hostage. Glad sanctions were implemented in which our allies…</t>
  </si>
  <si>
    <t>RT @mimimonger: @Acosta We the people are thrilled!!! #MAGA</t>
  </si>
  <si>
    <t>Awesome https://t.co/Im6rKMYUa1</t>
  </si>
  <si>
    <t>RT @charliekirk11: Obama gave hundreds of billions in sanction relief and piles of cash without congressional consent to a regime that fund…</t>
  </si>
  <si>
    <t>RT @therealroseanne: so, Dan got underbid by non union workers, and we can't pay our bills. We were already on r 2nd final notice. #Roseanne</t>
  </si>
  <si>
    <t>RT @DonaldJTrumpJr: And we’re out. Another promise fulfilled ✔️
“When I make promises I keep them” @realDonaldTrump</t>
  </si>
  <si>
    <t>@ws_missouri @staceynewman She is lying</t>
  </si>
  <si>
    <t>RT @aaron_hedlund: Consider for one moment the possibility that Greitens may actually be innocent. Why would he ever resign? If you can't e…</t>
  </si>
  <si>
    <t>RT @HotPokerPrinces: How in the Hell is Scott Faughn still in hiding
Evading a supoena?
I’m calling on the Members of #Moleg to cancel the…</t>
  </si>
  <si>
    <t>@Neilin1Neil @EricGreitens @KathieConway @RealTravisCook TOTAL SCAM. I bet kathie knew this</t>
  </si>
  <si>
    <t>RT @Neilin1Neil: Rep. Stacey Newman is shown here communicating with the woman at the center of the affair on January 11th, just one day af…</t>
  </si>
  <si>
    <t>RT @VisioDeiFromLA: My thread on
✔Stacey Newman
✔Witch Hunts 
✔Activism
And:
#Greitens 
And more! From months ago!
#moleg #Mogov #mosen…</t>
  </si>
  <si>
    <t>RT @VisioDeiFromLA: "What happens when an “activist” runs of out enemies to fight? What happens when society rewards false accusers &amp;amp; victi…</t>
  </si>
  <si>
    <t>You do know that we Used to teach gun safety in high schools, don’t you? No permits, no guards, none of that. 
What changed?
No fathers 
No god
Possibly social media 
Rise in prescribed mental illness 
It isn’t guns, my man.
#moleg #mogov #2nd https://t.co/o8ojkfp0iL</t>
  </si>
  <si>
    <t>RT @grcfay: @VisioDeiFromLA Great timeline and read.  I thought I had read where both parties knew about the affair before the election.  D…</t>
  </si>
  <si>
    <t>@VisioDeiFromLA @grcfay @Neilin1Neil</t>
  </si>
  <si>
    <t>RT @VisioDeiFromLA: @grcfay They all knew about the affair
Because it was just an affair. 
Its not morally right but we dont imprison peo…</t>
  </si>
  <si>
    <t>RT @RealTravisCook: She's become a bit of a bull in a China shop lately hasn't she?--first Allmann, then Greitens (by colluding with Katrin…</t>
  </si>
  <si>
    <t>RT @magathemaga1: @TomJEstes @MariaChappelleN @scottfaughn She is earning the Rod Rosenstein is a Criminal #MoLeg JUSTICE award
Also where…</t>
  </si>
  <si>
    <t>RT @TomJEstes: @MariaChappelleN is blowing @scottfaughn up right now!! Scott! Where are you Scott??!! Hilarious! #moleg #findscott</t>
  </si>
  <si>
    <t>RT @TomJEstes: I wonder how many pages on Jane’s iPad Pro are filled with “all work and no play makes Jane a dull girl” ?? #moleg #mogov ht…</t>
  </si>
  <si>
    <t>RT @VisioDeiFromLA: Hey Scotty. 
Did Faughn just text you?
Trying to change the narrative again?
#moleg #mogov #greitens #ScammingScott…</t>
  </si>
  <si>
    <t>RT @VisioDeiFromLA: She knew.
#moleg #mogov #greitens #mosen #missouri #stl #kcmo #kansascity #StLouis #greitensindictment #witchhunt @joe…</t>
  </si>
  <si>
    <t>RT @JW1057: @ws_missouri Will, have you not been paying attention? Kim Gardner incompetent, corrupt, a criminal, brought a farce of indictm…</t>
  </si>
  <si>
    <t>@Reggers65 @EWErickson Revenge  isn’t a reason for prosecutorial misconduct. You do know the story with the girl is fake, right?</t>
  </si>
  <si>
    <t>@zuzuridesagain @Neilin1Neil @EricGreitens @sdieckhaus @KathieConway @inthejungle234 @SykesforSenate @Sticknstones4 @magathemaga1 @RealTravisCook @Norasmith1000 @liberty1776son @realDonaldTrump Susan apparently has been paying attention to the case. The absurd story is completely made up and the fundraising story seems like a backup plan now that plan A didn’t work. Total hit Job</t>
  </si>
  <si>
    <t>RT @Sticknstones4: Missouri Collusion 
@MOLegDems  @walshgina @GailBeatty @staceyNewman
I Missed this juicy detail in your outraged press…</t>
  </si>
  <si>
    <t>RT @magathemaga1: Good afternoon #MoLeg #MoGov except @Rep_TRichardson 
Based on recent filings, looks like “KS”  coordinated with the MO…</t>
  </si>
  <si>
    <t>RT @HotPokerPrinces: The Acuser never said she was coerced into a sex act
In fact she said she gave consent. relations were consensual 
Th…</t>
  </si>
  <si>
    <t>RT @JW1057: @jrosenbaum @EricGreitens @mattmfm 
Greitens vs Schneiderman. 
#moleg #mogov #greitens #KimShady #IStandWithGreitens https://…</t>
  </si>
  <si>
    <t>RT @Str8DonLemon: Good morning #moleg 
Where is Scott Faughn?
Where did his money come from?
FOLLOW THE MONEY
Notice certain people who…</t>
  </si>
  <si>
    <t>RT @Hope4Hopeless1: @VisioDeiFromLA @SmokeyBear2018 IT'S WASH, RINSE, REPEAT!
THIS SHIT HAS TO STOP!!!
.@POTUS and #WeThePeople
MUST MAK…</t>
  </si>
  <si>
    <t>RT @VisioDeiFromLA: Stacey Newman &amp;amp; KS TEXTS 
Coordinating with KG?
“Ms. Newman sent a text to K.S., providing K.S. the name and phone nu…</t>
  </si>
  <si>
    <t>RT @magathemaga1: #GreitensCriminalCase #Greitens #kcmo #stlouis #STL #missouri #GreitensIndictment #Witchhunt #BREAKING #Witchhunt #Kansas…</t>
  </si>
  <si>
    <t>RT @HotPokerPrinces: “Reeks of Sactions” is what Judge Burlison has said of Prosecution. The bad stench of Lies. 
Follow Along  ⬇️⬇️⬇️
#G…</t>
  </si>
  <si>
    <t>RT @magathemaga1: The #GreitensIndictment FACTS
#moleg #mogov #MOSen #missouri #stlouis #STL #kcmo #greitenscriminalcase #KansasCity #Witc…</t>
  </si>
  <si>
    <t>RT @magathemaga1: ATTENTION #moleg 
Has anybody seen Scott Faughn?
Is anybody asking:
✔Where his money came from?
✔What was it for?
✔Why…</t>
  </si>
  <si>
    <t>@brooke1544 @ElisabethCMO It was meant at the main poster.</t>
  </si>
  <si>
    <t>RT @1776Stonewall: Mueller didn't find crimes of Manafort. What he did was he went into old DOJ files, which he knew existed, because he wa…</t>
  </si>
  <si>
    <t>RT @bennyjohnson: As Melania Announces Anti-Bullying Campaign – Reporters Respond By Mocking Her Accent And Looks https://t.co/AZbf1EmqgS v…</t>
  </si>
  <si>
    <t>RT @realDonaldTrump: I will be announcing my decision on the Iran Deal tomorrow from the White House at 2:00pm.</t>
  </si>
  <si>
    <t>@ads302s @ef_this_noise @JW1057 @A_Tall_Turner @stltoday @EricGreitens Eric Greitens isn’t making an accusation. He is innocent until proven other wise. Allegations are not truth until they can be proven so.</t>
  </si>
  <si>
    <t>@ef_this_noise @ads302s @JW1057 @A_Tall_Turner @stltoday @EricGreitens She isn’t truthful until not proven so. It’s up to the accusers to prove it. Until then it didn’t happen. 
But anybody with common sense knows the story is bs
Sorry, woman are capable of lying 
What was the money for ?</t>
  </si>
  <si>
    <t>@ef_this_noise @ads302s @JW1057 @A_Tall_Turner @stltoday @EricGreitens No. You are innocent until proven guilty. The burden of proof is on the accuser. What are you smoking?</t>
  </si>
  <si>
    <t>@ef_this_noise @ads302s @JW1057 @A_Tall_Turner @stltoday @EricGreitens NO. She or he could have went straight to the police and we would have AUTOMATICALLY issued a TRO and brought him in for questioning. You clearly are engaging in pretzel logic. 
It was an affair. 
What was the money for?</t>
  </si>
  <si>
    <t>@ef_this_noise @ads302s @JW1057 @A_Tall_Turner @stltoday @EricGreitens You haven’t refuted anything I have said. You just called her a Victim and said we must believe this! But when presented which rhetoric that pierces a hole right through the whole thing you run away. 
It was a kinky affair. That’s it. 
What was the money to the lawyer for?</t>
  </si>
  <si>
    <t>@ef_this_noise @ads302s @JW1057 @A_Tall_Turner @stltoday @EricGreitens No. He isn’t guilty. He is innocent UNTIL PROVEN GUILTY. Good lord you people didn’t pay attention in schools.</t>
  </si>
  <si>
    <t>@ef_this_noise @ads302s @JW1057 @A_Tall_Turner @stltoday @EricGreitens So, and let’s play along, let’s say she was a victim. Was she hypnotized to go back at later dates? Oh she was blackmailed to go engage in further sexy times?
Bs
Her husband wasn’t. Why didn’t he go to the police as soon as he found out?</t>
  </si>
  <si>
    <t>@ef_this_noise @ads302s @JW1057 @A_Tall_Turner @stltoday @EricGreitens And her husband found out in 2015, and HE DIDNT GO TO THE POLICE EITHER. He tried to sell the story! 
You have to be a moron to believe that. 
Eric Greitens is the victim here</t>
  </si>
  <si>
    <t>@ef_this_noise @ads302s @JW1057 @A_Tall_Turner @stltoday @EricGreitens Let’s play your dumb game. She was such a victim that after her first encounter, she went back for 2nds and 3rds and they did things that are STRAIGHT OUR OF 50 shades of gray. And she didn’t go to the police after 3 years?</t>
  </si>
  <si>
    <t>@ads302s @ef_this_noise @JW1057 @A_Tall_Turner @stltoday @EricGreitens Then her tune changed ... 
Funny. That’s the same time that money was dropped off to the lawyer.... this is exactly what that justice guy is talking about. Maybe you should read his documents...</t>
  </si>
  <si>
    <t>@ads302s @ef_this_noise @JW1057 @A_Tall_Turner @stltoday @EricGreitens I’m not an idiot. That’s how. Go read the testimony from the house and then go in casenet and read the criminal. They don’t match up. 
kitty didn’t bring this. Phillip did, and in original interview she treated the Eric Greitens thing as totally consensual until end of Jan</t>
  </si>
  <si>
    <t>@ads302s @JW1057 @blackwidow07 @Neilin1Neil @A_Tall_Turner @stltoday @EricGreitens KG sucks but the hairdresser story is complete fake. There. 
It is fake. Made up. It didn’t happen. People all over the state don’t believe it. Look on Facebook. People who know the girl are calling bs. 
I’m not gonna speak to the other charge, but it seems suspect too</t>
  </si>
  <si>
    <t>@ads302s @ef_this_noise @JW1057 @A_Tall_Turner @stltoday @EricGreitens Nope. Any time I argue with some idiot that believes this nonsense, the first thing they do is cry about anonymous handles. Why?
Because they, too, know deep down the story is bs.
You don’t keep coming back for sex sessions straight out of 50 shades of gray if u r a victim</t>
  </si>
  <si>
    <t>@ads302s @ef_this_noise @JW1057 @A_Tall_Turner @stltoday @EricGreitens Believe it or not, some people have principles and still fight for what is right. I see a crooked prosecution. And I’m guessing that’s what’s going on this other dudes head too. We shouldn’t speak out because “hey it’s normal?”</t>
  </si>
  <si>
    <t>@ads302s @JW1057 @blackwidow07 @Neilin1Neil @A_Tall_Turner @stltoday @EricGreitens Nope. If I went onto the witness stand, however, it would be.
My opinion is irrelevant. You can take it or leave it. But if I was PHILLIP, and I was expected to testify, my background and credibility would be of issue.
Again, argue the substance. It appears you can’t</t>
  </si>
  <si>
    <t>@ads302s @ef_this_noise @JW1057 @A_Tall_Turner @stltoday @EricGreitens He didn’t lie and he isn’t my boy. I’m just on here to follow trump and now recently greitens drama. His handle is irrelevant to the points he makes</t>
  </si>
  <si>
    <t>@ads302s @ef_this_noise @JW1057 @A_Tall_Turner @stltoday @EricGreitens And as you know, if you actually paid attention in composition class, attacking the person is a fallacy. Who I am doesn’t matter. It’s the strength or weakness of my argument. Appears you’ve lost the argument of your crying about handles</t>
  </si>
  <si>
    <t>@ads302s @ef_this_noise @JW1057 @A_Tall_Turner @stltoday @EricGreitens I’ve been on the internet before you were even conceived son. Anonymous handles are the rule, not the exception and totally normal. The only reason you’d want my name is so you can attack me. The merits of my argument are what matter. Appears you cannot refute what I’m saying</t>
  </si>
  <si>
    <t>@ads302s @JW1057 @blackwidow07 @Neilin1Neil @A_Tall_Turner @stltoday @EricGreitens @Neilin1Neil</t>
  </si>
  <si>
    <t>@ads302s @JW1057 @blackwidow07 @Neilin1Neil @A_Tall_Turner @stltoday @EricGreitens People knew the names long before that and it was all over Facebook. Hell, i knew about the AFFAIR in 2016 just like every other politician and media person knew about the affair.
The consensual affair. 
check the bank statements to see if either of them got any of that money</t>
  </si>
  <si>
    <t>@ads302s @JW1057 @blackwidow07 @Neilin1Neil @A_Tall_Turner @stltoday @EricGreitens It’s in the public interest to discuss KITTY because she should be known to the public. How are we to determine the facts and make a judgement if we don’t know this woman and her background? Trust politicians? Lol
This is the public interest.</t>
  </si>
  <si>
    <t>@ads302s @ef_this_noise @JW1057 @A_Tall_Turner @stltoday @EricGreitens Uh huh. Isn’t it odd that Chris Koster and Eric Greitens have the exact Same hairdresser. The whole town knows the story.</t>
  </si>
  <si>
    <t>@ads302s @ef_this_noise @JW1057 @A_Tall_Turner @stltoday @EricGreitens Whole Leo community knows why she hired those outside investigators. Cuz the police would have investigated the case and determined it was bogus.
The Tisaby guy straight up lied about evidence. This justice guy is pointing all this that it out, and it isn’t made up and u ignore</t>
  </si>
  <si>
    <t>@ads302s @ef_this_noise @JW1057 @A_Tall_Turner @stltoday @EricGreitens If u actually would pay attention, u would know she is no victim. Perhaps she has been victimized by her husband, but her testimony didn’t match up and she could have went to the cops and got a TRO and they would have brought greitens in. Ur speaking 2 a 30 year LEO. Story is bs</t>
  </si>
  <si>
    <t>@ads302s @ef_this_noise @JW1057 @A_Tall_Turner @stltoday @EricGreitens He didn’t out her.
She was already “outed” we months ago. Bob romanick spoke her name, but the whole town already knew well before this. Apparently she dated Chris Koster too. 
Further, public can not be gagged and has a right to talk about it as it is in the public interest.</t>
  </si>
  <si>
    <t>RT @J_Hancock: . @scottfaughn was not present at his newspaper's office in Clayton Monday and his employees would not comment on his wherea…</t>
  </si>
  <si>
    <t>RT @VisioDeiFromLA: @ScottCharton 
Where is UR buddy Faughn? Any radio communication? 
Not buddies anymore? I think the public would like…</t>
  </si>
  <si>
    <t>RT @MSTLGA: Fake News Missouri Times
Stories Pimped to You and 
Paid For by Lobbyists &amp;amp; special interests groups 
Bought Narratives are not…</t>
  </si>
  <si>
    <t>@brooke1544 @ElisabethCMO The difference is, Eric Greitens is innocent on the abuse allegations. 
If you’ve been following the case, which it sounds like you haven’t, you would know this</t>
  </si>
  <si>
    <t>RT @SpeakerTimJones: So another self-righteous, sanctimonious, “holier than thou”, fake, fraud Dem goes down. Head’s up @staceynewman - #MO…</t>
  </si>
  <si>
    <t>RT @TomJEstes: Things continue to go down hill for poor Scott. #findscott #MOLeg https://t.co/nNIYRsTxdp</t>
  </si>
  <si>
    <t>RT @magathemaga1: You know the hairdresser and abuse story is completely made up Chelsea.... it was a consensual affair.
Not paying attent…</t>
  </si>
  <si>
    <t>RT @DeplorableGoldn: RT 🚨
. @EricGreitens attorneys want to question @scottfaughn but they’ve been unable to serve him with a subpoena.
“F…</t>
  </si>
  <si>
    <t>RT @magathemaga1: Why would Eric resign over a fake story?
You still believe that ?
✔Contradictory testimony (she lied)
✔Money dropped of…</t>
  </si>
  <si>
    <t>RT @DeplorableGoldn: WT actual f is going on?! 
#MOLeg #mogov #STL #StaceyNewman #KimShady #GreitensIndictment 
#MOSen #WitchHunt #greitens…</t>
  </si>
  <si>
    <t>RT @HotPokerPrinces: Oh  #Moleg  
Slimey Scott Faughn delivers 70k  cash  &amp;amp; than hides 
To evade a supoena
Bad Times for The Missouri Ti…</t>
  </si>
  <si>
    <t>RT @magathemaga1: I have to give @scottfaughn some credit. This making him look like ultimate media mogul in #Missouri cuz MO media FOLLOWI…</t>
  </si>
  <si>
    <t>RT @magathemaga1: @pochelp @VisioDeiFromLA @EricGreitens Oh but they are lying.
Take for example the failure to cross examine the witness…</t>
  </si>
  <si>
    <t>RT @VisioDeiFromLA: So predictable scott.
Sorry but your lame narrative wont work.
Everybody knows the KS blackmail story is fake includi…</t>
  </si>
  <si>
    <t>RT @Str8DonLemon: 1. Yo #MoLeg
In a MEME MOOD TODAY! 
Gonna just post all the memes I've made or others have made and post them since the…</t>
  </si>
  <si>
    <t>RT @mopns: Rep. Stacy Newman &amp;amp; Key Prosecution Witness Collude But Judge Allows Her Testimony Anyway https://t.co/r0uL66A0IW</t>
  </si>
  <si>
    <t>RT @IngrahamAngle: MUELLER, STORMY, PRESS BIAS NOTWITHSTANDING: CNN Poll: Trump approval steady amid rising outlook for the country @CNNPol…</t>
  </si>
  <si>
    <t>RT @HotPokerPrinces: THREAD TIME 
8 THINGS 
THE MEDIA DID NOT TELL YOU 
#GreitensCriminalCase #greitens #Moleg #GreitensImpeachment #greit…</t>
  </si>
  <si>
    <t>RT @TomFitton: I suspect we're going to find John Kerry's outreach to Iran was done hand in hand with the Deep State.</t>
  </si>
  <si>
    <t>RT @Sticknstones4: How Many 
Feel Lied To by the Media  ?
Feel Betrayed By #Moleg House Investigative Committee ?   🙋‍♂️🙋🏽‍♀️🙋‍♂️🙋🏻‍♂️…</t>
  </si>
  <si>
    <t>RT @NickBSchroer: The good fight isn't always a pleasant one #moleg https://t.co/QIn64H5qp3</t>
  </si>
  <si>
    <t>RT @getongab: I identify as a black woman now https://t.co/E07YaOsQRp</t>
  </si>
  <si>
    <t>RT @getongab: https://t.co/i5CBwMp8ap</t>
  </si>
  <si>
    <t>RT @getongab: Now you know why Big Tech is censoring the right. https://t.co/aA4PffKog1</t>
  </si>
  <si>
    <t>RT @getongab: Join the Gab Retro Gamers group: https://t.co/r9ejlQfCxe https://t.co/sSGqrkVakB</t>
  </si>
  <si>
    <t>RT @getongab: https://t.co/BwapwYNrNI</t>
  </si>
  <si>
    <t>RT @Ron_Barrett: @ArlanWasHere @turoczy @Backstage_Cap Wait a minute... Are you saying you'll openly discriminate against non-blacks and me…</t>
  </si>
  <si>
    <t>RT @getongab: Question for all of these Silicon Valley investors who are praising open racial and sexist discrimination as an investment th…</t>
  </si>
  <si>
    <t>RT @francispouliot_: Secret meeting of Ethereum management committee occured in  Toronto where blockchain governance rules were decided by…</t>
  </si>
  <si>
    <t>RT @VisioDeiFromLA: So, we still have investigative reporters, don't we?
This is very critical.
It needs to be investigated and it  shows…</t>
  </si>
  <si>
    <t>RT @magathemaga1: LOL!!!
WitchHunt Still On!
#ScammingScott running media while RUNNING FROM MEDIA!
#MoneyBagsAl got 20k MORE!
#KimShady…</t>
  </si>
  <si>
    <t>RT @VisioDeiFromLA: That CAO is seeking warrant 4 cell phone &amp;amp; email account week before trial SAYS EVERYTHING
1. This should've been done…</t>
  </si>
  <si>
    <t>RT @RealTravisCook: #KimShady needs to go. 10 murders in her city in 10 days--but she's focused on railroading Governor #Greitens instead o…</t>
  </si>
  <si>
    <t>RT @HotPokerPrinces: @kmov @ksdk @kmoxnews @stltoday @RiverfrontTimes @KCStar @Missourinet @NewsTribune @springfieldNL @JoplinGlobe  @Misso…</t>
  </si>
  <si>
    <t>RT @HotPokerPrinces: 3 STOOGES OF THE #GREITENS CASE LOVE TO SPEAK FREELY TO MEDIA
BUT 
WHEN ITS THEIR TURN TO SPEAK IN A COURT OF LAW 
U…</t>
  </si>
  <si>
    <t>RT @Mizzourah_Mom: Take a look at the petition and remember who did/did not sign on to the #Greitens #witchhunt next election. I will remem…</t>
  </si>
  <si>
    <t>RT @Norasmith1000: #moleg https://t.co/giC8OIl2hW</t>
  </si>
  <si>
    <t>RT @JW1057: @Norasmith1000 No photo. 
No witness who ever saw alleged photo.
No evidence of what alleged photo depicted.
No evidence of sub…</t>
  </si>
  <si>
    <t>RT @VisioDeiFromLA: Right thing is to fight obviously fake charges if they are. The Hairdresser story is clearly fake. Tell me colleen. Are…</t>
  </si>
  <si>
    <t>RT @HotPokerPrinces: THE PHOTO 📸
No Device 
No Knowledge of such Picture from KS
No photo of Nudity
No transmission of photo 
#Greitens #m…</t>
  </si>
  <si>
    <t>RT @realDonaldTrump: Lisa Page, who may hold the record for the most Emails in the shortest period of time (to her Lover, Peter S), and att…</t>
  </si>
  <si>
    <t>RT @Sticknstones4: @TomJEstes @VisioDeiFromLA Deliberately evading service, hillarious for a guy that’s always has his hand on the pulse of…</t>
  </si>
  <si>
    <t>RT @CJheartart: Don’t fall for this! It’s as dirty for Missouri as a initiative can be! #moleg #BeInformed https://t.co/GlLJ1VHIXN</t>
  </si>
  <si>
    <t>RT @HotPokerPrinces: THE NAKED TRUTH THE MEDIA REFUSES TO TELL YOU
KS testified in her deposition n June 2015 she used FaceTime with greit…</t>
  </si>
  <si>
    <t>RT @magathemaga1: I wasn't joking #Missouri media
0 reporting on where money to #MoneyBagsAl came from makes U look like puppets &amp;amp; like Sc…</t>
  </si>
  <si>
    <t>RT @TomJEstes: I came across this today. Is this a thing? Is Scott hiding from a subpoena?? #moleg https://t.co/bJD6lj7Ofs</t>
  </si>
  <si>
    <t>RT @magathemaga1: #Missouri Media
Scott Faughn DICTATING journalism in state, as none of U, with few exceptions, will report on where mone…</t>
  </si>
  <si>
    <t>RT @JW1057: @chrisregniertv @TeamGreitens @stlcao @StLCountyRepub @MissouriGOP @MissouriTimes @SheenaGreitens 
The persecution of @EricGre…</t>
  </si>
  <si>
    <t>@Neilin1Neil @ads302s @JW1057 @blackwidow07 @A_Tall_Turner @stltoday @EricGreitens @edemery Nobody would have laughed at her, it would have been taken very seriously. 
We would have investigated then and there and brought greitens in for questioning. No she kept seeing him, and they engaged in what appears to be stuff straight out of 50 shades of gray! Watch the movie!</t>
  </si>
  <si>
    <t>@Neilin1Neil @ads302s @JW1057 @blackwidow07 @A_Tall_Turner @stltoday @EricGreitens @edemery Right and you know as well as I do Neil, cops/courts don’t mess around with this stuff. EVEN IF we didn’t believe her story, we would have issued a TRO asap and taken the charges very seriously as we automatically give bias towards women in these situations even when lying.</t>
  </si>
  <si>
    <t>@Neilin1Neil @ads302s @JW1057 @blackwidow07 @A_Tall_Turner @stltoday @EricGreitens So distraught and worried about his victim wife KITTY that he did the thing that would protect her the least! 
People who believe this must have been sniffing the paint thinner!</t>
  </si>
  <si>
    <t>@Neilin1Neil @ads302s @JW1057 @blackwidow07 @A_Tall_Turner @stltoday @EricGreitens U still can’t say normal behavior of a husband who is trying to protect the wife! 
You have to put one and one together. Why hasn’t the media? He never went to cops at all! But allegedly reporters were calling him. Allegedly. That’s why he decided to go to the media!
#MoLeg</t>
  </si>
  <si>
    <t>@Neilin1Neil @ads302s @JW1057 @blackwidow07 @A_Tall_Turner @stltoday @EricGreitens 9 out of 10 times these people are full of crap and make a living manipulating witnesses for the prosecution. Just what I’ve seen with my own eyes. But let’s say I’m right and they are gonna try pull this stunt.</t>
  </si>
  <si>
    <t>@Neilin1Neil @ads302s @JW1057 @blackwidow07 @A_Tall_Turner @stltoday @EricGreitens They did that a few weeks back in media to try to cast doubt on those  who were questioning this story. Some expert on how victims are and aren’t supposed to act and what constitutes “consent”</t>
  </si>
  <si>
    <t>@Neilin1Neil @ads302s @JW1057 @blackwidow07 @A_Tall_Turner @stltoday @EricGreitens Other thing id add. notice u are LEO as well like myself. But, how much you want to bet they got some “victim advocate” to manipulate girl? If u look at indictment, there is a JW on it. And I bet they’ll roll in some fake expert to claim this is ALL NORMAL behavior of a victim</t>
  </si>
  <si>
    <t>@ef_this_noise @JW1057 @ads302s @A_Tall_Turner @stltoday @EricGreitens He’s morally weak if he doesn’t know anybody who would take a stand on principles. There are many people upset by this great misuse of the justice system. Being pissed at that doesn’t mean he’s getting paid. That was his point</t>
  </si>
  <si>
    <t>@Norasmith1000 @ads302s @JW1057 @blackwidow07 @Neilin1Neil @A_Tall_Turner @stltoday @EricGreitens @MissouriGOP after a month, I took a look at The details and I immediately realized it was all bs. I suspect that the new donation thing is because their first scheme with the girl isn’t working and people seeing through it. I cant comment on it but I’m sure it’s some nonsense technicality</t>
  </si>
  <si>
    <t>@Norasmith1000 @ads302s @JW1057 @blackwidow07 @Neilin1Neil @A_Tall_Turner @stltoday @EricGreitens I knew liberals gonna play this crap since they tried it with trump and then on Moore. To my surprise it seems like members of @MissouriGOP is involved with democrats as well as certain “interests” ... when I first heard allegations i though they were bs but I gave it a month</t>
  </si>
  <si>
    <t>@ads302s @JW1057 @blackwidow07 @Neilin1Neil @A_Tall_Turner @stltoday @EricGreitens As for the judge, we’ll, I expected better of him, but to deny a bench trial given the circumstances make me question what I knew of his reputation. But then again, money being dropped off in the middle of night, them releasing incomplete reports before trial, it’s all crooked</t>
  </si>
  <si>
    <t>@ads302s @JW1057 @blackwidow07 @Neilin1Neil @A_Tall_Turner @stltoday @EricGreitens In sum, the media has done a terrible job investigating this, as has the committee, and Kim Gardner and the people working on this case are beyond corrupt.
As the justice man said, he’s absolutely right about the investigation. Too much stuff wrong here.</t>
  </si>
  <si>
    <t>@ads302s @JW1057 @blackwidow07 @Neilin1Neil @A_Tall_Turner @stltoday @EricGreitens And as we are finding out, there is a literal conspiracy to take down gov here. Money dropped off to the lawyer, somebody offered to pay his legal fees. The girl texting about making money off this. 
Wake up, man.
#moleg #mogov</t>
  </si>
  <si>
    <t>@ads302s @JW1057 @blackwidow07 @Neilin1Neil @A_Tall_Turner @stltoday @EricGreitens Which leads me to my orginal point. Why did Kim Gardner hire outside investigators? 
My guess, the LEO investigators and police would have taken the matter seriously, investigated, and determined it was TOTAL BS STORY</t>
  </si>
  <si>
    <t>@ads302s @JW1057 @blackwidow07 @Neilin1Neil @A_Tall_Turner @stltoday @EricGreitens The point of story is, we as cops quite often seen whoppers like this. 
We also see legit abuse. And while I could maybe understand a victim not wanting to come forward, it is simply not believable when husband just waited 3 years, but that he went around &amp;amp; tried to sell story</t>
  </si>
  <si>
    <t>@ads302s @JW1057 @blackwidow07 @Neilin1Neil @A_Tall_Turner @stltoday @EricGreitens It’s clear she is making up the whole thing. But you know what we do? We ask the husband to take 24 - 48 Hours, spend it at friends house.
Let everybody cool down. Husband goes back, they make up, everything is fine.</t>
  </si>
  <si>
    <t>@ads302s @JW1057 @blackwidow07 @Neilin1Neil @A_Tall_Turner @stltoday @EricGreitens Caught hubby cheating. So she flipping out. She called police say she just claims she got hit by her husband. We show up talk to both husband and wife.</t>
  </si>
  <si>
    <t>@ads302s @JW1057 @blackwidow07 @Neilin1Neil @A_Tall_Turner @stltoday @EricGreitens Very puzzling why Kim Gardner had to hire outside investigators. 
I have a hunch though. Cops on the beat quite often deal with domestic disturbances. A lot of time it’s the woman calling and she’s just mad as hell, say she got hubby cheating.</t>
  </si>
  <si>
    <t>@ads302s @JW1057 @blackwidow07 @Neilin1Neil @A_Tall_Turner @stltoday @EricGreitens It’s clear money is a motivating factor here. I’m not saying the woman is involved, BUT, definite the husband, and the lawyer and that Scott guy. 
But really, did I really need this to go through all of this? The story is flat out not believable. Outside investigators?</t>
  </si>
  <si>
    <t>@ads302s @JW1057 @blackwidow07 @Neilin1Neil @A_Tall_Turner @stltoday @EricGreitens Note the questions I’m asking. They’ve been asked by people far better informed on this matter than me but only on twitter. Like this justice guy. Nobody in the media are asking these basic common sense questions.
And then what of the money dropped off? You just ignore that?</t>
  </si>
  <si>
    <t>@ads302s @JW1057 @blackwidow07 @Neilin1Neil @A_Tall_Turner @stltoday @EricGreitens I think the official excuse was, he was trying to protect the mother of his children and his kids.
So he does the thing that will do the complete opposite and make MEDIA ATTENTION QUADRUPLE? He releases a raunchy tape, and some serious allegations to the media, not police.</t>
  </si>
  <si>
    <t>@ads302s @JW1057 @blackwidow07 @Neilin1Neil @A_Tall_Turner @stltoday @EricGreitens So, instead of doing the right thing, after this woman was allegedly abused, the husband does nothing for 3 years, then he apparently posts some stuff on twitter calling greitens a “CHEATER” but never a rapist or abuser. Shops it around. Finally gets somebody to buy tape. KMOV</t>
  </si>
  <si>
    <t>@ads302s @JW1057 @blackwidow07 @Neilin1Neil @A_Tall_Turner @stltoday @EricGreitens Wife was just abused. Extreme story. He didn’t go to the police? You really believe, you as a husband, wouldn’t take immediate action? 
Na, nothing. 
As we’ve found out, he did try to shop tape around for money! And when he finally came forward, he went to KMOV! Not the police!</t>
  </si>
  <si>
    <t>@ads302s @JW1057 @blackwidow07 @Neilin1Neil @A_Tall_Turner @stltoday @EricGreitens Let’s say she was traumatized and scared. 
When did the husband find out and make that tape (which, if you listen to the tape, it’s clear she is lying and has no conviction). But when this PHILLIP guy finds out. What does he do? 
Nothing.</t>
  </si>
  <si>
    <t>@ads302s @JW1057 @blackwidow07 @Neilin1Neil @A_Tall_Turner @stltoday @EricGreitens What’s that? “Victims” sometimes don’t act normally and are tramutizied? Traumatized victims go back for seconds and thirds?
Oh your gonna say she had to end it? So she broke off the fling. 
But let’s play your dumb game ...</t>
  </si>
  <si>
    <t>@ads302s @JW1057 @blackwidow07 @Neilin1Neil @A_Tall_Turner @stltoday @EricGreitens Would a guy who is running for office dare to question or continue supposed blackmail in the event of a TRO? 
Fat chance. But of course the story is nonsense with anybody with a BRAIN. 
#moleg #greitens</t>
  </si>
  <si>
    <t>@ads302s @JW1057 @blackwidow07 @Neilin1Neil @A_Tall_Turner @stltoday @EricGreitens The way it works in TRO situations is, police/court would have exercised extreme caution with KITTY and taken it extremely seriously given nature of charges, and they would have definitely brought him in for questioning, warned him.</t>
  </si>
  <si>
    <t>@ads302s @JW1057 @blackwidow07 @Neilin1Neil @A_Tall_Turner @stltoday @EricGreitens Further, she isn’t a victim and the affair was consensual.
You can say alleged victim.
But really anybody who believes this story is an idiot. You don’t go back for 2nds if your a victim, and please spare me the blackmail bs. She could have got a RO and had The gov brought in</t>
  </si>
  <si>
    <t>@ads302s @JW1057 @blackwidow07 @Neilin1Neil @A_Tall_Turner @stltoday @EricGreitens The “accuser” name has been out there for months, not 2 mention apparently media and law makers all knew about it. In early feb, Bob romanick spoke about her. 
Further there is no gag order on the public nor is it possible to gag the public.</t>
  </si>
  <si>
    <t>RT @JW1057: @KathieConway @aaron_hedlund Guilt must be proven beyond a reasonable doubt. When the state fails to prove guilt the verdict is…</t>
  </si>
  <si>
    <t>RT @HennessySTL: Greitens is an outsider. Missouri’s Republican cabal is a private club and closed. Barklage, Barnes, Hafner, Faughn are on…</t>
  </si>
  <si>
    <t>RT @Norasmith1000: @ES03784893 Well let's not forget Kitty went to SHEENA'S house while she was out of town to partake in a fling with Grei…</t>
  </si>
  <si>
    <t>RT @VisioDeiFromLA: Havent seen you tweet in a while.
Funny your not showing any concern for the money to this Phillip Sneeds Lawyer via #…</t>
  </si>
  <si>
    <t>RT @VisioDeiFromLA: Its idiotic tweets like this why bench trial needed
Judge should have never declined, but if I had to guess, he probab…</t>
  </si>
  <si>
    <t>RT @Sticknstones4: Ill take that list of tax credit queens
DMs are open
Send it to me 
#moleg https://t.co/QVDjCdodhw</t>
  </si>
  <si>
    <t>@internalmonolo2 @MarkReardonKMOX Very good question. Follow the money</t>
  </si>
  <si>
    <t>RT @melody_grover: @MissouriGOP needs to sanction #mosen primary debates. The people lose when DC butts in. The state party has to be the o…</t>
  </si>
  <si>
    <t>RT @SpeakerTimJones: RIGHT NOW: The Tim Jones Show! @971FMTalk 7-9p CDT - UP NEXT: #MOLeg State Senator @BobOnderMO w/ some BREAKING NEWS!…</t>
  </si>
  <si>
    <t>RT @aaron_hedlund: Translation: the liberal media wants Greitens to resign even if he's innocent. There is nothing that could possibly happ…</t>
  </si>
  <si>
    <t>RT @aaron_hedlund: Leadership isn't declaring an outcome before the facts are in. The rush to immediate action has nothing to do with truth…</t>
  </si>
  <si>
    <t>RT @VisioDeiFromLA: You still havent done any tweets/commentary on your BUDDY Scott Faughn.
Why? You have 0 credibitly until you do that.…</t>
  </si>
  <si>
    <t>RT @HotPokerPrinces: @jaybarnes5  @Rep_TRichardson @MOHouseGOP 
Now that Scott Faughn has established himself as an un ethical journalist/…</t>
  </si>
  <si>
    <t>@ads302s @JW1057 @blackwidow07 @Neilin1Neil @A_Tall_Turner @stltoday @EricGreitens Tax credits aren’t illegal. It’s turning an affair that was consensual into this. That’s the problem</t>
  </si>
  <si>
    <t>@ads302s @JW1057 @blackwidow07 @Neilin1Neil @A_Tall_Turner @stltoday @EricGreitens Attack the merits not the fact he is anonymous. If you can’t do that, it shows that he is right</t>
  </si>
  <si>
    <t>@ads302s @JW1057 @blackwidow07 @Neilin1Neil @A_Tall_Turner @stltoday @EricGreitens Then you don’t care about justice</t>
  </si>
  <si>
    <t>@ads302s @JW1057 @blackwidow07 @Neilin1Neil @A_Tall_Turner @stltoday @EricGreitens That’s like me saying, well I charged obama with a made up crime, but since I got all these democrats to sign off on this, that makes it ok! Listen to yourself</t>
  </si>
  <si>
    <t>@ads302s @JW1057 @blackwidow07 @Neilin1Neil @A_Tall_Turner @stltoday @EricGreitens That’s not an excuse to open a criminal indictment based on made up bs, is it? I didn’t even vote for greitens. 
You people really have to step outside of yourselves and listen to what your saying. This is the type of shit that happened to black men  in Jim Crow America</t>
  </si>
  <si>
    <t>@ads302s @JW1057 @blackwidow07 @Neilin1Neil @A_Tall_Turner @stltoday @EricGreitens my state rep straight up told me entire story was bulls*** and made up over tax credits. Said he didn’t like Greitens at all but  girl was making up the story and everybody knew about it and he said the list was like prosecuting for one thing after your case fell apart on other</t>
  </si>
  <si>
    <t>@ads302s @JW1057 @blackwidow07 @Neilin1Neil @A_Tall_Turner @stltoday @EricGreitens That’s like saying trump shouldn’t do a certain policy because Lindsey graham is against it, why do you comment on politics if you don’t know what your talking about?</t>
  </si>
  <si>
    <t>@ads302s @JW1057 @blackwidow07 @Neilin1Neil @A_Tall_Turner @stltoday @EricGreitens That’s a dumb f*** argument. Everybody knows greitens campaigned as an outsider, and he went to Jeff city and didn’t do biz as usual. He’s not a Republican I’m so much as he is an outsider GOP. It’s not gonna work. Jeff city has just as many corrupt GOP. Don’t be a f***** idiot</t>
  </si>
  <si>
    <t>@JW1057 @blackwidow07 @Neilin1Neil @ads302s @A_Tall_Turner @stltoday @EricGreitens Also notice how they are so quick to attack your stupid twitter handle and not the arguments! 
Think why is the head of the Missouri Democrats attacking you?  Why do democrats in this town want greitens out so bad? This would be great for the election!</t>
  </si>
  <si>
    <t>RT @JW1057: @stltoday The "report" doesn't outline an unlawful shadow campaign so stop implying that it was unlawful. 
#moleg #mogov #grei…</t>
  </si>
  <si>
    <t>@JW1057 @blackwidow07 @Neilin1Neil @ads302s @A_Tall_Turner @stltoday @EricGreitens Im nobody important, but I am former LEO. And one thing that is uniting LEO of all colors and locations is how much of a joke Kim Gardner is. Think too. They were complaining about McCullough not prosecuting Darren Wilson! And now GJs can do no wrong because they hate greitens!</t>
  </si>
  <si>
    <t>@JW1057 @blackwidow07 @Neilin1Neil @ads302s @A_Tall_Turner @stltoday @EricGreitens Most libs in MO that I have spoken to on here completely disregard law and process because they want to get revenge. How was thing not dismissed? U ever wonder why she got outside investigators? Cuz I bet police chief downtown would have laughed in her face at the phony charges</t>
  </si>
  <si>
    <t>@JW1057 @blackwidow07 @Neilin1Neil @ads302s @A_Tall_Turner @stltoday @EricGreitens All these twitter liberals don’t care about due process or anything. They just care about revenge. That’s what we are seeing with the blatant disregard that Obama’s team did in spying on trump and now this. There a reason those guys at the FBI got fired. This is no different.</t>
  </si>
  <si>
    <t>RT @Sticknstones4: The fact that the media would report this falsehood is just another indication of how biased the coverage of this case h…</t>
  </si>
  <si>
    <t>RT @HennessySTL: She’s Gestapo.  https://t.co/UXKT39Xtfu</t>
  </si>
  <si>
    <t>RT @magathemaga1: 🚨 POLL TIME 🚨 
Good evening #MoLeg #MoGov
In the event that @EricGreitens resigns or is impeached over this witch hunt…</t>
  </si>
  <si>
    <t>RT @magathemaga1: #MoLeg #Mogov
What's all this talk about Scott Faughn going into hiding?
It's ok cuz even if he was, I'm sure #MISSOURI…</t>
  </si>
  <si>
    <t>RT @VisioDeiFromLA: Why would Scott Charton not tweet or do commentary on his buddy Scott Faughn’s involvement in all this?
Not saying you…</t>
  </si>
  <si>
    <t>@RealTravisCook Lol</t>
  </si>
  <si>
    <t>RT @VisioDeiFromLA: Why #STL CA Kim Gardner Must Be Investigated—and Stopped
"#StLouis CA Kim Gardner has clearly, repeatedly &amp;amp; consistent…</t>
  </si>
  <si>
    <t>RT @VisioDeiFromLA: Journalists &amp;amp; FAKE JOURNALISTS 
FOLLOW THE MONEY 
Where does it lead?
I have no idea, but seems mere act of people f…</t>
  </si>
  <si>
    <t>RT @DuellLauderdale: No matter who you support in #MOSen primary I think we should want to see robust #debate. Incldng a traditional live d…</t>
  </si>
  <si>
    <t>RT @WesleyWeglarek: Governor Greitens is currently speaking at the annual Law Enforcement Memorial Service to remember all of those officer…</t>
  </si>
  <si>
    <t>RT @HotPokerPrinces: @ksdk Please do not have biased journalist influenced by their own hatred  commenting on air regarding greitens being…</t>
  </si>
  <si>
    <t>RT @MissouriGOP: Sign up today for our rally with @KevinCorlew! https://t.co/V1mZBbvBAa</t>
  </si>
  <si>
    <t>RT @Monetti4Senate: https://t.co/UrWCX9kAvo</t>
  </si>
  <si>
    <t>RT @VisioDeiFromLA: 5. The issues in Kim Gardner’s office management
#moleg #mogov #kimshady #stlouis #Greitens #GreitensIndictment #stl #…</t>
  </si>
  <si>
    <t>RT @VisioDeiFromLA: 4. The lack of any charges brought in the stabbing of Trent Brewer
#moleg #mogov #kimshady #stlouis #Greitens #Greiten…</t>
  </si>
  <si>
    <t>RT @VisioDeiFromLA: 3. The hiring of out-of-state private investigators who engaged in dubious record-keeping and questionable personal beh…</t>
  </si>
  <si>
    <t>RT @VisioDeiFromLA: 2. The destruction of evidence and the failure to disclose evidence, time and time again.
#moleg #mogov #kimshady #stl…</t>
  </si>
  <si>
    <t>RT @VisioDeiFromLA: Key points of this article
1. The inappropriate contact between Kim Gardner, the lead witness in this case, and member…</t>
  </si>
  <si>
    <t>RT @TomJEstes: Well, looky here. Looks like the baby killers support the Soros funded “Clean” Missouri. #moleg https://t.co/2CnpKj9q2P</t>
  </si>
  <si>
    <t>@BigJShoota @MarvinStehr The entire story itself isn’t believable. I’ve said this before, but this woman could have got a RO by going to police and the supposed “blackmail” would have been stopped. The girl is making it up and it’s obvious for anybody who is objective and not biased! #moleg #mogov</t>
  </si>
  <si>
    <t>@BigJShoota @MarvinStehr Ive read/seen a lot of black men get railroaded and screwed unfairly by the law system, but at least you have the media and people calling it out and fighting 4 better. like the media doesn’t care that Kim Gardner is totally corrupt. releasing that report taints jury pool #MoLeg</t>
  </si>
  <si>
    <t>@BigJShoota @MarvinStehr Marvin it is a sham. I’ve been an Leo 4 long time and I’ve never see them abuse the justice system like this and the media and politicians just go along with it. Just mere fact that the “investigator” that Tisaby guy, lied about evidence to secure indictment it seems is absurd</t>
  </si>
  <si>
    <t>RT @VisioDeiFromLA: Hey Sarah, 
What do you make of the fact of yesterday’s news that came out from the recent filings on the #Greitens ca…</t>
  </si>
  <si>
    <t>RT @HotPokerPrinces: Scott Faughn in hiding Evading Supoena Service for Deposition 
Bag Man that dropped 5Ok to attorney Al Watkins 
#Mol…</t>
  </si>
  <si>
    <t>RT @HotPokerPrinces: Rep Stacey Newman, Missouri House Dem Leadership &amp;amp; St Louis Circuit Attorney Kim Gardner CONSPIRED with Greitens Mistr…</t>
  </si>
  <si>
    <t>RT @TomJEstes: Thanks to 1500 Soros-funded liars, this far left gerrymandering will go on the ballot. It’s no problem though, once people k…</t>
  </si>
  <si>
    <t>RT @Sticknstones4: That is a problem. How in hell can you know someone is guilty but not know what he is guilty of? Sounds like a sham to m…</t>
  </si>
  <si>
    <t>RT @Norasmith1000: @Sticknstones4 @jaybarnes5 If anyone at all doubted this was a witch hunt, they only need to see this to change their mi…</t>
  </si>
  <si>
    <t>RT @magathemaga1: Another dead body in Democrat ran  #Stlouis 
And all Democrats can think about is how they can smuggle more illegal alie…</t>
  </si>
  <si>
    <t>RT @Norasmith1000: @HotPokerPrinces Well, we all knew there was a good reason Kitty fought so hard to keep the defense from getting hold of…</t>
  </si>
  <si>
    <t>RT @jcavaiani: #moleg #mogov https://t.co/rBcMPhOdpw</t>
  </si>
  <si>
    <t>RT @Norasmith1000: @ScottCharton @KurtEricksonPD @EricGreitens @stltoday @McGrawMilhaven @550KTRS What is your point Scott? A lot has chang…</t>
  </si>
  <si>
    <t>RT @Hope4Hopeless1: @magathemaga1 @realDonaldTrump https://t.co/3mqCk0jQYB
Please listen to US Senate Candidate #MOSEN .@SykesforSenate fro…</t>
  </si>
  <si>
    <t>RT @HotPokerPrinces: Follow this Money Trail 💵💰💵💰👇👇
Check the Republic Services, Tilley, Bardgett, Lathrop &amp;amp; Gage money trail
Who are the…</t>
  </si>
  <si>
    <t>RT @magathemaga1: #MoLeg #MoGov 
Governor #Greitens is currently speaking at the annual Law Enforcement Memorial Service to remember all o…</t>
  </si>
  <si>
    <t>RT @VisioDeiFromLA: So @ksdknews having this woman on 2 explain #GreitensIndictment? 
Read her book, her ideas &amp;amp; observations of #Missouri…</t>
  </si>
  <si>
    <t>RT @SKOLBLUE1: @stlpublicradio @ScottCharton "It's too bad we couldn't have gotten the Missouri Legislature to go after the crime in St. Lo…</t>
  </si>
  <si>
    <t>RT @EdBigCon: @GovGreitensMO Speaking at the Missouri Law Enforcement Memorial.
What a solemn event honoring those that gave all. #moleg ht…</t>
  </si>
  <si>
    <t>RT @VisioDeiFromLA: @GovGreitensMO Speaking at the Missouri Law Enforcement Memorial
A solemn event honoring those that gave all
BACK THE…</t>
  </si>
  <si>
    <t>RT @SpeakerTimJones: Missourians will send a loud message that Nazi sympathizer leftwing lunatic @georgesoros is assuredly not welcome in T…</t>
  </si>
  <si>
    <t>RT @SpeakerTimJones: SUNDAY - Join us @971FMTalk 7-9p CDT for The Tim Jones Show! We’ll have @AmerComm ‘s @kerpen #MOLeg ‘s Sen. @BobOnderM…</t>
  </si>
  <si>
    <t>RT @magathemaga1: #MoGov #MoLeg 
🚨 POLL 🚨
Which #MoSen candidate has proper charisma &amp;amp; personality to beat Claire in November? Elections…</t>
  </si>
  <si>
    <t>RT @VisioDeiFromLA: It's not a witch hunt 
It's not a witch hunt 
It's not a witch hunt 
It's not a witch hunt 
It's not a witch hunt 
It's…</t>
  </si>
  <si>
    <t>RT @Str8DonLemon: Feliz Cinco De Mayo #MoLeg #Mogov !
Margaritas at @flystl Chili's! 
#Greitens news:
1. KS text messages EXPOSED
2. 100…</t>
  </si>
  <si>
    <t>RT @Sticknstones4: GOOD MORNING CROOKED #MOLEG 
@mikelkehoe @elijahhaahr @DougLibla25 @robschaaf
@RonFRichard @jaybarnes5 @shawnrhoads154…</t>
  </si>
  <si>
    <t>RT @VisioDeiFromLA: @GovGreitensMO Keep up great work! Real strength is continuing 2 do people’s work day to day in spite of EVIL forces tr…</t>
  </si>
  <si>
    <t>RT @magathemaga1: #MoSen #MoGov #MoLeg 
🚨 POLL TIME 🚨
Which Senate candidate will back @realDonaldTrump the most and end this UNCONSTITUT…</t>
  </si>
  <si>
    <t>RT @magathemaga1: #MoGov JUSTICE AWARD goes to ...
MARIA CHAPELLE NADAL
I have criticisms, but you recognized that everybody deserves due…</t>
  </si>
  <si>
    <t>RT @RealMAGASteve: I've figured out how to tell when James Clapper is lying? Put him in front of a camera on @CNN and when he starts talkin…</t>
  </si>
  <si>
    <t>RT @davereaboi: Good. https://t.co/VwkClaj4bT</t>
  </si>
  <si>
    <t>RT @Cernovich: “You’re running away from my question again,” a federal judge tells Team Mueller at today’s Manafort hearing. https://t.co/M…</t>
  </si>
  <si>
    <t>RT @MZHemingway: So this seems huge. Obama's DOJ had a counterintel operation going on Flynn? During the campaign/transition? And the *leak…</t>
  </si>
  <si>
    <t>RT @RealJack: Truly insane how @DineshDSouza got prison time for a $20,000 campaign contribution... 
But the Clintons get nothing for ille…</t>
  </si>
  <si>
    <t>RT @RealSaavedra: .@BrianStelter's approach:
Letting leftists lie on his program:
https://t.co/5JWLkx1NYn
Deceptively editing clips to sm…</t>
  </si>
  <si>
    <t>RT @loisbeckett: Wayne LaPierre announces the NRA's membership has reached an all-time high, "approaching 6 million active members," and "t…</t>
  </si>
  <si>
    <t>RT @erikfinman: Show support to people who think in ways that are unconventional. They're being attacked by the powers that be for straying…</t>
  </si>
  <si>
    <t>RT @mandiefressh: I can’t get enough of Kanye’s energy right now. 💙 https://t.co/uNpWTqp0og</t>
  </si>
  <si>
    <t>RT @Cernovich: I mean really
This is amazing.
Team Mueller made up a fake criminal case to get some PR and didn't expect any defendant to…</t>
  </si>
  <si>
    <t>RT @Cernovich: Wait hold on a second, we made this case up, it was totally fake and for PR.
You want us to actually do something with it?…</t>
  </si>
  <si>
    <t>RT @Cernovich: Hahahaha this is f-cking everything.
Remember when I told you that Mueller indicted 13 "Russia bots" as a fake PR stunt?
W…</t>
  </si>
  <si>
    <t>RT @SykesforSenate: You don't say. There are a lot of nervous senators in Washington right now @SenateMajLdr. Shedding light on your little…</t>
  </si>
  <si>
    <t>RT @magathemaga1: 🚨 #MoLeg #MoGov #MoSen 🚨
POLL TIME!!!!
With new information coming 2 light about how accuser KS coordinated with lawmak…</t>
  </si>
  <si>
    <t>RT @Monetti4Senate: Missourians, as your next U.S. Senator I vow to serve with HUMILITY - HONOR - INTEGRITY - EXCELLENCE - DISTINCTION.
Sa…</t>
  </si>
  <si>
    <t>RT @Hope4Hopeless1: @LylaRTurner @EricGreitens @POTUS @realDonaldTrump @POTUS_Schedule @GovGreitensMO Nope! I'm one PISSED OFF real FLESH &amp;amp;…</t>
  </si>
  <si>
    <t>RT @Monetti4Senate: No. I will fight for less government, less taxes and regulations and strong defense.  Give more power to the States and…</t>
  </si>
  <si>
    <t>RT @SykesforSenate: Great visit with Morgan County Farm Bureau! #MOSEN #MAGA https://t.co/mFgFQg8qtm</t>
  </si>
  <si>
    <t>RT @Monetti4Senate: One of my favorite people on the planet and definitely one of the best pilots in the world, Super Dave brings me lots o…</t>
  </si>
  <si>
    <t>RT @SykesforSenate: Step down @AGJoshHawley, you have no idea what you're doing and you have no business bypassing #DueProcess to serve you…</t>
  </si>
  <si>
    <t>RT @AP4Liberty: You went Ivy League. I schooled here in Missouri. You're a constitutional lawyer. I was a music theatre major. What are you…</t>
  </si>
  <si>
    <t>RT @AP4Liberty: RT if you want a senator who wants to take over the government so he can leave everyone alone. #MOSen</t>
  </si>
  <si>
    <t>RT @joelpollak: Hey @SallyQYates. Remember that Logan Act you were so worried about? You were concerned about incoming NSA Mike Flynn talki…</t>
  </si>
  <si>
    <t>RT @realDonaldTrump: Our high level delegation is on the way back from China where they had long meetings with Chinese leaders and business…</t>
  </si>
  <si>
    <t>RT @marklevinshow: Is Kerry violating the Logan Act? Don’t inquiring Democrat minds want to know? https://t.co/cbnEr7nH15</t>
  </si>
  <si>
    <t>RT @HotPokerPrinces: BREAKING 
SCOTT FAUGHN  HAS GONE INTO HIDING 
EVADING DEPOSITION &amp;amp; PROCESS SERVERS 
#moleg #missouricollusion #grei…</t>
  </si>
  <si>
    <t>RT @Avenge_mypeople: #moleg
#mogov
#mosen
#Greitens https://t.co/qdcNc3C18M</t>
  </si>
  <si>
    <t>RT @VisioDeiFromLA: @Rep_TRichardson 
Tell me again how your "witness" is supposed 2 be credible? Her testimony already contradictory &amp;amp; no…</t>
  </si>
  <si>
    <t>RT @VisioDeiFromLA: Now this is an interesting theory. Would be a public service if any actual journolist would to the public a favor and a…</t>
  </si>
  <si>
    <t>RT @VisioDeiFromLA: Lame attempt 2 change the narrative now more truth is coming out.
I have worked with many journalists years ago &amp;amp; seen…</t>
  </si>
  <si>
    <t>RT @Sticknstones4: #greitens motion says politics were in play starting 1-11 when MO Rep texted alleged victim “my House Dem leadership ins…</t>
  </si>
  <si>
    <t>RT @ChrisHayesTV: Latest MO Gov defense filing says it would like to depose @scottfaughn about the mysterious $100,000 cash payments but “i…</t>
  </si>
  <si>
    <t>RT @VisioDeiFromLA: Alexandra 
How does it feel to know news is coming out the "accuser" is a liar and coordinated with #MoLeg on this sca…</t>
  </si>
  <si>
    <t>RT @memoriadei: #Ialegis #Iowa thank you!! #Heartbeat #ProLife 
And #moleg you should be instead of witch hunting!</t>
  </si>
  <si>
    <t>RT @Sticknstones4: #Moleg  &amp;amp; #KimShady Shame on You !   You conspired to unseat a duly elected governor 
#greitens #witchhunt 
Gov. Greite…</t>
  </si>
  <si>
    <t>RT @magathemaga1: The more we learn on the  #GreitensIndictment, the more we begin to realize, when reporters FOLLOW THE MONEY, &amp;amp; facts com…</t>
  </si>
  <si>
    <t>RT @ChrisHayesTV: MO Gov's defense says recently discovered text messages reveal possibility alleged victim could profit. Court motion quot…</t>
  </si>
  <si>
    <t>RT @HotPokerPrinces: MO Gov's defense says recently discovered text messages reveal possibility alleged victim could profit. Court motion q…</t>
  </si>
  <si>
    <t>RT @ChrisHayesTV: MO Gov defense motion says politics were in play starting 1-11 when MO Rep texted alleged victim “my House Dem leadership…</t>
  </si>
  <si>
    <t>RT @Str8DonLemon: Hey @J_Hancock 
How come stacey Newman didnt?
#moleg #mogov #mosen #mosenate https://t.co/17dACl3oZc</t>
  </si>
  <si>
    <t>RT @magathemaga1: Its called the 5th amendment Jason.
Also it would be unwise to speak to reporters given there is a trial going on. Come…</t>
  </si>
  <si>
    <t>RT @magathemaga1: ⚠️ #MoneyBagsAl Update ⚠️
"Lawyers for Al Watkins are trying to block a subpoena seeking records on who is paying their…</t>
  </si>
  <si>
    <t>RT @aaron_hedlund: Al Watkins clearly has mastered the art of having fun at his job. Granted, the collateral damage is facilitating corrupt…</t>
  </si>
  <si>
    <t>RT @JW1057: @aaron_hedlund Al Watkins' continued practice of law is clearly prejudicial to the administration of justice. He should be disb…</t>
  </si>
  <si>
    <t>RT @magathemaga1: #GREITENS ALERT
ht: @ChrisHayesTV 
"MO Gov's defense says recently discovered text messages reveal possibility alleged v…</t>
  </si>
  <si>
    <t>RT @magathemaga1: "MO Gov defense motion says politics in play starting 1-11 when MO Rep texted alleged victim “my House Dem leadership ins…</t>
  </si>
  <si>
    <t>RT @magathemaga1: I may only be a West DC Fake Deputy AG, but I DO KNOW based on public info, Scott Faughn &amp;amp; Stacey Newman are 2 of the big…</t>
  </si>
  <si>
    <t>RT @Norasmith1000: @magathemaga1 @EricGreitens @Rep_TRichardson @HotPokerPrinces @strmsptr @Hope4Hopeless1 @Avenge_mypeople @Blackboxhalo @…</t>
  </si>
  <si>
    <t>RT @magathemaga1: Reminder to #MoLeg 
You try impeachment before @EricGreitens gets his day in court, you are playing with electoral fire.…</t>
  </si>
  <si>
    <t>RT @Sticknstones4: #MOLEG SENATORS 
WE APPRECIATE &amp;amp; SALUTE YOU
FOR RESPECTING YOUR CONSTITUENTS &amp;amp; THE WILL OF #MISSOURI VOTERS
SEN MARIA…</t>
  </si>
  <si>
    <t>RT @RealTravisCook: @karmamichele @magathemaga1 @EricGreitens @Rep_TRichardson @HotPokerPrinces @strmsptr @Hope4Hopeless1 @Avenge_mypeople…</t>
  </si>
  <si>
    <t>RT @RetNavy93: @kmoxnews @tkinder You people in the #moleg are out of your fricking minds. What kind of president are you setting. Just bec…</t>
  </si>
  <si>
    <t>RT @strmsptr: #moleg Gary Romine and Kevin Engler you are put on notice. Mr Romine, you have lost my support for any reelection bid. Mr Eng…</t>
  </si>
  <si>
    <t>RT @strmsptr: #moleg is hell bent on nullifying the choice of #WeThePeople for Missouri Governor by calling a special session to continue t…</t>
  </si>
  <si>
    <t>RT @Sticknstones4: SHAME ON EVERY SINGLE ONE OF YOU
THAT CONSPIRED 
SHAME ON YOU 
#MOLEG https://t.co/9nzNTszGAn</t>
  </si>
  <si>
    <t>RT @VisioDeiFromLA: Wow. I agree with Nadal.
"Chappelle-Nadal said, even though she's been critical of Greitens, she believes his trial sh…</t>
  </si>
  <si>
    <t>RT @JW1057: Now know that Stacey Newman and Dems were involved from the beginning. Newman arranged meeting between Kitty and @stlcao. Gardn…</t>
  </si>
  <si>
    <t>RT @memoriadei: #moleg #gop #committee @TeamHawley your conservatives are not very happy...true conservatives.  We are more embarrassed by…</t>
  </si>
  <si>
    <t>RT @Str8DonLemon: Why didnt STACEY NEWMAN NOT SIGN THIS?
Why didnt STACEY NEWMAN NOT SIGN THIS?
Why didnt STACEY NEWMAN NOT SIGN THIS?
W…</t>
  </si>
  <si>
    <t>RT @Str8DonLemon: Oh hi sharon! I took the day off.
Are you still going around claiming the hairdresser story is true using the "me too" l…</t>
  </si>
  <si>
    <t>RT @Str8DonLemon: Hey @walshgina 
Why don't you ask STACEY NEWMAN what part she had in this scam!
Look at the new motion!
We know this i…</t>
  </si>
  <si>
    <t>RT @Sticknstones4: Resign Now Kim Gardner !
#MOLEG start cleaning out your
Offices https://t.co/9nzNTszGAn</t>
  </si>
  <si>
    <t>RT @Str8DonLemon: @mariachappelleN gets one thing right.
We all have due process.
And this house report, released recklessly before actua…</t>
  </si>
  <si>
    <t>RT @BryanLowry3: Scott Faughn posted an article Thursday defending his decision to pay the attorney of the ex-husband of Greitens' alleged…</t>
  </si>
  <si>
    <t>It’s dirty as s***
#moleg #mogov #greitens https://t.co/6H5ZBY28Jk</t>
  </si>
  <si>
    <t>RT @Sticknstones4: You do not become an agent involving financial transactions in a story as big as the potential removal of office as a go…</t>
  </si>
  <si>
    <t>RT @Sticknstones4: #KimShady paid a $10,000 retainer and agreed to pay $475 an hour TO CONVINCE A JURY(without evidence) that there was a p…</t>
  </si>
  <si>
    <t>#MoLeg #MoGov #Greitens https://t.co/13adaxJie3</t>
  </si>
  <si>
    <t>RT @StLCountyRepub: A fair trial will be hard to have @EricGreitens https://t.co/JGI31UJgOI</t>
  </si>
  <si>
    <t>RT @melody_grover: Unproven allegations. You also have a strange conception of time if March to May (the time stamp is May 29) counts as "j…</t>
  </si>
  <si>
    <t>RT @realDonaldTrump: So disgraceful that the questions concerning the Russian Witch Hunt were “leaked” to the media. No questions on Collus…</t>
  </si>
  <si>
    <t>RT @aidenzdad: @KamVTV @avthunder Bull, Mexico has done nothing &amp;amp; will never do anything to assist the US with this problem that they are r…</t>
  </si>
  <si>
    <t>RT @AngelaLily0501: @therealroseanne Rosanne August 7th is Missouri Primary. The GOP is pushing RINO Josh Hawley on us but we want #MAGA ca…</t>
  </si>
  <si>
    <t>RT @Monetti4Senate: #MAGA Patriots, our campaign is funded by YOU the people. If I am to fight the establishment and defeat Claire McCaskil…</t>
  </si>
  <si>
    <t>RT @Monetti4Senate: My website at https://t.co/H8QonhQfyK spells at my stance on issues. I’ve been to more Lincoln Days than any other cand…</t>
  </si>
  <si>
    <t>@JPRadioMofo @EricGreitens 👌🏻</t>
  </si>
  <si>
    <t>@JPRadioMofo @EricGreitens 👍👍</t>
  </si>
  <si>
    <t>RT @Hope4Hopeless1: @EricGreitens Governor.@EricGreitens &amp;amp; .@POTUS .@realDonaldTrump I can't begin to express my admiration &amp;amp; gratitude for…</t>
  </si>
  <si>
    <t>RT @EricGreitens: A powerful morning at Centennial Baptist Church in Mexico, celebrating the #NationalDayofPrayer. A quiet moment of worshi…</t>
  </si>
  <si>
    <t>RT @VisioDeiFromLA: @EricGreitens Keep up great work. Real strength is continuing to do the people’s work day to day in spite of EVIL force…</t>
  </si>
  <si>
    <t>RT @HotPokerPrinces: Fo’ Sho Corruption Runs Deep Down In Poplar Bluff 
They have been screwing over Missouri for Years 
Gigs Up ! Greite…</t>
  </si>
  <si>
    <t>RT @Avenge_mypeople: Missouri Governor #Greitens is under attack by people in his own party. Scott Faughn, who sent $50,000 to lawyer Al Wa…</t>
  </si>
  <si>
    <t>RT @toadtws: @JW1057 @VisioDeiFromLA @TeamGreitens @EricGreitens @SheenaGreitens @StLCountyRepub @MOHOUSECOMM @jeanielauer @Rep_TRichardson…</t>
  </si>
  <si>
    <t>RT @YearOfZero: @JW1057 @TeamGreitens @EricGreitens @SheenaGreitens @StLCountyRepub @MOHOUSECOMM @jeanielauer @Rep_TRichardson @gcmitts @sh…</t>
  </si>
  <si>
    <t>RT @Avenge_mypeople: Tax Increment Financing: the process whereby corporations and/or developers use the willing apparatus of government to…</t>
  </si>
  <si>
    <t>RT @magathemaga1: These are great AND ACCURATE points. Thanks for sharing!
Yes Barnes was reckless releasing this before trial!
Yes this…</t>
  </si>
  <si>
    <t>RT @magathemaga1: Dont you know, its only cool when ur a Democrat but if ur a Republican the world is ending
@TomJEstes #MoLeg #MoGov #gre…</t>
  </si>
  <si>
    <t>RT @magathemaga1: The media is concerned about the public being informed?
Lol
Ironic considering media has done it's best 2 keep public m…</t>
  </si>
  <si>
    <t>RT @Str8DonLemon: Hey Charton are you still peddling Scott Faugh's "Narrative"?
I know you guys are friends and all.
Would love to see yo…</t>
  </si>
  <si>
    <t>RT @sigi_hill: @ws_missouri The lawyer incl. #MoLeg should be disbarred and prosecuted for malfeasance and abuse of power and you should no…</t>
  </si>
  <si>
    <t>RT @magathemaga1: I may not be a West Butler County Hillbilly, but I am a West DC Fake Deputy AG Swamp Monster, and I just wanted to remind…</t>
  </si>
  <si>
    <t>RT @ChrisYaudas: Who do I think needs to be impeached? The @MOHouseGOP and @MissouriSenate leadership and those #moleg members who are defy…</t>
  </si>
  <si>
    <t>RT @YearOfZero: Suddenly you are worried about people being called names and talked about?
You’ve been on here calling @EricGreitens a rap…</t>
  </si>
  <si>
    <t>RT @VisioDeiFromLA: Why dont U ask stacey Newman why the accuser didnt tell her about the crime, given them she is the "family hairdresser"…</t>
  </si>
  <si>
    <t>RT @VisioDeiFromLA: The #MoLeg committe has lied to the public. 
They didnt cross examine the witness. 
They released testimony before a…</t>
  </si>
  <si>
    <t>@JW1057 @TeamGreitens @EricGreitens @SheenaGreitens @StLCountyRepub @MOHOUSECOMM @jeanielauer @Rep_TRichardson @gcmitts @shawnrhoads154 @TommiePierson @jaybarnes5 @KevinLAustin1 This covers my sentiments though you put it better.
How do you release this before the trial??? They are tainting the jury pool 
Just shows Jay Barnes and the rest of the #MoLeg 7 or whatever you want to call them are corrupt</t>
  </si>
  <si>
    <t>RT @Sticknstones4: 🕵🏻‍♂️TRUTH SEEKERS
FOLLOW #MOLEG MONEY https://t.co/facNEr0Sp2</t>
  </si>
  <si>
    <t>RT @magathemaga1: I may just be a West DC Fake Deputy A.G. Swamp Monster, but isn't it ODD Dems in #Missouri are eager 2 impeach @EricGreit…</t>
  </si>
  <si>
    <t>RT @Str8DonLemon: Keep carrying water 4 establishment. Yesterday u were complaining about being dumped on, yet today u do 20 stories on a S…</t>
  </si>
  <si>
    <t>RT @VisioDeiFromLA: Chris you should ask the #MoLeg council why they released this before a criminal trial thus tainting the jury pool?
Th…</t>
  </si>
  <si>
    <t>Nobody cares trump banged hot women. https://t.co/eO242FtUwf</t>
  </si>
  <si>
    <t>Suddenly you are worried about people being called names and talked about?
You’ve been on here calling @EricGreitens a rapist FALSELY over FAKE allegations.
Have you no shame?
#MoLeg #MoGov #Greitens #Missouri https://t.co/jmBVUYVm7c</t>
  </si>
  <si>
    <t>RT @VisioDeiFromLA: Are you still going around pretending the hairdresser story wasnt made up? 
#MoLeg #MoGov #Greitens https://t.co/KnZC1…</t>
  </si>
  <si>
    <t>RT @sigi_hill: @JW1057 @TeamGreitens @EricGreitens @SheenaGreitens @StLCountyRepub @MOHOUSECOMM @jeanielauer @Rep_TRichardson @gcmitts @sha…</t>
  </si>
  <si>
    <t>RT @VisioDeiFromLA: Anywho states "but but Republican!" is ignorant of politics.
This isnt about R or D
This is about outsider vs insider…</t>
  </si>
  <si>
    <t>RT @TomJEstes: Calling on the Legislature to stop doing the people’s business is not a good look when you’re asking them to put you in the…</t>
  </si>
  <si>
    <t>RT @VisioDeiFromLA: So get #MoneyBagsAl to give a description of the perp? 
Seems very sketchy &amp;amp; not believable. Kind of like Scott's Book…</t>
  </si>
  <si>
    <t>RT @TomJEstes: Great interview by @MarkReardonKMOX with @scottfaughn Scott sounds as guilty as sin. #moleg  https://t.co/FdgmUwUzuL</t>
  </si>
  <si>
    <t>RT @HotPokerPrinces: THIS GUY GETS IT 
#MOLEG YOURE BUSTED https://t.co/W7fkoJEMxe</t>
  </si>
  <si>
    <t>RT @magathemaga1: Clean Missouri is Dem/#Soros redistricting scam wrapped in lipstick. STOP IT
✔Tell friends
✔Post on Facebook about scam…</t>
  </si>
  <si>
    <t>RT @Sticknstones4: 14 year old boy shot in city at 4:00
16 year old boy shot in county at 5:30
Drugs ? Gangs ? 
@GailBeatty can you Impe…</t>
  </si>
  <si>
    <t>RT @TrumpChess: @Sticknstones4 @jrosenbaum Please copy her tweet and post so I can do the same MCN (she) blocked me after she threatened @P…</t>
  </si>
  <si>
    <t>RT @JW1057: A response to Edward 'Chip' Robertson Jr. @TeamGreitens @EricGreitens @SheenaGreitens @StLCountyRepub @MOHOUSECOMM 
#moleg #mo…</t>
  </si>
  <si>
    <t>@SykesforSenate He needs to go</t>
  </si>
  <si>
    <t>RT @SykesforSenate: Is there a Constitutional amendment we don't know about making #RodRosenstein king of #America and more powerful than t…</t>
  </si>
  <si>
    <t>RT @YearOfZero: Is Chapter 1 the part where Scott faugn dropped off 50 k to Phillip sneeds lawyer so they could invent a FAKE abuse story?…</t>
  </si>
  <si>
    <t>CC @GOPMissouri @Rep_TRichardson</t>
  </si>
  <si>
    <t>RT @YearOfZero: Nothing Jay Barnes says can be trusted
MALICIOUSLY released report before criminal trial tainiting jury pool 4 obvious pol…</t>
  </si>
  <si>
    <t>Nothing Jay Barnes says can be trusted
MALICIOUSLY released report before criminal trial tainiting jury pool 4 obvious political reasons. Disagree? Why couldn’t it wait? 
NOTHING HE SAYS CAN BE TRUSTED
AS A LEO very disturbed by the lack of concern for process in #moleg #MOGov https://t.co/HS4BrhnaOO</t>
  </si>
  <si>
    <t>RT @NewsTribune: Catherine Hanaway, representing Greitens campaign: "This is, at its core, a minor campaign finance issue." #mogov #moleg h…</t>
  </si>
  <si>
    <t>RT @J_Hancock: Catherine Hanaway, legal counsel for @EricGreitens' campaign, released a statement saying the House report released Wednesda…</t>
  </si>
  <si>
    <t>RT @YearOfZero: #MoLeg listening to an idiot like Jane &amp;amp; not the people of #Missouri political suicide
@AP4Liberty looking better than eve…</t>
  </si>
  <si>
    <t>Is Chapter 1 the part where Scott faugn dropped off 50 k to Phillip sneeds lawyer so they could invent a FAKE abuse story?
How did that chapter end? 
It ended with nobody believing the story!
On to ch2 nonsense over emails!
#moleg #mogov https://t.co/IpOHeVpCRx</t>
  </si>
  <si>
    <t>#MoLeg listening to an idiot like Jane &amp;amp; not the people of #Missouri political suicide
@AP4Liberty looking better than ever. At least he won’t partake in feeding frenzies like Jane is trying to egg on.
Presumption of innocence KEY
@EricGreitens @Rep_TRichardson @Eric_Schmitt https://t.co/1cW5WdxmJQ</t>
  </si>
  <si>
    <t>RT @EdBigCon: @RepLaurenArthur @QuintonLucasKC We know you like the way communists countries go after people! In American we have something…</t>
  </si>
  <si>
    <t>RT @YearOfZero: It’s surreal that tax payer funded state Senator that doesn’t understands that the presumption of innoncence in this countr…</t>
  </si>
  <si>
    <t>RT @Str8DonLemon: Have to agree with @EricGreitens that this is a total disservice to the law.
"FULL STATEMENT: Greitens for Missouri lega…</t>
  </si>
  <si>
    <t>RT @VisioDeiFromLA: Hey Scott. Cool story bro. Why dont you also do some reporting on #ScammingScott and #MoneyBagsAl
Its not like ... you…</t>
  </si>
  <si>
    <t>RT @VisioDeiFromLA: Crystal ... where was your tweets yesterday when it was exposed that @scottfaughn dropped off 50 grand to #MoneyBagsAl…</t>
  </si>
  <si>
    <t>RT @BryanLowry3: Statement from Greitens campaign attorney who ran against him for GOP nomination criticizes #moleg report in part because…</t>
  </si>
  <si>
    <t>It’s surreal that tax payer funded state Senator that doesn’t understands that the presumption of innoncence in this country is critical
Instead of tweeting, why not do the people’s work and not taint jury pool. We are paying your salary.
Get to work. 
#moleg #MOGOV https://t.co/Nmabo8MaMc</t>
  </si>
  <si>
    <t>RT @KCNewsGuy: Greitens legal counsel: New report does "tremendous disservice" to U.S., Missouri constitutions. #moleg #mogov 
MORE: https…</t>
  </si>
  <si>
    <t>RT @magathemaga1: 1. So about SHAM REPORT from #MoLeg 
Once again, mountains out of molehills &amp;amp; corrupt journalists in state show more con…</t>
  </si>
  <si>
    <t>RT @magathemaga1: 2. First, I have to ask, where was this excitement 4 #MoneyBagsAl situation? Pre written in depth articles about this, wh…</t>
  </si>
  <si>
    <t>RT @magathemaga1: 3. So let's address some of the mischaracterizations of this report but also point out the fact that the @MOHouseGOP rele…</t>
  </si>
  <si>
    <t>RT @magathemaga1: 4. ✔Donor list over 1k on TMC website
✔EG never stated donor list contribution was made 3/1 ... EG &amp;amp; ✔MEC stipulated cont…</t>
  </si>
  <si>
    <t>RT @magathemaga1: 5. ✔Hafner and Laub made the campaign donor list (data in part derived from TMC donor list)
✔Campaign formed 2/25 and lis…</t>
  </si>
  <si>
    <t>RT @magathemaga1: 6. ✔Laub still worked 4 campaign 
✔If Laub &amp;amp; Hafner jointly prepared list (possibly both should have been listed as dono…</t>
  </si>
  <si>
    <t>RT @VisioDeiFromLA: Hey Alexandra 
You’ve been calling him a rapist for the past 3 months. Now that turned out to be false.
This is a rep…</t>
  </si>
  <si>
    <t>RT @EdBigCon: @MOLegDems @GailBeatty Oh @GailBeatty , How much have you reaped from the #MOTaxCreditScam ? #WitchHunt #Moleg  https://t.co/…</t>
  </si>
  <si>
    <t>RT @magathemaga1: 7. This entire sham report shows is that the people on the committee have no concern for justice. 
Nor does the media ha…</t>
  </si>
  <si>
    <t>@EggerTWS The people don’t. Only dc scumbags and elites like you do. 
Want to know why we got trump. 
You are why we got trump.
Send Billy boy my regards.</t>
  </si>
  <si>
    <t>Dude you are scumbag. 
The fact that you had no remorse that this started over a hairdresser story that was a lie proves that. 
And you wonder why we hate media. https://t.co/ahJTKzcvX5</t>
  </si>
  <si>
    <t>@EggerTWS Lol. Nobody cares another that stupid email list you DC swamp scumbag. Go back to Dc and do Krystal’s anti American bidding</t>
  </si>
  <si>
    <t>@EggerTWS @jaybarnes5 I don’t care about a stupid email list. Go back to your swamp you dc scumbag. U all dragged a man through the mud &amp;amp; slandered him over a fake hairdresser story
They impeach greitens over nonsense witch hunt the people of Missouri are coming for you all in November
You are scum</t>
  </si>
  <si>
    <t>So this kitty girl can go down to the capital and prance around with close friends and not be comfortable enough to tell Stacey Newman — who also knows Eric — about this alleged events?
Or how about the fact she kept coming back for more?
#moleg #mogov</t>
  </si>
  <si>
    <t>@EggerTWS Cheating isn’t a crime dumbass and it happens before gov</t>
  </si>
  <si>
    <t>You visited the state?
And yet— you haven’t asked questions like—how every politician in the state knew about this hairdresser and she dated other politicians? Or how KS went to the Capital with Stacey Newman “a close friend” and Stacey called her a “new activist” @EggerTWS ? https://t.co/TAvh8lRsyx</t>
  </si>
  <si>
    <t>Further @EggerTWS 
GOP STRATEGISTS are probably in the #greitens hating train too. 
And they are playing with electoral fire. 
His misdeeds? You mean alleged? Clearly you have bias here which is why you are sitting her trying to persuade me of bs https://t.co/5vSZt3HNP3</t>
  </si>
  <si>
    <t>Regardless of what u think about #greitens guilt or innocence, @jaybarnes5 releasing a report before the criminal trial concludes is judicial malpractice and taints jury pool. Shows he’s not concerned about JUSTICE 
Also shows CLEAR POLITICAL MOTIVATION
#moleg #mogov #MISSOURI https://t.co/Fck2wDnGgS</t>
  </si>
  <si>
    <t>RT @magathemaga1: V 2
#MoLeg #MoGov #greitens #Missouri #StLouis #KCMO https://t.co/86gZlxzmE1</t>
  </si>
  <si>
    <t>RT @magathemaga1: "Life imitates Art far more than Art imitates Life" -Oscar Wilde 
As #MoLeg looks 2 screw @EricGreitens in new ways, I'v…</t>
  </si>
  <si>
    <t>RT @YearOfZero: @EggerTWS @JW1057 @jaybarnes5 U need 2 get out of DC swamp and come to MO and actually research this story Before running y…</t>
  </si>
  <si>
    <t>RT @YearOfZero: @EggerTWS @JW1057 @jaybarnes5 U clearly don’t know what ur talking about. There is criminal charges. What they are doing is…</t>
  </si>
  <si>
    <t>RT @CDTCivilWar: The dispute between @tonymess and @scottfaughn reminds me of 2015, when I wrote about  @MissouriTimes #moleg parties that…</t>
  </si>
  <si>
    <t>@EggerTWS @JW1057 @jaybarnes5 U need 2 get out of DC swamp and come to MO and actually research this story Before running your mouth. The whole town knows hairdresser story made up and entire state knows that #moleg wants #greitens out so they can continue with their graft and tax credits #mogov</t>
  </si>
  <si>
    <t>@EggerTWS @JW1057 @jaybarnes5 U clearly don’t know what ur talking about. There is criminal charges. What they are doing is an obvious political stunt designed to hurt him. If they were concerned with justice, they would wait for #KimShady to conclude her clown show.
It’s called jury taint 
#MoLEG #Mogov</t>
  </si>
  <si>
    <t>RT @VisioDeiFromLA: Good coverage!
Follow the Tax Credit Money!
We’ll see how the people on the Tax Credit Retainer try to spin and distr…</t>
  </si>
  <si>
    <t>RT @somethingldsay: #MO, like every other state, has a tendency to waste our money, this is not one of those time. #MOLeg #Caravan #Border…</t>
  </si>
  <si>
    <t>RT @VisioDeiFromLA: @TrumpChess @Eric_Schmitt @Rep_TRichardson @Norasmith1000 @SKOLBLUE1 @HotPokerPrinces @Sticknstones4 @philip_saulter @H…</t>
  </si>
  <si>
    <t>Do you hate white people or something, racist? 
#moleg #mogov https://t.co/sgqoGgEaUb</t>
  </si>
  <si>
    <t>RT @YearOfZero: @jaybarnes5 
Isn’t it completely IRRESPONSIBLE of U 2 release report before #Greitens criminal trial? U already screwed 1s…</t>
  </si>
  <si>
    <t>CC
Do you care about justice?
@shawnrhoads154 
@TommiePierson 
@jeanielauer 
@kevinaustin
@paulcurtman
@RonFRichard 
@BillEigel 
@EricGreitens 
@Rep_TRichardson 
#moleg #mogov #greitens</t>
  </si>
  <si>
    <t>@jaybarnes5 
Isn’t it completely IRRESPONSIBLE of U 2 release report before #Greitens criminal trial? U already screwed 1st one by not cross examining witness, &amp;amp; this taints his ability to get a fair trial
No wonder people think it is a witch hunt! 
It is!
#MoLeg #MoGov #Stl https://t.co/3GWe4MH3Hn</t>
  </si>
  <si>
    <t>@Mizzourah_Mom @Sticknstones4 This is a VERY GOOD POINT #moleg</t>
  </si>
  <si>
    <t>RT @Mizzourah_Mom: @Sticknstones4 Specifically which #moleg committee members who seem to have a big interest in perpetuating this #witchhu…</t>
  </si>
  <si>
    <t>RT @Sticknstones4: What Banks benefited the most from 
#LIHTC  ?
What banks have lined their pockets from LIHTC
And would be pissed off th…</t>
  </si>
  <si>
    <t>RT @VisioDeiFromLA: @jrosenbaum @EricGreitens @Hope4Hopeless1 @Sticknstones4 @SKOLBLUE1 @Eric_Schmitt @GOPMissouri @STLCountyGOP @paulcurtm…</t>
  </si>
  <si>
    <t>RT @VisioDeiFromLA: @jrosenbaum @EricGreitens Tweets from PS 
These are the actions of somebody who is mad his wife CHEATED ON HIM with @E…</t>
  </si>
  <si>
    <t>RT @VisioDeiFromLA: @jrosenbaum @EricGreitens Here is the story that goes over PS taunting tweets 
#moleg #mogov #Greitens 
https://t.co/…</t>
  </si>
  <si>
    <t>RT @VisioDeiFromLA: @jrosenbaum @EricGreitens If you look at the ex husbands tweets where he was taunting @EricGreitens ... he never once r…</t>
  </si>
  <si>
    <t>RT @jrosenbaum: The ex-husband’s decision to speak out (against the wishes of his ex-wife, according to House committee) has almost certain…</t>
  </si>
  <si>
    <t>RT @jrosenbaum: Should note that this situation matters beyond policy. The ex-husband said in Jan. he came forward because he was angry abo…</t>
  </si>
  <si>
    <t>RT @jrosenbaum: Many assume that @mikeparson would restart LIHTC after @EricGreitens departs, a decision worth hundreds of millions of doll…</t>
  </si>
  <si>
    <t>RT @jrosenbaum: If LIHTC interests did give @scottfaughn &amp;amp; “Skyler” money, then it would suggest that the reveal of the affair was retaliat…</t>
  </si>
  <si>
    <t>RT @jrosenbaum: Where Watkins got the money may be more impactful in the policy arena. That’s because @EricGreitens’ attorneys suspect the…</t>
  </si>
  <si>
    <t>RT @jrosenbaum: Happy Wednesday everybody. Attorneys for @EricGreitens &amp;amp; Al Watkins didn’t say where $100K came from. https://t.co/DL7BKzSu…</t>
  </si>
  <si>
    <t>@Avenge_mypeople Basically what we all knew</t>
  </si>
  <si>
    <t>RT @TrumpChess: @VisioDeiFromLA @Eric_Schmitt @Rep_TRichardson @Norasmith1000 @SKOLBLUE1 @HotPokerPrinces @Sticknstones4 @philip_saulter @H…</t>
  </si>
  <si>
    <t>RT @VisioDeiFromLA: Journalists, wannabe journalists  &amp;amp; consultants claiming #MoLeg is fair &amp;amp; balanced speaking out 1 side of their mouth…</t>
  </si>
  <si>
    <t>RT @JohnLamping: It would be first order of business for Governor Tilley. https://t.co/l1tC3tTjkn</t>
  </si>
  <si>
    <t>RT @JW1057: I fight harder for @EricGreitens. 
@SheenaGreitens @TeamGreitens @CStamper_ @Sticknstones4 @MactavishShawn @melody_grover @Mis…</t>
  </si>
  <si>
    <t>RT @Str8DonLemon: ✔️Old: Who is Scott Faughn?
✔️New: Who is Skyler?
✔️Woke: Who is Rex?
✔️Tired: Did AL get paid?
✔️Wired: Scott Simpson ge…</t>
  </si>
  <si>
    <t>RT @YearOfZero: You do realize Lindsay there is nothing illegal about this, don’t you? 
Unless you can prove tit for tat, this is a nonsen…</t>
  </si>
  <si>
    <t>RT @YearOfZero: The victim kitty isn’t credible. 
Her testimony has glaring holes.
#moleg #mogov https://t.co/RufeHJfJVe</t>
  </si>
  <si>
    <t>RT @sigi_hill: @J_Hancock @EricGreitens @scottfaughn You mean the same corrupt house committee that wants to impeach @GovGreitensMO is inve…</t>
  </si>
  <si>
    <t>RT @Sticknstones4: Jamilah Nasheed Sleeps at Scott Faughns 
How many more #Moleg sleep at Scott’s?
How many elected Senators &amp;amp; Representa…</t>
  </si>
  <si>
    <t>RT @Sticknstones4: @JW1057 @YearOfZero Such a nothing  Burger🍔 at least greitens bills get paid
And he’s responsible to make sure they’re p…</t>
  </si>
  <si>
    <t>RT @Sticknstones4: @sigi_hill @EricGreitens Nothing Ethical or Tranparent about these Closed Door Sesssions.
They are Not Credible and tho…</t>
  </si>
  <si>
    <t>RT @ResignNowKim: @randy_creasman @RiverfrontTimes @KMOXPD @MarkReardonKMOX @DebbieMonterrey @johnrhancock @mskstl @scottfaughn You’re righ…</t>
  </si>
  <si>
    <t>RT @TrumpChess: @realDonaldTrump Translation: Witch Hunt = Swamp Fighting Back. 
Just like in #MO the witch hunt = the same as above. It wo…</t>
  </si>
  <si>
    <t>RT @ResignNowKim: @lindsaywise NEW: @scottfaughn and unknown money men engineer a scandal as coup to take out @EricGreitens .  How about us…</t>
  </si>
  <si>
    <t>RT @VisioDeiFromLA: They are doing a terrible job with a few exceptions.
Main question should be who is paying Scott Simpson, ks lawyer? D…</t>
  </si>
  <si>
    <t>RT @Sticknstones4: Who paid KS attorney’s Bill ? 
Surely PS wasn’t the only one to get a free ride on legal bills plus a trust fund for hi…</t>
  </si>
  <si>
    <t>RT @VisioDeiFromLA: Dude this is distraction.  You know it as well as I do. This ain't illegal. You are just trying to create cover.
Who i…</t>
  </si>
  <si>
    <t>RT @YearOfZero: One other thing
Unless it can be proven it was tit for tat arrangement, then there really isn't story here. This is common…</t>
  </si>
  <si>
    <t>RT @Thomas1774Paine: WATCH: Border Patrol Agent Says Illegal Immigrants Have No Regard For America’s Laws, And It’s Backfiring On Democrats…</t>
  </si>
  <si>
    <t>RT @Avenge_mypeople: Just to put this whole #Greitens  affair in perspective: Scott Faughn, owner of Missouri Times gave at least $50,000 t…</t>
  </si>
  <si>
    <t>RT @Mizzourah_Mom: The author has obviously pre-determined #Greitens is guilty before due process, but he spells out some of the key player…</t>
  </si>
  <si>
    <t>RT @inthejungle234: @staceynewman given u know accuser &amp;amp; she felt comfortable enough to come down 2 #moleg with U in April 2017 as a "new a…</t>
  </si>
  <si>
    <t>RT @KCMikeMahoney: Mo. Gov. Eric Greitens authorizes National Guard troops to be used at AZ border. 4 Guardsmen and a UH-72 Lakota helicopt…</t>
  </si>
  <si>
    <t>The victim kitty isn’t credible. 
Her testimony has glaring holes.
#moleg #mogov https://t.co/RufeHJfJVe</t>
  </si>
  <si>
    <t>You do realize Lindsay there is nothing illegal about this, don’t you? 
Unless you can prove tit for tat, this is a nonsense story. 
What about who paid that Scott guy 50 grand?
#Moleg #mogov #greitens https://t.co/prYPMojn9N</t>
  </si>
  <si>
    <t>RT @HennessySTL: We need a bright new liberty-first candidate to take down the Lunch Lady Claire McCaskill in 2018 #mosen</t>
  </si>
  <si>
    <t>RT @DeplorableGoldn: That's my governor!  #Moleg #greitens https://t.co/RX7UeO1s5O</t>
  </si>
  <si>
    <t>RT @JoinTravisAllen: "I’ve been against the ILLEGAL SANCTUARY STATE from the beginning. I wrote AB 1252 to defund every sanctuary city in C…</t>
  </si>
  <si>
    <t>RT @hrtablaze: " I just love @realDonaldTrump He's my boy. He was one of raps favorite people. Snoop Dogg Loved him until he got into offic…</t>
  </si>
  <si>
    <t>RT @peterjhasson: NBC threatened the Washington Post with legal action for reporting on Tom Brokaw's sexual assault accusations, an NBC ins…</t>
  </si>
  <si>
    <t>RT @charliekirk11: Your gender or color of your skin should not dictate what ideas you have or political party you support</t>
  </si>
  <si>
    <t>RT @Thomas1774Paine: Federal Prosecutor’s Body Pulled from River; Was DOJ Pioneer In Fight Against Child Exploitation, Porn https://t.co/Ex…</t>
  </si>
  <si>
    <t>RT @BlakemanB: Fact! A Potus can fire a FBI Director for any reason or no reason at all. He serves at his pleasure. Enough!</t>
  </si>
  <si>
    <t>RT @ScottAdamsSays: This is approximately the best thing I've ever seen in my life. https://t.co/SJmDJV469Z</t>
  </si>
  <si>
    <t>RT @Cernovich: The return of strong fathers. https://t.co/3dbAqITysK</t>
  </si>
  <si>
    <t>RT @w_terrence: Tickets on Sale for My June 10th show in Arlington Texas! DFW folks get your tickets here👉 https://t.co/eoCcgR5jna https://…</t>
  </si>
  <si>
    <t>RT @w_terrence: I’m starting a New Underground Railroad for all the Black People that are scared to leave the Democratic Plantation. https:…</t>
  </si>
  <si>
    <t>RT @justiceORswamp: @johnlegend Like the one that he just passed to help black school and colleges? Ohhh you won’t tell people the truth hu…</t>
  </si>
  <si>
    <t>@Amyyyy8888 @nykeveryday @doorn_cindy @johnlegend Amy you don’t know what you are talking about. As Kanye said, you need to break the mental chains</t>
  </si>
  <si>
    <t>@Trader_Moe @johnlegend Exactly 
Sorry but this is dumbest tweet I’ve read all day. Civil rights means equal rights.
We have that. He is advocating SPECIAL RIGHTS. This isn’t 1952. It’s 2018. Nobody is holding you back. Nobody is oppressing you. 
That is fundamentally dumb.</t>
  </si>
  <si>
    <t>RT @Trader_Moe: @johnlegend We're not going to pass the left's pet identity politics laws.  We're working for equality and prosperity for a…</t>
  </si>
  <si>
    <t>RT @davealvord164: @johnlegend Democrats held Slaves in the Civil War
...GOP Freed them
Democrats are actively choosing illegal Mexicans o…</t>
  </si>
  <si>
    <t>@johnlegend Sorry but this is dumbest s**t I’ve read all day. Civil rights means equal rights.
We have that. You are advocating SPECIAL RIGHTS. This isn’t 1952. It’s 2018. Nobody is holding you back. Nobody is oppressing you. 
That is fundamentally dumb.</t>
  </si>
  <si>
    <t>Sorry but this is dumbest shit I’ve read all day. Civil rights means equal rights.
We have that. You are advocating SPECIAL RIGHTS. This isn’t 1952. It’s 2018. Nobody is holding you back. Nobody is oppressing you. 
That is fundamentally dumb. https://t.co/9SzqxLlgfQ</t>
  </si>
  <si>
    <t>RT @nypost: EXCLUSIVE: Female staffers at NBC News say they "felt forced" to sign a letter supporting Tom Brokaw against sexual harassment…</t>
  </si>
  <si>
    <t>RT @RedRisingUSA: To all patriots who Follow me back, sincere gratitude #Blessing  #Prayers #SemperFi #MAGA #AmericaFirst #CodeOfVets #Keep…</t>
  </si>
  <si>
    <t>RT @realDonaldTrump: Today, it was my great honor to thank and welcome heroic crew members and passengers of Southwest Airlines Flight 1380…</t>
  </si>
  <si>
    <t>RT @MichaelBerrySho: 1. "I'm not lying now, I was lying back then." --Doc
2. Any doc who reveals private patient info is scum.
3. Any doc w…</t>
  </si>
  <si>
    <t>RT @muchmeghan: @eaglesrealist @BossHoggUSMC @kelechnekoff @kanyewest If you watched the interview, it wasn’t hard to figure out he was spe…</t>
  </si>
  <si>
    <t>RT @kanyewest: we are programmed to always talk and fight race issues. We need to update our conversation.</t>
  </si>
  <si>
    <t>RT @DiamondandSilk: I think it's time for the American people to ask Mueller some questions:
1. Why are you still spending tax payers dolla…</t>
  </si>
  <si>
    <t>RT @1776Stonewall: @RealJamesWoods I like what @DineshDSouza said recently, that America was not built by immigrants, it was built by settl…</t>
  </si>
  <si>
    <t>RT @YearOfZero: Guess nobody believing KS allegations? Why would they? 
What I’ve learned watching #MoLeg ... u r probably projecting. 50k…</t>
  </si>
  <si>
    <t>RT @magathemaga1: Good evening #MoLeg &amp;amp; #MoGov except @Rep_TRichardson 
#Missouri realizing even more the #GreitensIndictment is total wit…</t>
  </si>
  <si>
    <t>One other thing
Unless it can be proven it was tit for tat arrangement, then there really isn't story here. This is common in politics anyway. I’m not a fan of money in politics, but you should know better 
U are clearly trying 2 distract from from Watkins thing 
#moleg #mogov https://t.co/a9ZRAL1qB9</t>
  </si>
  <si>
    <t>RT @YearOfZero: Fact that she kept coming back 4 more/was not a victim and you are still going to go around and lie? Also: alleged 
Funny…</t>
  </si>
  <si>
    <t>Guess nobody believing KS allegations? Why would they? 
What I’ve learned watching #MoLeg ... u r probably projecting. 50k lead 2 scott. Where does 2nd 50 k lead 2? Curious?
U did this last week before AL revealed 100k
Don’t comment much but I watch #mogov 
BTW, who is Rex? https://t.co/a9ZRAL1qB9</t>
  </si>
  <si>
    <t>Fact that she kept coming back 4 more/was not a victim and you are still going to go around and lie? Also: alleged 
Funny u r more concerned about something legal than 100 k dropped off 2 Phillip Sneed’s lawyer
That doesn’t bother you?
#MoLeg #mogov #greitens @RealTravisCook https://t.co/iNJZpYvrH4</t>
  </si>
  <si>
    <t>RT @KCNewsGuy: #BREAKING: Missouri Gov. Eric Greitens has authorized the Missouri National Guard to assist with border security. #moleg #mo…</t>
  </si>
  <si>
    <t>RT @TomJEstes: For a book project??!! LOLOL!! We need to find an author, any author who got a book published by paying $50K in cash to a la…</t>
  </si>
  <si>
    <t>RT @magathemaga1: Hey @TomJEstes I have found the book project that Scott Faughn guy is TOTALLY working on! 😂😂🤣🤣
#satire
#MoLeg #MoGov #g…</t>
  </si>
  <si>
    <t>RT @Sticknstones4: How Many #MoLeg members have been to Scott’s 
Hidden Party Pad  ? 
Do Tell !  We want to hear more about the Den of Cor…</t>
  </si>
  <si>
    <t>RT @parkerwbriden: Great to see a lot of awesome Missourians and @EricGreitens celebrating the freedom of the road and having some fun this…</t>
  </si>
  <si>
    <t>RT @JW1057: @parkerwbriden @EricGreitens We love Governor Greitens. Stand strong against the corruption of Kimberly Gardner and the Missour…</t>
  </si>
  <si>
    <t>RT @Str8DonLemon: I fully expect all journolists 2 chase #KimShady down hall &amp;amp; ask her nonsensical questions 2 try to trap her like U did w…</t>
  </si>
  <si>
    <t>RT @Str8DonLemon: Who is Skyler?
#moleg #mogov #greitens #GreitensIndictment #stl #Missouri https://t.co/CphG7Jk8R6</t>
  </si>
  <si>
    <t>RT @JW1057: Supplemental "report" (4 pages) regarding EG consisted of a single transcript the committee had for 17 days. Committee makes a…</t>
  </si>
  <si>
    <t>RT @magathemaga1: Same Scott who recently had outstanding tax bill that was just recently paid off that was available on Casenet? Am I mist…</t>
  </si>
  <si>
    <t>RT @SKOLBLUE1: @ChrisHayesTV @ScottCharton Just another violation from the incompetent Kim Gardner. She truly is unfit to hold her position…</t>
  </si>
  <si>
    <t>RT @RubinReport: I don’t want to attack David personally, who is a kid over his head being manipulated and used by powerful people. That sa…</t>
  </si>
  <si>
    <t>RT @realDonaldTrump: It would seem very hard to obstruct justice for a crime that never happened! Witch Hunt!</t>
  </si>
  <si>
    <t>RT @realDonaldTrump: Yesterday, it was my great honor to welcome President @MBuhari of the Federal Republic of Nigeria to the @WhiteHouse!…</t>
  </si>
  <si>
    <t>Democrats hate white people https://t.co/jS5pUHhZ2l</t>
  </si>
  <si>
    <t>It shouldn’t even be this high Frank. Being racist against white people is accepted in a Adademia and society, despite it not being acceptable anywhere else. https://t.co/jS5pUHhZ2l</t>
  </si>
  <si>
    <t>RT @USAObserver: @FrankLuntz Perhaps millennials see all the lying bullshit that the Democrats are pulling each and every day, and that lit…</t>
  </si>
  <si>
    <t>RT @benshapiro: You mean the verification regime that did not uncover Iran’s maintenance of documentation of their nuclear program at a sec…</t>
  </si>
  <si>
    <t>You and obama lied https://t.co/V7yCt4Ejjm</t>
  </si>
  <si>
    <t>RT @JackPosobiec: Antifa trashes Paris for May Day https://t.co/TMOyQEACMe</t>
  </si>
  <si>
    <t>RT @TomFitton: Facing DOJ/State cover-up, @JudicialWatch sues for Uranium One docs -- the real Russia collusion scandal involving Mueller/C…</t>
  </si>
  <si>
    <t>RT @VisioDeiFromLA: Pro-Parson BOT ignores widening #MoneyBagsAl and #ScammingScott scandal with lame attempt to change the narrative!  😂…</t>
  </si>
  <si>
    <t>Hey @parscale 
Trump is dropping the ball https://t.co/Ac3hWjcOcN</t>
  </si>
  <si>
    <t>RT @JackPosobiec: So, Rod Rosenstein recommended Trump fire Comey and then Rod Rosenstein appointed Mueller to investigate Trump for firing…</t>
  </si>
  <si>
    <t>RT @Norasmith1000: And, NO ONE forced this woman to go to SHEENA's house. She knew EG is married, if she didnt want or expect sex there wou…</t>
  </si>
  <si>
    <t>RT @JCPenknife: For sale by Scott Faughn. Only used once. #mogov #Greitens #moleg https://t.co/79Z6TRXO6W</t>
  </si>
  <si>
    <t>RT @YearOfZero: Like many, I’ve read through both. As a long time LEO, Let me say this: IT IS CONTRADICTORY 
To me, what is most alarming…</t>
  </si>
  <si>
    <t>RT @YearOfZero: Also noticed inconsistencies like this when I read both. 
@MOHouseGOP IC flat out lying 2 public #greitens 
I know news o…</t>
  </si>
  <si>
    <t>RT @JW1057: Why did then"investigative committee" release a doctored "transcript?" It is NOT a transcript. Why would KS refer to herself as…</t>
  </si>
  <si>
    <t>Also noticed inconsistencies like this when I read both. 
@MOHouseGOP IC flat out lying 2 public #greitens 
I know news outlets have legal council. Why aren’t journalists also pointing out inconsistencies?
Probably taking some Scott faughn money!
#moleg #mogov @rxpatrick https://t.co/ER4LIWIeNN</t>
  </si>
  <si>
    <t>RT @JW1057: @TeamGreitens @EricGreitens @SheenaGreitens 
The committee "investigating" Greitens has lied yet again to the people. This is…</t>
  </si>
  <si>
    <t>Like many, I’ve read through both. As a long time LEO, Let me say this: IT IS CONTRADICTORY 
To me, what is most alarming about this is entire case hasn’t been thrown out. No probable cause, no police report, the accused probably aren’t credible otherwise why be anon?
#moleg https://t.co/asXEgxo9QD</t>
  </si>
  <si>
    <t>RT @JW1057: @ksdknews Of course, they stand by original "report." If they said anything else, they would have to admit that their "investig…</t>
  </si>
  <si>
    <t>RT @JW1057: 🚨Breaking News🚨 
Undercover video of MO House investigative committee at work. 
@jaybarnes5 @jeanielauer @gcmitts @TommiePier…</t>
  </si>
  <si>
    <t>RT @aaron_hedlund: What's the going rate for a low income housing tax credit scammer's soul? Apparently $50k... #mogov #moleg</t>
  </si>
  <si>
    <t>RT @Sticknstones4: It’s so obvious 🔮, 
We the people 👨🏻‍💼🙎🏽‍♀️👩🏼‍💼👨🏾‍💼 SEE 🔎the Witch Hunt 🧙🏽‍♀️
Stay Strong 💪🏻 &amp;amp; Keep Fighting the Corrup…</t>
  </si>
  <si>
    <t>@ws_missouri Lul. Credible my butt. Everybody in town knows her story.</t>
  </si>
  <si>
    <t>RT @Norasmith1000: @Shawtypepelina @scottfaughn Now we know the press is involved its even more ridiculous! Plus I thought Faughn couldn't…</t>
  </si>
  <si>
    <t>RT @EdBigCon: @charliekmox Great article about Faughn! #moleg https://t.co/koE3WxGpIV</t>
  </si>
  <si>
    <t>RT @VisioDeiFromLA: She kept coming back, dummy. Keep pushing that lie.
It was a fling and a fling takes two.
Money was to make up the st…</t>
  </si>
  <si>
    <t>RT @Str8DonLemon: Journalists!
Lesson 2!
Trust is earned. You dont automatically get it.
Gain trust? I would ask: is there common thread…</t>
  </si>
  <si>
    <t>RT @Str8DonLemon: Journalists!
If U don't want public 2 mistrust U, dont berate citizens when we ask questions U SHOULD BE ASKING
Eg. KS/…</t>
  </si>
  <si>
    <t>RT @RealTravisCook: Put the tanks, artillery, and military at the border.  And the first one that comes over the fence...let the military d…</t>
  </si>
  <si>
    <t>@geoffcaldwell @VolJEM @hmh1497 @Gingrich_of_PA @clairecmc @HawleyMO @Monetti4Senate @EricGreitens What actions were those?</t>
  </si>
  <si>
    <t>RT @jordanbpeterson: It's difficult to comment on this without cursing violently so I won't.
https://t.co/xN8AWnXWWo</t>
  </si>
  <si>
    <t>RT @dbongino: Great news. For those interested in a deep dive on all of my Russia/Obamagate revelations I’ll be a guest on Life, Liberty &amp;amp;…</t>
  </si>
  <si>
    <t>RT @TheLastRefuge2: 2. ...He’s a builder at heart. He speaks to people so that they understand.  You can’t speak to  construction workers l…</t>
  </si>
  <si>
    <t>RT @TheLastRefuge2: 1.  "Our President" https://t.co/YUJeIIu0Ey</t>
  </si>
  <si>
    <t>RT @TheSafestSpace: This neo-McCarthyism is actually kinda funny 🙈 https://t.co/z23g7iz41U</t>
  </si>
  <si>
    <t>@CaseyNolen @scottfaughn @EricGreitens Total witch hunt</t>
  </si>
  <si>
    <t>RT @CaseyNolen: Missouri House to subpoena political publisher @scottfaughn who is said to have ‘delivered’ $50k to the attorney for the ex…</t>
  </si>
  <si>
    <t>RT @AntonioSabatoJr: Legal immigrant is legal vs
Illegal immigrant is illegal . 🇺🇸</t>
  </si>
  <si>
    <t>RT @ConcernedHigh: .@ConcernedHigh 
#CONCERNEDHIGH 
@POTUS @realDonaldTrump 
WHY DON'T YOU SANCTION MEXICO FOR ALLOWING ILLEGALS TO WALK…</t>
  </si>
  <si>
    <t>RT @lizzadwoskin: SCOOP: WhatsApp founder Jan Koum is leaving the company after years of clashes with Facebook’s management over data priva…</t>
  </si>
  <si>
    <t>RT @1Romans58: Don't bother deleting your old tweets, we saved them for you... 
Obama Bros. Speechless After Netanyahu Exposes Iran Deal L…</t>
  </si>
  <si>
    <t>RT @oncefighters: Korean gun store owner David Joo showed up to the riot after his best friend called him up and told him "I need help, a g…</t>
  </si>
  <si>
    <t>RT @oncefighters: Interview with the Korean gun store owner who rolled up to his best friend's jewelry shop armed to the teeth to protect h…</t>
  </si>
  <si>
    <t>RT @oncefighters: Today is a national holiday, it is the anniversay of why you DON'T FUCK WITH KOREANS
Being a minority group with low soc…</t>
  </si>
  <si>
    <t>RT @RyanAFournier: Please follow my friend @PastorDScott if you don’t already! What he is doing for urban communities alongside President T…</t>
  </si>
  <si>
    <t>RT @SaraCarterDC: #BREAKING my latest  https://t.co/dr2WmET0jy</t>
  </si>
  <si>
    <t>RT @MarkDice: @realDonaldTrump Dr. Ronny Jackson should sue Senator Tester for defamation.  And CNN.</t>
  </si>
  <si>
    <t>RT @charliekirk11: Marxism resulted in 100 million civilians murdered in the last 100 years 
Marxism has been tried 100 times in 100 years…</t>
  </si>
  <si>
    <t>RT @VisioDeiFromLA: So #MoLeg little report. Lol. It adds nothing! Still 0 cross examination!
Did @MOHouseGOP just put it out to cover up…</t>
  </si>
  <si>
    <t>RT @magathemaga1: Looking forward to this deposition, #MoneyBagsAl!
#moleg #Mogov #kimshady #stlouis  #stl #kcmo #greitens #Missouri #BREA…</t>
  </si>
  <si>
    <t>RT @christoferguson: Some follow-up in this one: Scott Faughn, Missouri Times Publisher, Was Behind $50K Payment to Al Watkins. #Moleg http…</t>
  </si>
  <si>
    <t>RT @RealTravisCook: If #BallparkVillage hadn't been a #gunfreezone, &amp;amp; if the patrons there had been allowed to carry their own guns, then t…</t>
  </si>
  <si>
    <t>RT @magathemaga1: With all due respect, this statement is idiocy
It’s a City of STL problem
It’s a City of STL LEADERSHIP problem
40 homi…</t>
  </si>
  <si>
    <t>RT @RealTravisCook: #BallparkVillage has signs on the outside saying that firearms are prohibited.  Lot of good that did them tonight... #E…</t>
  </si>
  <si>
    <t>RT @VisioDeiFromLA: So as a reporter, do you know ProPublica is liberal garbage, bordering on the point of straight up propaganda?
You rep…</t>
  </si>
  <si>
    <t>RT @EdBigCon: @jrosenbaum @scottfaughn Don't forget that Rex Sinquefield funds the Missouri Times! #moleg</t>
  </si>
  <si>
    <t>RT @JW1057: @jaybarnes5 "As a result, the Committee will no longer provide such deference to [EG] cherry-picked evidence."
Barnes then adm…</t>
  </si>
  <si>
    <t>RT @VisioDeiFromLA: Scott is a large part of the media apparatus in #missouri 
How is it not fair question and why dont you answer it? Als…</t>
  </si>
  <si>
    <t>RT @VisioDeiFromLA: (2) Paragraph 2
1. Hawley waited right until SOL just about ran out.
2. He has CLEAR COI as hes running for office and…</t>
  </si>
  <si>
    <t>RT @Str8DonLemon: Ok I've gotta ask. People keep dropping this name.
But who is REX?
Sorry, but I'm a political newbie.
Who is REX?
#Mo…</t>
  </si>
  <si>
    <t>RT @Str8DonLemon: Question #MoLeg
If @scottfaughn was getting paid, what other journalists were getting paid???
Any at all?
Fair questio…</t>
  </si>
  <si>
    <t>RT @JW1057: @KRCG13 There's nothing in this "report" that causes me to conclude that this is NOT sham committee run by the unethical and co…</t>
  </si>
  <si>
    <t>RT @HennessySTL: And this crooked MO House committee (they all hang out in Candy Man @ScottFaughn's weird party pad in JC after hours) is a…</t>
  </si>
  <si>
    <t>RT @VisioDeiFromLA: They are lying.
They are lying 
They are lying
What makes her credible?
As a lawyer, you should know she wasnt even c…</t>
  </si>
  <si>
    <t>RT @TomJEstes: So, the convicted felon who owns the failing and insignificant Missouri Times, Scott Faughn, paid a lawyer $50K to try and b…</t>
  </si>
  <si>
    <t>RT @VisioDeiFromLA: Which means #MoLeg committee headed by barnes &amp;amp; much of #MoGov is tainted &amp;amp; has bias against @EricGreitens 
The people…</t>
  </si>
  <si>
    <t>RT @Str8DonLemon: Simple question. It's designed to create conversation. If its stupid, then explain why?
Given FUSION GPS paid journalist…</t>
  </si>
  <si>
    <t>RT @Norasmith1000: @SKOLBLUE1 @ScottCharton @EricGreitens @scottfaughn @JaneDueker Seems to me that #moleg addendum comes at again, perfect…</t>
  </si>
  <si>
    <t>RT @christoferguson: Scott Faughn publisher of Missouri Times is source of mysterious $50k payment in Greitens case. 2nd payment origin sti…</t>
  </si>
  <si>
    <t>RT @JCunninghamMO: FINALLY A REPORTER GOES DIRECTLY TO THE PEOPLE AND GETS WHAT I’VE BEEN HEARING. OVERZEALOUS ELECTED OFFICIALS ARE SHOOTI…</t>
  </si>
  <si>
    <t>@geoffcaldwell @VolJEM @hmh1497 @Gingrich_of_PA @clairecmc @HawleyMO @Monetti4Senate @EricGreitens And I disagree on greitens. They turned an affair that everybody knew about into something it wasn’t</t>
  </si>
  <si>
    <t>@geoffcaldwell @VolJEM @hmh1497 @Gingrich_of_PA @clairecmc @HawleyMO @Monetti4Senate @EricGreitens Hawley can beat Claire why? If he’s having a problem generating excitement among the base while the other 3 are, you need to explain your position and yes, I am open to hearing it. Mid terms are base elections. But make your case</t>
  </si>
  <si>
    <t>RT @TomJEstes: I’m writing a book. To which lawyer do I give my 50K? I have it ready to go in a brown paper bag. #moleg</t>
  </si>
  <si>
    <t>RT @Str8DonLemon: So @scottfaughn paid #MoneyBagsAl 50k to concoct this scheme... or was he just the message boy?
To all schemers out ther…</t>
  </si>
  <si>
    <t>@geoffcaldwell @VolJEM @hmh1497 @Gingrich_of_PA @clairecmc @HawleyMO @Monetti4Senate @EricGreitens I do not care if you like #greitens or not but as an LEO of many years, the CAO is corrupt and this whole thing is a Giant witch hunt</t>
  </si>
  <si>
    <t>@geoffcaldwell @VolJEM @hmh1497 @Gingrich_of_PA @clairecmc @HawleyMO @Monetti4Senate problem with Hawley is him engaging in this witch hunt on @EricGreitens &amp;amp; him showing lack of judicial jurisprudence &amp;amp; showing poor judgement. The story with the woman is made up, not to mention, there is 0 energy with Hawley. I reject the akin comparison. Round peg square holes</t>
  </si>
  <si>
    <t>@VolJEM @geoffcaldwell @hmh1497 @Gingrich_of_PA @clairecmc @HawleyMO No excitement for Hawley. I’d say look at @Monetti4Senate he is a maga candidate. Hawley needs to step up</t>
  </si>
  <si>
    <t>RT @KCNewsGuy: Lawyers for Gov. Eric Greitens said the publisher of a newspaper was behind some of the mysterious cash payments that were s…</t>
  </si>
  <si>
    <t>RT @VisioDeiFromLA: Isn’t it convenient the media and the corrupt @MOHouseGOP they timed the release of the addendum to coincide with the b…</t>
  </si>
  <si>
    <t>RT @YearOfZero: Honesty I was expecting more of a Ray Donovan like character ...
#MoLeg #MoGov #Greitens #Stlouis #Missouri #mosen #greite…</t>
  </si>
  <si>
    <t>RT @YearOfZero: In Light of #MonegBagsAl thing &amp;amp; these people having money and being couriers, what I would ask:
1. Any large purchases la…</t>
  </si>
  <si>
    <t>Honesty I was expecting more of a Ray Donovan like character ...
#MoLeg #MoGov #Greitens #Stlouis #Missouri #mosen #greitensindictment #stl #MonegBagsAl 
@EricGreitens @DRUDGE @gatewaypundit https://t.co/rqVJooPuF9</t>
  </si>
  <si>
    <t>In Light of #MonegBagsAl thing &amp;amp; these people having money and being couriers, what I would ask:
1. Any large purchases lately?
2. Have they paid off any outstanding bills?
3. Have they paid off any outstanding tax bills?
This is investigative work 101
#MoLeg #MoGov #greitens</t>
  </si>
  <si>
    <t>RT @rxpatrick: Scott Faughn, owner of the Missouri Times, gave $50k cash to the lawyer for the ex-husband of the accuser of MO Gov. Eric Gr…</t>
  </si>
  <si>
    <t>RT @VisioDeiFromLA: In February, I posed the question, total speculation, but CUI BONO?
Who benefits? 
And I also asked:
Who is screamin…</t>
  </si>
  <si>
    <t>RT @VisioDeiFromLA: Per @jrosenbaum 
“Jim Martin says that @scottfaughn delivered $50K in cash to Watkins to deal with the Greitens fallou…</t>
  </si>
  <si>
    <t>RT @JoeBReporter: Lawyers for @EricGreitens reveal that Watkins during deposition received first $50k cash payment from Scott Faughn, owner…</t>
  </si>
  <si>
    <t>RT @J_Hancock: Wow. #MoLeg #GreitensIndictment https://t.co/rZCIxKAaxn</t>
  </si>
  <si>
    <t>RT @Midwestfitz: Clean Missouri is another liberal scam to wool over the sheep's heads... say no to #cleanmissouri https://t.co/SVMcL2ugp7</t>
  </si>
  <si>
    <t>RT @magathemaga1: @SpeakerTimJones It's a scam
#CleanMissouri #Soros #Missouri #stlouis #stl #SCAM #moleg #mogov @HannahKellyMO https://t.…</t>
  </si>
  <si>
    <t>RT @magathemaga1: @RealTravisCook @sleepingrodent @realJLogan @AP4Liberty @Avenge_mypeople @Shawtypepelina @SKOLBLUE1 @MissouriGOP @Speaker…</t>
  </si>
  <si>
    <t>RT @BigLeague2020: 🇺🇸COURTLAND SYKES FOR SENATE🇺🇸
♦️Pro-Trump
🔹Pro-MAGA
♦️Pro-Gun
🔹Pro-Life
♦️Border Security
“Some have said Courtland i…</t>
  </si>
  <si>
    <t>RT @therealroseanne: third rule of comedy: the comic has to be the 'asshole' not the audience!</t>
  </si>
  <si>
    <t>RT @StefanMolyneux: This may be the dumbest tweet in history. https://t.co/wLDUsmYLBS</t>
  </si>
  <si>
    <t>RT @CollinRugg: -Joy Reid making fun of gays
-Michelle Wolf attacking Sarah Sanders
-James Comey breaking federal law
-Clapper leaking info…</t>
  </si>
  <si>
    <t>RT @FoxNews: .@PressSec, April 2017: "The only war on women that I see is the one that's being waged against every woman and every female t…</t>
  </si>
  <si>
    <t>RT @aaron_hedlund: Maybe because all the facts haven't come in and Gov Greitens hasn't even mounted his defense yet? What a shocking propos…</t>
  </si>
  <si>
    <t>RT @realDonaldTrump: While Washington, Michigan, was a big success, Washington, D.C., just didn’t work. Everyone is talking about the fact…</t>
  </si>
  <si>
    <t>RT @johncardillo: Now that @JoyAnnReid has apologized and admitted guilt, let’s play by the left’s rules, use that against her, and demand…</t>
  </si>
  <si>
    <t>RT @VisioDeiFromLA: Pulled what bs? 
Had a kinky affair before he was governor?
Because you are such an angel?
Or the obscure campaign v…</t>
  </si>
  <si>
    <t>RT @TomFitton: How can one take your story seriously after this nasty tweet directed at both @DevinNunes and @realDonaldTrump? https://t.co…</t>
  </si>
  <si>
    <t>RT @therealroseanne: it's harder to spread love than it is to spread hate, but it's so much better 4 your soul.</t>
  </si>
  <si>
    <t>RT @RealJamesWoods: If Trump walked on water, they’d say he couldn’t  swim. I think liberal fatigue is sweeping the nation. Nobody in his o…</t>
  </si>
  <si>
    <t>RT @Thomas1774Paine: A major news company has been withholding a monster story on the FBI, Mueller &amp;amp; McCabe. If it continues to spike the s…</t>
  </si>
  <si>
    <t>RT @RealJamesWoods: Put this clip in every campaign video for Republican women running for office in #2018. It’s a gift from heaven.  https…</t>
  </si>
  <si>
    <t>RT @KurtSchlichter: Have you chosen a side yet?
"I'm too dainty for a fight" is not a side.
It's an abdication.</t>
  </si>
  <si>
    <t>RT @JackPosobiec: The unintentional irony in this Twitter Moment is that Wolf’s #WHCD attacks would get her banned if she said them on Twit…</t>
  </si>
  <si>
    <t>RT @Norasmith1000: I dont care if you love or hate @EricGreitens, think hes innocent or guilty, but nobody on either side can deny the abso…</t>
  </si>
  <si>
    <t>RT @mschlapp: My wife @mercedesschlapp and I walked out early from the wh correspondents dinner. Enough of elites mocking all of us</t>
  </si>
  <si>
    <t>RT @StLCountyRepub: Turn over your the phone. Allow  @EricGreitens a fair trial. Missouri Supreme Court: Woman in Greitens case must turn o…</t>
  </si>
  <si>
    <t>RT @RepLeeZeldin: How does @GregPittman1957, a Stoneman Douglas teacher, get away w/ comparing @KyleKashuv, a Jewish student at Stoneman Do…</t>
  </si>
  <si>
    <t>RT @realDonaldTrump: Great evening last night in Washington, Michigan. The enthusiasm, knowledge and love in that room was unreal. To the m…</t>
  </si>
  <si>
    <t>RT @dbongino: This is outrageous. This American Patriot was railroaded by filthy swamp rats with no morals and zero ethics. Jon Tester MUST…</t>
  </si>
  <si>
    <t>RT @AP4Liberty: I loved Lincoln County Lincoln Days last night! Had so much fun meeting everyone. Thanks for all the laughs and big applaus…</t>
  </si>
  <si>
    <t>RT @RodStryker: Caravan of ILLEGALS is climbing over the border fence as I'm typing this post.
Where is the National Guard &amp;amp; Border Patrol…</t>
  </si>
  <si>
    <t>RT @therealroseanne: second rule of comedy: comedy comes from LOVE, not from HATE! If u feel hate, you won't get laughs.</t>
  </si>
  <si>
    <t>RT @charliekirk11: If you attack a liberal woman you are called "sexist" 
If you attack a conservative women you are called "funny"</t>
  </si>
  <si>
    <t>RT @RyanAFournier: Hundreds of migrants are trying to enter our country illegally today! We must not let them in! 
Protect our borders and…</t>
  </si>
  <si>
    <t>RT @greggutfeld: michelle wolf reminds us that denigrators of women, are often women who use politics as an excuse for physical ridicule. t…</t>
  </si>
  <si>
    <t>Sorry but this pope is a moron. https://t.co/mUG1GmtLIe</t>
  </si>
  <si>
    <t>RT @mflynnJR: I’m saying it. The pope is an idiot... https://t.co/vOGwJyiJX0</t>
  </si>
  <si>
    <t>RT @GovMikeHuckabee: After seeing the young female hired to verbally bully anyone who worked for @realDonaldTrump I now understand why eati…</t>
  </si>
  <si>
    <t>RT @Sticknstones4: Missouri U.S. Sen. Roy Blunt says it is premature to call for the resignation of Gov. Eric Grietens.
#moleg #dueprocess…</t>
  </si>
  <si>
    <t>RT @therealroseanne: first rule of comedy: NEVER target someone more famous than U who is in the audience. U will lose the entire crowd.</t>
  </si>
  <si>
    <t>RT @RealJamesWoods: They hate @PressSec Sarah Huckabee Sanders because she represents every aspect of American womanhood that we admire: in…</t>
  </si>
  <si>
    <t>RT @2dechat: @Annie_Rose23 Los matrimonios falsos para ingresar a los Estados Unidos también son criminales. Está mintiendo en documentos d…</t>
  </si>
  <si>
    <t>RT @jthebombdotcom: @Annie_Rose23 Send them all back!  They've already received asylum in Mexico, no need for US to grant anyone anything!</t>
  </si>
  <si>
    <t>RT @komic111: @Annie_Rose23 So what? They are not welcomed here illegally. If us American citizens would go to jail over breaking the laws.…</t>
  </si>
  <si>
    <t>Why is a @NBCNews employing somebody who supports an #Invasion of #America ??
#StopTheInvasion 
#StopTheCaravan https://t.co/LcuqIbUumM</t>
  </si>
  <si>
    <t>RT @joelpollak: So you walk through a safe country (Mexico), then get married before asking for "asylum"...and then complain about Trump "s…</t>
  </si>
  <si>
    <t>You are a hack David https://t.co/0G8Q17n0NK</t>
  </si>
  <si>
    <t>RT @TheAme19: @davidaxelrod @POTUS  https://t.co/o9M7h4eq9Z</t>
  </si>
  <si>
    <t>RT @IngrahamAngle: Absurd tweet.  What was said abt @SarahHuckabee &amp;amp; @IvankaTrump &amp;amp; others was lower than low. https://t.co/Fuge7WCX4Y</t>
  </si>
  <si>
    <t>RT @magathemaga1: @RoyBlunt correct
#greitens should not resign &amp;amp; should not be impeached unless he actually did something wrong related t…</t>
  </si>
  <si>
    <t>RT @AP4Liberty: HOLY MOTHER OF...! INCREDIBLE TRUMP! https://t.co/o9xaQhVGFt</t>
  </si>
  <si>
    <t>RT @DonaldJTrumpJr: Report: James Clapper Leaked Dossier Briefing To CNN, Lied About It https://t.co/suDsQdX1dK</t>
  </si>
  <si>
    <t>RT @FoxNews: .@dbongino on presidential physician Ronny Jackson: “This is one of the most disgusting, horrifying, putrid episodes of swamp…</t>
  </si>
  <si>
    <t>RT @realDonaldTrump: ....great people of Montana will not stand for this kind of slander when talking of a great human being. Admiral Jacks…</t>
  </si>
  <si>
    <t>RT @realDonaldTrump: Allegations made by Senator Jon Tester against Admiral/Doctor Ron Jackson are proving false. The Secret Service is una…</t>
  </si>
  <si>
    <t>RT @IngrahamAngle: The @nytimes finally uses word “invaded” re. migrants...streaming into Brazil!  https://t.co/8f2H4BiY0t</t>
  </si>
  <si>
    <t>RT @RaymondArroyo: VIDEO: My @IngrahamAngle report on why the House Chaplain was really dismissed and the craziest trend yet: order out cud…</t>
  </si>
  <si>
    <t>@FoxNews @RochelleRitchie @kanyewest Rochelle is an idiot</t>
  </si>
  <si>
    <t>RT @caplondon: @FoxNews @RochelleRitchie @kanyewest Think you @RochelleRitchie are the pawn.  Why are you afraid of people having their own…</t>
  </si>
  <si>
    <t>RT @MarathonerNYC: @FoxNews @RochelleRitchie @kanyewest The MAGA movement is not about any one person, it's a collaboration of disenfranchi…</t>
  </si>
  <si>
    <t>RT @IngrahamAngle: He doesn’t seem like a guy who allows himself to be used. https://t.co/ctzgcpxPZ7</t>
  </si>
  <si>
    <t>RT @magathemaga1: #Missouri Supreme Court says Greitens' accuser must turn over phone 4 examination
"...woman told a House committee last…</t>
  </si>
  <si>
    <t>RT @Sticknstones4: 4 women robbed in #STL  2 suspects caught ,both on probation♦️Repeat offenders♦️
police are working with the US Attorne…</t>
  </si>
  <si>
    <t>Chance everything you are saying about trump is false.
Let me guess they threatened to pull your next record if you didn’t get back on to the Democrat plantation? https://t.co/QUk1IdxpHI</t>
  </si>
  <si>
    <t>RT @phight4freedom: @chancetherapper So...Was he "making a career out of hatred" in 1999 when Jesse Jackson gave him a lifetime achievement…</t>
  </si>
  <si>
    <t>RT @IngrahamAngle: When will we see the headline: “Trump Ends the Korean War”? Unlike Obama, he actually deserves the Nobel Peace Prize. @r…</t>
  </si>
  <si>
    <t>RT @JoeBorelliNYC: John Tester shld resign, he made unfounded &amp;amp; inaccurate assertions against an honorable person who served democrats, rep…</t>
  </si>
  <si>
    <t>RT @KurtSchlichter: Liberals https://t.co/gSEi2Pa7Fi</t>
  </si>
  <si>
    <t>RT @JackPosobiec: CBS: Trump deserves credit for North-South Korea Summit https://t.co/FnzYgYBiPV</t>
  </si>
  <si>
    <t>RT @Portland_jet: Plantation owners- democrats
Slave owners..........democrats
KKK ....................... democrats
Jim Crow Laws.......de…</t>
  </si>
  <si>
    <t>RT @EdBigCon: Is this a real photo of @robschaaf getting Instructions from Soros? #moleg https://t.co/gL8ld0zjjD</t>
  </si>
  <si>
    <t>RT @1776Stonewall: Now Anti-Muslim posts have been uncovered from old @JoyAnnReid blogs, on top of her anti-gay ones. This is a liberal bla…</t>
  </si>
  <si>
    <t>RT @KL4AMERICA: @brianstelter @ReliableSources Yes Brian, I like didn’t see info either on today’s major media story involving CNN contribu…</t>
  </si>
  <si>
    <t>RT @AKAHortense: @brianstelter @ReliableSources OMG OMG OMG BRIAN
House Intel Report: “Former DNI James Clapper, now a CNN national securit…</t>
  </si>
  <si>
    <t>RT @CrazyOtto78: @brianstelter @ReliableSources Does it include an apology for falsely besmirching Dr. Ronny Jackson? Essentially all of th…</t>
  </si>
  <si>
    <t>RT @StrangeLunaMari: @brianstelter @ReliableSources Will you ever report on Clapper being a leaker and a liar? No, you're leaving that to r…</t>
  </si>
  <si>
    <t>RT @voxman77: @brianstelter @ReliableSources Nothing on Clapper-Everytown @jaketapper?</t>
  </si>
  <si>
    <t>RT @MZHemingway: @brianstelter @ReliableSources Brian, I didn’t see info on today’s major media story involving CNN contributor James Clapp…</t>
  </si>
  <si>
    <t>RT @davealvord164: @brianstelter @ReliableSources  https://t.co/SGxpyiFFP0</t>
  </si>
  <si>
    <t>RT @ScottAdamsSays: I heard him say presidents are busy, so it's hard to watch much TV. (Paraphrasing) What does it sound like in the TDS l…</t>
  </si>
  <si>
    <t>RT @Rant_America: @jack @RealCandaceO A full review to determine how that happened? You used those liberal little fingers and typed it. How…</t>
  </si>
  <si>
    <t>RT @SKYRIDER4538: @jack @RealCandaceO What about the rest of us Jack? I’ve been censored for the past 5 days. Not far right ... #IAMFreeToo</t>
  </si>
  <si>
    <t>RT @jrholdenOK: @jack @RealCandaceO . Well @jack it seems there are a few folks on this timeline that would qualify as “far left”. How many…</t>
  </si>
  <si>
    <t>RT @JiveBunnyMuzik: @jack @jstines3 @RealCandaceO You launched Twitter as free speech platform and you wanted millions of followers/users s…</t>
  </si>
  <si>
    <t>RT @EndTimesMama: @woodyc17 @jack @AndySwan @RealCandaceO I am also wondering this although of course @RealCandaceO has a right to define h…</t>
  </si>
  <si>
    <t>RT @woodyc17: @jack @AndySwan @RealCandaceO So.....being “far right” is bad? 
Who decides?</t>
  </si>
  <si>
    <t>RT @NormiesBGone: @jack @RealCandaceO It's because you're all Progressives and you hate everything. Nobody likes Progressives. Not even oth…</t>
  </si>
  <si>
    <t>RT @RealCandaceO: Far right? Allow me to clarify: I believe the black community can do it without hand-outs. I believe the Democrats have s…</t>
  </si>
  <si>
    <t>@azcentral @azdangonzalez I see @azcentral hates Americans and favors foreign nationals</t>
  </si>
  <si>
    <t>RT @OliviaReiner7: @azcentral @azdangonzalez Instead of running away, these people should stay in their own countries and work to make it b…</t>
  </si>
  <si>
    <t>RT @Pvs1Vinnie: @azcentral @azdangonzalez I am fearful for my safety as a USA citizen, if all the caravaners get through. Where is my asylu…</t>
  </si>
  <si>
    <t>RT @tweety713: @azcentral @azdangonzalez If they are that fearful why not seek asylum in Mexico?  They don’t need to travel 2500 miles.  Th…</t>
  </si>
  <si>
    <t>RT @CROWENATION2016: @azcentral @azdangonzalez Every lawyer involved with this practice is in gross violation of their ethical oath when sw…</t>
  </si>
  <si>
    <t>RT @IngrahamAngle: This is outrageous. Lawyers coaching migrants on how to claim “credible fear.” https://t.co/qD1kAi1kCK</t>
  </si>
  <si>
    <t>RT @Norasmith1000: @RGreggKeller At this point, I wouldnt trust anything Gardner does or says about anything relating to ANY case against G…</t>
  </si>
  <si>
    <t>RT @magathemaga1: Governor #Greitens with Troopers at the Ft. Leonard Wood Hiring Our Hero’s event today. 
HT: @MSHPRecruiting @EricGreite…</t>
  </si>
  <si>
    <t>RT @magathemaga1: @HennessySTL @VisioDeiFromLA @robschaaf #CleanMissouri #missouri #SCAM #moleg #mogov #mosen
It's a scam! https://t.co/1a…</t>
  </si>
  <si>
    <t>RT @HennessySTL: .@robschaaf, I won’t insult your intelligence by pretending you believe what you just wrote. https://t.co/k1eMgEp7PG</t>
  </si>
  <si>
    <t>RT @SpeakerTimJones: THIS. https://t.co/9HOtN1Fy4F</t>
  </si>
  <si>
    <t>RT @BobOnderMO: Great article by @esqonfire re why Missourians should not be fooled by “Clean Missouri” efforts by the far left to rig our…</t>
  </si>
  <si>
    <t>RT @Norasmith1000: @Sticknstones4 Lmao, well of course KS is fighting this, theres absolutely NO TELLING what she has on her phone!! #moleg…</t>
  </si>
  <si>
    <t>RT @magathemaga1: My friends &amp;amp; my enemies
We may disagree on #Greitens but agree #Missouri a red state &amp;amp; must remain so
Clean Missouri is…</t>
  </si>
  <si>
    <t>RT @Avenge_mypeople: What's happening with the #Greitens case is astounding. The hired investigator, Tisaby, refused to answer any question…</t>
  </si>
  <si>
    <t>RT @repdottieb4mo: “We are a nation of laws, not of men.” 
John Adams believed that men – all men – are fallible. Men will instinctively he…</t>
  </si>
  <si>
    <t>RT @repdottieb4mo: Jim Lembke and @robschaaf it breaks my heart that you will side with George Soros over #Missouri..please wake up. Don't…</t>
  </si>
  <si>
    <t>RT @magathemaga1: #BREAKING: #MoneyBagsAl, atty for ex-husband at center of #Greitens case, will have to answer questions Mon &amp;amp; identify wh…</t>
  </si>
  <si>
    <t>RT @Sticknstones4: @tkinder @EricGreitens Sworn court transcript refuting sham house report
100k delivery of cash 
Lead investigator lies &amp;amp;…</t>
  </si>
  <si>
    <t>RT @JCunninghamMO: In America all are INNOCENT until PROVEN guilty. I will vote against any legislator who votes to impeach or calls for re…</t>
  </si>
  <si>
    <t>RT @VisioDeiFromLA: (2) 
3. The media and those who attacked @EricGreitens on this never for one minute had any credibility since they ALL…</t>
  </si>
  <si>
    <t>RT @VisioDeiFromLA: (1) Thread.
Brian this is actually objective reporting unlike 99 percent I see on #MoLeg
1. They are moving away beca…</t>
  </si>
  <si>
    <t>RT @joelcurrier: St. Louis judge in Greitens case orders inquiry into source of $100,000 cash payment https://t.co/td6MYyfu7Y via @stltoday</t>
  </si>
  <si>
    <t>RT @JackSuntrup: "The identity of the donor of the two $50,000 cash payments," the judge said, is "relevant in determining the prejudice or…</t>
  </si>
  <si>
    <t>RT @memoriadei: #moleg #greitens @AGJoshHawley If you #gop stand with McCaskill against @GovGreitensMO you wont get my vote. You call butch…</t>
  </si>
  <si>
    <t>RT @KurtEricksonPD: Al Watkins attorney is Chuck Hatfield, former Jay Nixon aide. https://t.co/pjI8d9YGeg via @stltoday #moleg</t>
  </si>
  <si>
    <t>RT @Norasmith1000: @stlbriancollins @KathieConway @Shawtypepelina @YearOfZero @RealTravisCook @inthejungle234 @Neilin1Neil @sdieckhaus @Eri…</t>
  </si>
  <si>
    <t>RT @magathemaga1: @stlbriancollins @Norasmith1000 @KathieConway @Shawtypepelina @YearOfZero @RealTravisCook @inthejungle234 @Neilin1Neil @s…</t>
  </si>
  <si>
    <t>@stlbriancollins @KathieConway @Shawtypepelina @RealTravisCook @inthejungle234 @Neilin1Neil @Norasmith1000 @sdieckhaus @EricGreitens @AGJoshHawley @HawleyMO @RonFRichard @Rep_TRichardson @Dogan4Rep @RobVescovo @elijahhaahr @robschaaf @AnnLWagner You stand against the people and with the #LadderBoy.</t>
  </si>
  <si>
    <t>RT @realDonaldTrump: Loved being on @foxandfriends this morning. Great show!</t>
  </si>
  <si>
    <t>RT @kwilli1046: If you support our troops 100% - Retweet https://t.co/c5wkmPkiDg</t>
  </si>
  <si>
    <t>RT @SKOLBLUE1: #22ADAY #VA #Veterans #USMC #SUICIDE National Suicide Prevention Hotline 1-800-273-TALK(8255) or text HOME to 741741. https:…</t>
  </si>
  <si>
    <t>RT @TheNewRight: These words, however, were:
So #StaceyNewman - when you typed those three words “WE DID IT”, in all caps, (to show the ex…</t>
  </si>
  <si>
    <t>RT @TheNewRight: Surely, #StaceyNewman, you can’t expect anyone to believe that you didn’t pressure Sinclair to fire Jamie Allman. Your own…</t>
  </si>
  <si>
    <t>@TheNewRight @stltoday What did this nutjob do now?</t>
  </si>
  <si>
    <t>RT @TheNewRight: To quote Ducky from the quintessential 80’s cinema classic “Pretty In Pink” - 
“Do I offend?” https://t.co/CrspalWRKp</t>
  </si>
  <si>
    <t>RT @bigleaguepol: 😂🤣 https://t.co/25R6NjjWio</t>
  </si>
  <si>
    <t>RT @CoreyLMJones: I applaud black conservatives all across the nation for standing up for what they believe in and rejecting society’s labe…</t>
  </si>
  <si>
    <t>@KathieConway @RealTravisCook @inthejungle234 @Shawtypepelina @Neilin1Neil @Norasmith1000 @sdieckhaus @EricGreitens @AGJoshHawley We know people in Jeff city don’t like @EricGreitens because he’s an outsider and they don’t like his style. we know you all are lying about this ks girl. The whole town knows the story. Oh but we are all blind? We are supposed to trust people who are biased against #greitens ?</t>
  </si>
  <si>
    <t>@KathieConway @RealTravisCook @inthejungle234 @Shawtypepelina @Neilin1Neil @Norasmith1000 @sdieckhaus @EricGreitens @AGJoshHawley And what of the money that was just disclosed by this Watkins guy? That just was dropped off anonymously? He didn’t think to disclose now?
You are flat out liar @KathieConway 
Nothing fishy going on. Give me a break</t>
  </si>
  <si>
    <t>@KathieConway @RealTravisCook @inthejungle234 @Shawtypepelina @Neilin1Neil @Norasmith1000 @sdieckhaus @EricGreitens @AGJoshHawley Real people whether they use their names or not are not bots. 
Notice how you avoid the questions people are asking. 
Here’s one. There was no cross examination of the witnesses on the House. This kitty girls testimony was different than criminal. Gonna call me a bot?</t>
  </si>
  <si>
    <t>@KathieConway @RealTravisCook @inthejungle234 @Shawtypepelina @Neilin1Neil @Norasmith1000 @sdieckhaus @EricGreitens @AGJoshHawley Don’t worry @RealTravisCook she called me a bot too a while back. She won’t answer any real questions. Funny how the whole town knows this story about the girl but she wants to act like a consensual affair was something. Also do you even know what a bot is? It’s software.</t>
  </si>
  <si>
    <t>RT @GayRepublicSwag: Today is a big day for the gay community. Trump's openly gay pick for ambassador to Germany Richard Grenell has finall…</t>
  </si>
  <si>
    <t>RT @P_Wee: Travis Allen has vowed to call a special election to REVERSE the Illegal Sanctuary State in his first 100 days in office as Cali…</t>
  </si>
  <si>
    <t>RT @peterjhasson: Big SCOOP via @RJDonachie3: Read all 300 missing Strzok-Page texts here: https://t.co/MH8TXCCACd @DailyCaller</t>
  </si>
  <si>
    <t>RT @T_S_P_O_O_K_Y: It's amazing how the left cares about minorities, gay and lesbian issues - until one is a conservative: https://t.co/sfu…</t>
  </si>
  <si>
    <t>RT @CHSommers: Can’t stop watching this. It’s as strange as the moon landing. A small step for man, a giant leap for mankind. https://t.co/…</t>
  </si>
  <si>
    <t>RT @KimStrassel: "Sometimes, the sad fact is that parents do not know what is best for their child,"says the Professor/Consultant who advoc…</t>
  </si>
  <si>
    <t>RT @NRATV: "Ronny Jackson and others who wear the uniform go overseas everyday with the threat of losing their lives in defense of yours...…</t>
  </si>
  <si>
    <t>RT @guypbenson: UK Gov't: We forbid our citizens from traveling abroad w/ their dying baby to explore alternative, privately-funded medical…</t>
  </si>
  <si>
    <t>RT @YearOfZero: @ChuckModi1 Not absurd. 
U are just afraid to call for Nadal resignation because you are a virtue signaling coward. 
Burn…</t>
  </si>
  <si>
    <t>RT @TuckerCarlson: The big digital monopolies demand that we conform to their worldview and shut us down when we dissent. They have too muc…</t>
  </si>
  <si>
    <t>RT @JackPosobiec: “And then I told her, You’d be in jail!” https://t.co/tAIFWMHPUY</t>
  </si>
  <si>
    <t>RT @true_pundit: Congressman Louie Gohmert Just Absolutely Wrecked Robert Mueller With Epic 48-Page Investigative Blowout; We Have it Here…</t>
  </si>
  <si>
    <t>It’s an email jack. They shouldn’t even be allowed to apply for asylum. They are economic migrants https://t.co/v6vsxdbxwm</t>
  </si>
  <si>
    <t>RT @johncardillo: Sources here in South Florida are telling me that the Broward Deputies vote of no-confidence was the final straw. The Gov…</t>
  </si>
  <si>
    <t>@ChuckModi1 Not absurd. 
U are just afraid to call for Nadal resignation because you are a virtue signaling coward. 
Burns and Nadal must go!
#MOLeg #ReisignNadal #Stlouis https://t.co/gSAiNsfne5</t>
  </si>
  <si>
    <t>If u r demanding bob burns resign, you need to demand Nadal goes too
Her behavior was disturbing.
EQUALLY AS BAD — AND ACTUALLY WORSE.
BOB BURNS MUST GO
AND SO SHOULD NADAL
Calling for one one makes you a GIANT HYPOCRITE AND COWARD
#ReisignNadal #MoLeg #Mogov https://t.co/RCb0wmGp5i</t>
  </si>
  <si>
    <t>RT @KimStrassel: Actually is stunning overall amount the head of the FBI claims to not have known. Didn't know Steele's name; didn't know h…</t>
  </si>
  <si>
    <t>RT @TheLastRefuge2: Bret Baier Interviews James Comey… https://t.co/iSj2262Xvf https://t.co/JQShA6NKeh</t>
  </si>
  <si>
    <t>RT @thedonaldreddit: History in the making. 
Donald J Trump will be known as the greatest peacemaker in history. North Korea is only the b…</t>
  </si>
  <si>
    <t>RT @VFL2013: The People who are trying to make this world worse are not taking a day off.. How can I!!!! #MAGA @POTUS #FreeThinkers https:/…</t>
  </si>
  <si>
    <t>RT @Pickles02012: 👎@Meuser4Congress👎
Any comments regarding this???
PA DISTRICT 09 ❤
Please be sure to VOTE ✔☑ 4 #MAGA #MASA #KAG candida…</t>
  </si>
  <si>
    <t>RT @dbongino: Exhibit One in the struggle against government run healthcare. https://t.co/cujlSmtAtd</t>
  </si>
  <si>
    <t>RT @Chadwick_Moore: Just searched 5 popular gay sites and NONE have reported on @RichardGrenell making history today when Senate confirmed…</t>
  </si>
  <si>
    <t>RT @Real_PeachyKeen: IF YOU SUPPORT GEN FLYNN &amp;amp; WANT TO HELP HIM, PLEASE RETWEET SO THIS WILL REACH @foxandfriends! 🇺🇸🇺🇸
We're asking @fox…</t>
  </si>
  <si>
    <t>RT @Jillibean557: Wow 😲 Trump called out North Korea 🇰🇵  in 1999! Nearly 20 yrs later &amp;amp; not until #PresidentTrump does the USA 🇺🇸 aggressiv…</t>
  </si>
  <si>
    <t>RT @RealOmarNavarro: Neither Do Hispanics or Latinos https://t.co/KPrq0VLGmD</t>
  </si>
  <si>
    <t>RT @DeplorableGoldn: RT 🚨
#Missouri #Mogov Scam
Voters under attack
Sen Schaff’s “Clean Missouri” Plan Delivers #MoLeg 2 Democrats
Const…</t>
  </si>
  <si>
    <t>RT @VisioDeiFromLA: @Shawtypepelina @for_congress @JW1057 @StoryoftheYear @EricGreitens @Eric_Schmitt Have IRS look at both KS &amp;amp; PS financi…</t>
  </si>
  <si>
    <t>@esqonfire No coverage of this hardly from any of the local media</t>
  </si>
  <si>
    <t>RT @esqonfire: As an attorney, I wouldn't want to touch an anonymous payment of $100,000 with a 10-foot pole. #mogov https://t.co/jecuGiA0qJ</t>
  </si>
  <si>
    <t>RT @DeplorableGoldn: RT 🚨
As details came out, #greitens case only got stranger: private investigator had been found 2 have violated Alabam…</t>
  </si>
  <si>
    <t>RT @magathemaga1: @StevenDialTV @EricGreitens @41actionnews #MoneyBagsAl and #KimShady
At it again!
#moleg #mogov #mosen
#Missouri #StLou…</t>
  </si>
  <si>
    <t>RT @inthejungle234: What about Maria Nadal?
#moleg #MoGov https://t.co/K0TkbPyHuH</t>
  </si>
  <si>
    <t>RT @DeplorableGoldn: 🚨Progressive mega-donor George Soros bigfoots into Missouri ballot fight over redistricting, ethics🚨
#MoGov
#mosen
#m…</t>
  </si>
  <si>
    <t>RT @magathemaga1: @inthejungle234 Why doesnt @MariaChappelleN resign if bob burns has to resign?
#moleg #mogov https://t.co/DJgegDetX5</t>
  </si>
  <si>
    <t>RT @smart_hillbilly: Office of the Chief Disciplinary Counsel: Revoke the law license of St. Louis Circuit Attorney Kim Gardner! - Sign the…</t>
  </si>
  <si>
    <t>RT @Hope4Hopeless1: @Shawtypepelina @POTUS @EricGreitens #TonyMessenger is a HACK PROPAGANDIST willing to LIE &amp;amp; MISREPRESENT FACTS to furth…</t>
  </si>
  <si>
    <t>RT @JW1057: @TerryGaney @ws_missouri @aaron_hedlund That was probably back when there were actual journalist. You know before "journalist"…</t>
  </si>
  <si>
    <t>RT @Sticknstones4: #Moleg has refused to acknowledge 
the court transcript which refutes their house report 
Yet they still ask for his r…</t>
  </si>
  <si>
    <t>RT @SorosInSTL: My dear boy. The people will be fooled.
I've spent a lot of money on this! Of course clean Missour is a scam. First I but…</t>
  </si>
  <si>
    <t>RT @DuellLauderdale: Great to see @AP4Liberty speaking at Llewellyns Pub in O'Fallon for a social gathering of the @RLibertyCaucus! Tonight…</t>
  </si>
  <si>
    <t>RT @SorosInSTL: Nobody should automatically be believed.
Man or women. Extraordinary claims require evidence. 
Cosby would have got away…</t>
  </si>
  <si>
    <t>RT @VisioDeiFromLA: CLEAN MISSOURI IS A SCAM
See somebody carrying a clipboard?
DECLINE TO SIGN
#moleg #mogov #Missouri https://t.co/VvB…</t>
  </si>
  <si>
    <t>RT @VisioDeiFromLA: Back in the day, we had real journalists. 
#moleg #mogov #greitens https://t.co/FDAiFeMUA9</t>
  </si>
  <si>
    <t>RT @VisioDeiFromLA: My girl @blackwidow07 talking some sense
#moleg #mogov #greitens https://t.co/SJyUdg1ibA</t>
  </si>
  <si>
    <t>RT @DeplorableGoldn: RT 🚨 #moleg https://t.co/uHIDcasx7J</t>
  </si>
  <si>
    <t>RT @DeplorableGoldn: RT😂😂
⚠️ BREAKING ⚠️
Sketch released of person who convinced PS to go to KMOV with made up story about #Greitens &amp;amp; KS…</t>
  </si>
  <si>
    <t>RT @TrumpChess: @sueweaver16 Right on Jane I feel the same way! #MoVoter #moleg #IStandWithGovGreitens</t>
  </si>
  <si>
    <t>You gonna resign Maria, too, for your threats against POTUS?
#ResignBobBurns #ResignNadal https://t.co/6l3St6lxUI</t>
  </si>
  <si>
    <t>Going demand Nadal resign too? 
She threatened potus.
What about Bruce franks JR? He is anti cop.
Bob burns called into a radio show. 
I’m not a Dem so I don’t care but Bob shouldn’t resign unless Nadal resigns
Gonna call for her resignation hypocrite?
#ResignBobBurns #MoLeg https://t.co/ik2vMxZzJr</t>
  </si>
  <si>
    <t>RT @SKOLBLUE1: #donnybrookstl Thank you for talking about #Greitens tonight! It is refreshing to hear a few of you acknowledge these indict…</t>
  </si>
  <si>
    <t>RT @sueweaver16: Same here!  Although I may not appreciate everything about this Gov, he is doing the work for MO which we elected him to d…</t>
  </si>
  <si>
    <t>RT @magathemaga1: #TriflingTisaby pleaded the 5th today.
Hmm.....
@EricGreitens @Eric_Schmitt
@Rep_TRichardson @RonFRichard
#moleg #mogov…</t>
  </si>
  <si>
    <t>@HEYYLT @magathemaga1 @RightSideUp313 @Shawtypepelina @Avenge_mypeople @HotPokerPrinces @SKOLBLUE1 @Eric_Schmitt @MSTLGA @Lautergeist @MissouriGOP @blackwidow07 Lol</t>
  </si>
  <si>
    <t>RT @magathemaga1: It's not hypothetical.
#greitens team absolutely correct 
#ladderboy has COI due 2 him having election &amp;amp; all people hav…</t>
  </si>
  <si>
    <t>RT @magathemaga1: When my (non-moronic) friends talk #greitens, they ask:
Y keep seeing?
Y didn't she go 2 cops?
Y did ex go 2 kmov not po…</t>
  </si>
  <si>
    <t>RT @Sticknstones4: @Rep_TRichardson  You Lied 🤥 in this interview
The house committee did not WORK on the report
Behind Closed Doors
The…</t>
  </si>
  <si>
    <t>RT @VisioDeiFromLA: @Dogan4Rep 
U are correct. The #GreitensIndictment isn't a partisan witch hunt
It is a BIPARTISAN witch hunt
This is…</t>
  </si>
  <si>
    <t>RT @Mizzourah_Mom: OPINION: It's Time for Us to Rally to Defend Missouri
#Greitens
#GreitensIndictment
#moleg
https://t.co/PnoeXFzGZ5</t>
  </si>
  <si>
    <t>RT @realJLogan: Some folks going around asking for signatures for "Clean Missouri" - DO NOT BE FOOLED. It sounds innocent but it is designe…</t>
  </si>
  <si>
    <t>RT @magathemaga1: ⚠️ BREAKING ⚠️
Sketch released of person who convinced PS to go to KMOV with made up story about #Greitens &amp;amp; KS
Since #…</t>
  </si>
  <si>
    <t>@RealTravisCook Somebody needs to look at their financials #moleg #mogov #greitens
I said this yesterday and I’ll say it again today</t>
  </si>
  <si>
    <t>RT @RealTravisCook: Exactly--Phil Sneed's career was lagging, just as #Greitens career was on the ascendency. Kitty Sneed wouldn't be the f…</t>
  </si>
  <si>
    <t>RT @magathemaga1: @Shawtypepelina @shellgame57 @MOLegDems @MoDemParty Good question
#MoLeg #MoGov #StLouis 
Why not call for her resignat…</t>
  </si>
  <si>
    <t>RT @SKOLBLUE1: #donnybrookstl are you going to allow calls and publish tweets regarding #Greitens tonight or do we get to talk about the zo…</t>
  </si>
  <si>
    <t>RT @inthejungle234: @Shawtypepelina @RealTravisCook @Neilin1Neil @Norasmith1000 @KathieConway @sdieckhaus @EricGreitens @AGJoshHawley And s…</t>
  </si>
  <si>
    <t>RT @inthejungle234: Looks like @Rep_TRichardson  one of @mikeparson boys and wants to screw over missourians and undo an election.
#moleg…</t>
  </si>
  <si>
    <t>Outstanding tax bills. 
Obviously large purchasss are going to be the first thing to check for this KS and PS. But you gotta ask, there was courier too. And who else was involved?
Check for outsetsnding tax bills if they’ve been paid all involved.
#MoLeg #MoGov #greitens https://t.co/4oPdiImIVW</t>
  </si>
  <si>
    <t>RT @magathemaga1: ⚠️ Hairdresser Alert ⚠️
Gonna cover this @JackSuntrup ?
We know media is lying so why arent you all looking into this $…</t>
  </si>
  <si>
    <t>RT @AP4Liberty: Josh Hawley is the James Comey of Missouri. https://t.co/YTstolxKd7 via @springfieldNL</t>
  </si>
  <si>
    <t>RT @EdBigCon: @ClaytonTimes @thisweekinmopol @Dogan4Rep @HawleyMO @EricGreitens @STLKCCRC The guy is on the  #NeverTrump and #NeverGreitens…</t>
  </si>
  <si>
    <t>RT @magathemaga1: "I can tell you, the people of Missouri stand with you," Gov. Eric Greitens said 2 annual memorial prayer breakfast of ST…</t>
  </si>
  <si>
    <t>RT @TomJEstes: The leader of @PPact claims there is no specific moment when life begins. So much for medically accurate information. #moleg…</t>
  </si>
  <si>
    <t>RT @magathemaga1: St. Louis also doesn’t need somebody who is anti cop like Bruce Franks JR or makes threats against the president like Nad…</t>
  </si>
  <si>
    <t>RT @magathemaga1: He cant. This is a no brainer. If he hadn't waited until now to do this, it could be argued but now he is tainted.
#mole…</t>
  </si>
  <si>
    <t>RT @magathemaga1: Hey Nadal you gonna resign to for your comments against potus?
Both of you resign!
#MOLeg #mogov https://t.co/Mrr1e9lDIP</t>
  </si>
  <si>
    <t>RT @VisioDeiFromLA: I've spent years working with people like U
I've seen:
-The lies.
-The bias
-The coordinated stories 
-The lack of con…</t>
  </si>
  <si>
    <t>RT @Sticknstones4: All that money wasted in hiring Tisaby an outside investigator , that lies &amp;amp; takes the 5th.  This is a disgrace to our j…</t>
  </si>
  <si>
    <t>RT @magathemaga1: Is ‘Guilty Until Proven Innocent’ the New Standard?
Democrats &amp;amp; establishment Republicans don't support presumption of i…</t>
  </si>
  <si>
    <t>RT @MactavishShawn: @MariaChappelleN You would also agree that it’s time for @brucefranksjr to resign as well? Due to his hateful and repul…</t>
  </si>
  <si>
    <t>RT @sigi_hill: @MariaChappelleN #MariaChappelle-Nadal is stripped of all rights to order anything, particularly inciting anybody's protest…</t>
  </si>
  <si>
    <t>RT @RealTravisCook: A consensual affair between two people now makes someone a "victim"???  The goalposts keep moving all the time... #MoLe…</t>
  </si>
  <si>
    <t>RT @magathemaga1: KS chose to see him
KS chose to continue the fling
KS didnt go to the police.
Sorry it was a consensual affair and it ta…</t>
  </si>
  <si>
    <t>RT @VisioDeiFromLA: Hey @Dogan4Rep 
In this video you claim that the idea that the #greitensindictment is a partisan witch hunt is crazy.…</t>
  </si>
  <si>
    <t>RT @magathemaga1: #Greitens pays tribute 2 fallen police officers at event 4/25 in St. Charles
His speech paid tribute 2 police killed in…</t>
  </si>
  <si>
    <t>RT @Norasmith1000: @YearOfZero Im still waiting for the Dem outrage at Gardner for misconduct, perjury censure by judge, maybe hiding Tisab…</t>
  </si>
  <si>
    <t>RT @RitaPanahi: @OrwellNGoode  https://t.co/0hNiQNwKSB</t>
  </si>
  <si>
    <t>RT @OrwellNGoode: IRL people actually believe the "OK sign" is a white power sign. My sides. https://t.co/ltvtjNVWk2</t>
  </si>
  <si>
    <t>RT @Cernovich: Keep in mind that these same talk show hosts covered up for pedophiles in Hollywood.
https://t.co/T99erOqtP8</t>
  </si>
  <si>
    <t>RT @benshapiro: Kanye: I'm not going to be boxed in by your expectations about my thoughts
Entire Left: YOU ARE EVIL FOR THINKING THIS WAY…</t>
  </si>
  <si>
    <t>RT @DanScavino: .@realDonaldTrump @kanyewest 
WINNING! 🇺🇸🇺🇸🇺🇸🇺🇸 https://t.co/T0JdGD6BUZ</t>
  </si>
  <si>
    <t>RT @magathemaga1: As details came out, #greitens case only got stranger: private investigator had been found 2 have violated Alabama law by…</t>
  </si>
  <si>
    <t>RT @YearOfZero: U also being horrible person assuming #Greitens guilt
From sounds of it, she was paid off to make up the story. Gonna addr…</t>
  </si>
  <si>
    <t>RT @magathemaga1: You gonna demand Nadal and Frank's step too?
Y do they get a pass for bad behavior?
Gonna answer that?
They all go or…</t>
  </si>
  <si>
    <t>RT @magathemaga1: @sarahfelts until @brucefranksjr &amp;amp; Nadal step down Burns SHOULD NOT STEP DOWN
Hypocritical only calling 4 Burns resignat…</t>
  </si>
  <si>
    <t>RT @YearOfZero: 1. ALLEGED. It isn’t victim. IT IS ALLEGED victim
2. Block away
3. I WON’T say it, but no gag order on public. Public can t…</t>
  </si>
  <si>
    <t>U also being horrible person assuming #Greitens guilt
From sounds of it, she was paid off to make up the story. Gonna address money bags? It’s horrible 2 just claim Greitens guilty as u are doing. Public can talk about it if they want. You can’t gag the public. 
#MoLeg #MoGov https://t.co/r1JNJOMR6Q</t>
  </si>
  <si>
    <t>1. ALLEGED. It isn’t victim. IT IS ALLEGED victim
2. Block away
3. I WON’T say it, but no gag order on public. Public can talk about if they want
4. Public HAS RIGHT 2 know as it’s in public interest 
5. CONSENSUAL fling
6. U don’t control what public talks about
#moleg #MoGov https://t.co/r1JNJOMR6Q</t>
  </si>
  <si>
    <t>RT @HotPokerPrinces: Bob Burns Will Not Be Resigning
He’s not a surrender monkey 🐒 
Deal with it !
We’ve had to deal with 
Hate speech &amp;amp;…</t>
  </si>
  <si>
    <t>RT @magathemaga1: Good evening 2 everybody but #MoLeg swamp who R trying to screw #Missouri voters over and undo an election. Adding lipsti…</t>
  </si>
  <si>
    <t>RT @magathemaga1: @GovGreitensMO Signs Executive Order Expanding Homeland Security Advisory Council 
“We’re working every day to keep Miss…</t>
  </si>
  <si>
    <t>“Legal experts” You seem pretty worried there Scott. Anybody can be called an expert. Doesn’t mean they are experts.
#moleg #mogov https://t.co/TkHkQMALtC</t>
  </si>
  <si>
    <t>RT @MoGovWatch: @GovGreitensMO Signs Executive Order Expanding Homeland Security Advisory Council - https://t.co/FP5Co5Xd0s #MO #MOLeg #MOG…</t>
  </si>
  <si>
    <t>RT @magathemaga1: "attorneys learned that ... prosecution’s chief investigator, a man ... prosecution has compared to Inspector Clousseau,…</t>
  </si>
  <si>
    <t>RT @magathemaga1: Eric #Greitens in his own words.
"...Greitens is also wise enough to know people aren’t perfect. Even well-educated huma…</t>
  </si>
  <si>
    <t>RT @magathemaga1: #MoneyBagsAl
#Greitens
#GreitensIndictment 
#moleg
#mogov
#mosen 
#StLouis 
#stl 
#Missouri 
#kimshady
#soros
#moneybags…</t>
  </si>
  <si>
    <t>RT @AP4Liberty: Yes! Because no one man should have all that power! https://t.co/8ViCO3AY8i</t>
  </si>
  <si>
    <t>RT @RealEagleBites: @kanyewest Kanye West, don’t let the liberal media hysteria intimidate you. The overwhelming majority of African Americ…</t>
  </si>
  <si>
    <t>RT @CollinRugg: David Hogg: “F*** the NRA. F*** Trump. F*** Fox. F*** Republicans. F*** Rubio. F*** you!”
Laura Ingraham: “No wonder why t…</t>
  </si>
  <si>
    <t>RT @KMGGaryde: 🔴TEXAS STEP UP &amp;amp; STAY RED!  VOTE CRUZ🔴
Sen. Cruz has a proven track record in the Senate working for all Texans. Reelect hi…</t>
  </si>
  <si>
    <t>@KCStarOpinion Lol no. He doesn’t need to go. You do know the girl was also messing around with Koster too?</t>
  </si>
  <si>
    <t>@Avenge_mypeople @JW1057 @MelindaKCMO @EricGreitens She wasn’t a victim. We all know it was a consensual fling and how these journalists can act like she also wasn’t dating other politicians while sneed was touring is laughable. No real journalists left. Giant scam of an indictment</t>
  </si>
  <si>
    <t>RT @LibertarianBlue: Exclusive – Ted Cruz: Use Antitrust Laws to Break ‘Massive Power’ of Tech Lords to ‘Subvert Our Democratic Process’ ht…</t>
  </si>
  <si>
    <t>RT @magathemaga1: An investigation in search of a crime...
#Greitens #GreitensIndictment #moleg #kimshady #Ladderboy #Missouri #StLouis #S…</t>
  </si>
  <si>
    <t>RT @StevenDialTV: Mystery money has gained the attention of Special House Committee investigating  @EricGreitens. 
Al Watkins received a su…</t>
  </si>
  <si>
    <t>RT @DeplorableGoldn: #Greitens pays tribute 2 fallen police officers at event today in St. Charles
His speech paid tribute 2 police killed…</t>
  </si>
  <si>
    <t>RT @VisioDeiFromLA: @rxpatrick So it's an affair? Thanks for confirming what I have been saying for the last 3 months. A consensual affair.…</t>
  </si>
  <si>
    <t>RT @Sticknstones4: @YearOfZero @StevenDialTV @EricGreitens @41actionnews Al Watkins law office bldg has 24hr security, hope the inept house…</t>
  </si>
  <si>
    <t>RT @magathemaga1: Good Morning #MoLeg except @RonFRichard
#GreitensIndictment: 
#KimShady crooked
#NoNotesTisaby crooked
#MoneyBagsAl is…</t>
  </si>
  <si>
    <t>RT @DerekGrier: Read this, people. Clean Missouri is not what you think...don’t be fooled, and do your research before signing ANY petition…</t>
  </si>
  <si>
    <t>@magathemaga1 @EricGreitens @RightSideUp313 @SpeakerTimJones @MOHouseGOP @SKOLBLUE1 @Eric_Schmitt @MissouriGOP @Avenge_mypeople @Hope4Hopeless1 @Sticknstones4 @Blackboxhalo 👍👍👌🏻👌🏻</t>
  </si>
  <si>
    <t>RT @magathemaga1: "There is a strong, silent majority of people throughout the state" who support police even in times notable for controve…</t>
  </si>
  <si>
    <t>RT @Sticknstones4: Clownish St. Louis Prosecutors 🤡Turn Greitens Case Into Farce 
#moleg #greitens #kimshady #moneybagsAl 
https://t.co/C…</t>
  </si>
  <si>
    <t>RT @magathemaga1: ⚠️ FLASHBACK ⚠️
#Greitens forms committee 2 audit tax credits
"Greitens’ press secretary Parker Briden expanded that co…</t>
  </si>
  <si>
    <t>RT @magathemaga1: #Greitens forms committee 2 audit tax credits
"Greitens’ press secretary Parker Briden expanded that committee would do…</t>
  </si>
  <si>
    <t>RT @magathemaga1: #Missouri #Mogov Scam
Voters under attack
Sen Schaff’s “Clean Missouri” Plan Delivers #MoLeg 2 Democrats
Constitutiona…</t>
  </si>
  <si>
    <t>RT @magathemaga1: #Greitens pays tribute 2 fallen police officers at event today in St. Charles
His speech paid tribute 2 police killed in…</t>
  </si>
  <si>
    <t>RT @magathemaga1: Exactly Clean Missouri is a scam to take away the voice of Missourians
We see what your up to #MoLeg traitors.
#MoGov #…</t>
  </si>
  <si>
    <t>@AntonioFrench @Markknight45 Hey Antonio... you do know the woman dated other people like Chris Koster and she is making up the story. And what if the 100k anonymously dropped off. Lot of black men have also been falsely accused of things (and still are). Maybe you need to step back and look at facts</t>
  </si>
  <si>
    <t>RT @Sticknstones4: @KPLR11 When is there a special investigation on these 7 inept legislators?  Meet behind closed doors to author reports…</t>
  </si>
  <si>
    <t>RT @magathemaga1: 🚨 #MoneyBagsAl UPDATE 🚨 
#MoLeg issued subpoena 2 Watkins in #Greitens case about anonymous 100k 
Watkins, who publiciz…</t>
  </si>
  <si>
    <t>RT @Sticknstones4: @philip_saulter @CaileighKRCG13 @KRCG13 He’s a biter man abusing his position 
Hurting Missouri to spite the Governor…</t>
  </si>
  <si>
    <t>@wrap02 @APCentralRegion Lol the woman and her ex husband sneed is lying</t>
  </si>
  <si>
    <t>RT @mizzoudownunder: #MAGA 
#moleg https://t.co/PxbA8FczxG</t>
  </si>
  <si>
    <t>RT @RealTravisCook: Uh oh! He got caught with Phil Sneed's payoff money!!! (Oh, wait...are we still supposed to pretend that we don't know…</t>
  </si>
  <si>
    <t>RT @christoferguson: Lawmakers issue subpoena to attorney in Greitens case to ask about anonymous $100,000. #moleg #stl 
https://t.co/coE9h…</t>
  </si>
  <si>
    <t>RT @PKaraskavicz: @thehill @RMConservative DACA  end it now. Quit giving away our country</t>
  </si>
  <si>
    <t>@thehill Impeach the judge already. It wasn’t even a law. It was a memo!</t>
  </si>
  <si>
    <t>RT @mschlapp: Obama put an end date on the program. This is why Immigration is dividing America. Judges just do as they want. Laws don't ma…</t>
  </si>
  <si>
    <t>RT @therealroseanne: ❤️  💯
https://t.co/khTta8yNAV https://t.co/HosN86ZGpl</t>
  </si>
  <si>
    <t>RT @kanyewest: dragon 🐉 energy 
Natural born leaders
Very instinctive 
Great foresight</t>
  </si>
  <si>
    <t>RT @laff: A classic showdown: Darlene vs. Becky 😂
Who is your favorite Conner? #Laff #Roseanne @therealroseanne @THEsaragilbert https://t.…</t>
  </si>
  <si>
    <t>RT @ExDemLatina: My God our @FLOTUS is perfection 
So proud of her ❤️ https://t.co/sucaK86QPa</t>
  </si>
  <si>
    <t>RT @RubinReport: Holy shmoly. Did @RealCandaceO predict this Kanye moment back in September? https://t.co/Ikjyzgw5gY</t>
  </si>
  <si>
    <t>@pelicancoolers @GlowsInMyHeart 👍👍👍</t>
  </si>
  <si>
    <t>RT @pelicancoolers: For every cooler purchased this month, we’ll donate $10 to the NRA + and give you a FREE tumbler of your choice. Promo…</t>
  </si>
  <si>
    <t>RT @JessieJaneDuff: Oh Cenk. It's ok. We know you're mad he likes Trump. But your secret is safe me that @kanyewest is still #1 on your Pla…</t>
  </si>
  <si>
    <t>RT @JessieJaneDuff: You have just demonstrated @kanyewest's philosophical point there is no freedom of thought. The thought police want to…</t>
  </si>
  <si>
    <t>RT @FrankHartII: @cenkuygur So how does it feel to be George Soros' puppet, Cenk? Is having his hand always inserted in your rear end uncom…</t>
  </si>
  <si>
    <t>RT @NoblittWill: @cenkuygur We’re not the ones who riot in the streets and burn cities to the ground. We’re not the ones who scream Trump i…</t>
  </si>
  <si>
    <t>RT @RealMAGASteve: In a shocking revelation Rod Rosenstein is Eyeing an Exit from the DOJ and is Mulling Job Offers from Network TV News an…</t>
  </si>
  <si>
    <t>RT @Real_PeachyKeen: GEN FLYNN SUPPORTERS RETWEET⬇
Dear,
@foxandfriends
@ainsleyearhardt
@SteveDoocy
@kilmeade
@seanhannity
@SaraCarterDC…</t>
  </si>
  <si>
    <t>RT @JacobAWohl: Are you excited to see the 6 months of missing Peter Strzok/Lisa Page texts?</t>
  </si>
  <si>
    <t>RT @ScottPresler: The polls close at 7 p.m. in Arizona, and the first results are expected around 11 p.m. EST. 
If you've already voted, c…</t>
  </si>
  <si>
    <t>RT @RealSaavedra: California Democrat Rep. Maxine Waters: "I certainly meant it" when I said Comey "has no credibility" – except for when h…</t>
  </si>
  <si>
    <t>RT @EmmanuelMacron: 100 years ago, American soldiers fought in France, in Belleau to defend our freedom. This oak tree (my gift to @realDon…</t>
  </si>
  <si>
    <t>RT @Thomas1774Paine: Joy Behar Decides She Likes the Bushes, Forgets She Smeared Them as ‘Murderers’ (VIDEO) https://t.co/WGtxztC68U</t>
  </si>
  <si>
    <t>RT @therealroseanne: i hope u guys are having viewing parties tonight! send pics!</t>
  </si>
  <si>
    <t>RT @KCNewsGuy: Attorney claims to have received mysterious $100k cash payment before @EricGreitens story broke &amp;gt;&amp;gt; 
 https://t.co/k4ZKII4Kue…</t>
  </si>
  <si>
    <t>RT @VisioDeiFromLA: Key point.
Not allowing a bench trial unconstitutional.
#MoLeg #MoGov #Greitens #MoSen https://t.co/uiYbOLHF3I</t>
  </si>
  <si>
    <t>RT @VisioDeiFromLA: Courier Gave $100k to #MoneyBagsAl 2 Launch #GreitensIndictment / WitchHunt
Attorney representing man who accused #Gre…</t>
  </si>
  <si>
    <t>RT @magathemaga1: @BigJShoota You'll like this Big J 
Give it some love.
#MoneyBagsAl #KimShady #moleg #mogov #StLouis #greitens https://…</t>
  </si>
  <si>
    <t>RT @SpeakerTimJones: Read the real dirt on the latest @georgesoros funded fraud to hit the #MOLeg “The Truth About Clean Missouri” https://…</t>
  </si>
  <si>
    <t>RT @aaron_hedlund: Bumbling Gardner, Lying Tisaby, and Loud-Mouth Watkins are doing a plenty good job sending things into "uncharted waters…</t>
  </si>
  <si>
    <t>RT @VisioDeiFromLA: 🚨 MONEY BAG UPDATE 🚨 
💰 💰 💰 💰 
“Watkins says the cash arrived by courier with no note of explanation. Later-he says h…</t>
  </si>
  <si>
    <t>RT @magathemaga1: @KMOXKilleen @EricGreitens #MoneyBagsAl needs to spill the beans and #KimShady needs to be disbarred 
Everybody in #Stlo…</t>
  </si>
  <si>
    <t>RT @VisioDeiFromLA: That's why we call her #KimShady
#MoLeg #MoGov #MoSen #Greitens 
#StLouis #WitchHunt https://t.co/VQPjkJVY6Y</t>
  </si>
  <si>
    <t>RT @magathemaga1: When U support witch hunts &amp;amp; not allowing fairness...
...YOU SUPORT #Putin 
"Show me the man, I'll show U the crime" --…</t>
  </si>
  <si>
    <t>RT @melody_grover: The first lesson seasoned politicians well-versed in the art of self-preservation learn is when to keep their mouths shu…</t>
  </si>
  <si>
    <t>RT @VisioDeiFromLA: Liberals are only allowed to drag #Greitens through the mud?
Conservatives aren’t supposed to be able to defend themse…</t>
  </si>
  <si>
    <t>RT @aaron_hedlund: That's right, @JaneDueker, keep telling everybody that prosecutorial misconduct is irrelevant. In time, all the facts wi…</t>
  </si>
  <si>
    <t>RT @DeplorableGoldn: RT-ING 🚨
Insights into the collective cluelessness of the liberal mind:
"Looting: using a list of donors that oneself…</t>
  </si>
  <si>
    <t>RT @magathemaga1: ⚠️ URGENT OMG ⚠️
#MoneyBagsAl Video Found!
On Dec. 13th, 2017, hidden cam footage discovered wherein #MoneyBagsAl caugh…</t>
  </si>
  <si>
    <t>RT @Sticknstones4: I really don’t know if this is satire  😂
Or 
What really happens behind those closed door sessions
At #moleg 
For all…</t>
  </si>
  <si>
    <t>RT @RealTravisCook: If you missed my radio show from today in which we examine the #GreitensIndictment while focusing on the actions of the…</t>
  </si>
  <si>
    <t>RT @DeplorableGoldn: Yes!  Thank you @RoyBlunt for speaking some sense! #moleg #MOSEN #MoSwamp #mogov #KimShady #istandwithgreitens https:/…</t>
  </si>
  <si>
    <t>RT @DeplorableGoldn: Sticknstones, I agree!  $100k in cash!  Holy hell!  #moleg #mogov #MOSEN #KimShady #Greitens #istandwithgreitens https…</t>
  </si>
  <si>
    <t>RT @DeplorableGoldn: RT-ING 🚨 you got to listen to this!
His name is #MoneyBagsAl
#MoLeg #MoGov #MoSen #Greitens https://t.co/gppu4Gmxo1</t>
  </si>
  <si>
    <t>RT @magathemaga1: Bruce Frank's Jr should resign for his anti cop language. Nadal must resigns for her threats against POTUS.
All 3 resign…</t>
  </si>
  <si>
    <t>RT @magathemaga1: @sarahfelts Bruce Frank's Jr should resign for his anti cop language. Nadal must resigns for her threats against POTUS.…</t>
  </si>
  <si>
    <t>RT @DeplorableGoldn: OMG!  RT 🚨 must see!
⚠️ URGENT OMG ⚠️
#MoneyBagsAl Video Found!
On Dec. 13th, 2017, hidden cam footage discovered wh…</t>
  </si>
  <si>
    <t>RT @DeplorableGoldn: RT-ing 🚨
As the Soros-backed prosecutor’s witch hunt falls apart and the secret money trail that launched this whole s…</t>
  </si>
  <si>
    <t>RT @DeplorableGoldn: RT-ing 🚨
Bruce Frank's Jr should resign for his anti cop language. Nadal must resign for her threats against POTUS.
A…</t>
  </si>
  <si>
    <t>RT @YearOfZero: If I was investigating this #MoneyBagsAl thing, I would ask:
Has anybody related to lawyer, the woman or ex husband or tan…</t>
  </si>
  <si>
    <t>RT @melody_grover: Insights into the collective cluelessness of the liberal mind:
"Looting: using a list of donors that oneself created to…</t>
  </si>
  <si>
    <t>Lol so everybody that disagrees with you is alt-right? Sorry it Won’t work. 
And no you aren’t making a concerted effort to be correct by ignoring facts https://t.co/Iskgf8ko1z</t>
  </si>
  <si>
    <t>@EliWaterman Thanks keep spreading the message. People will see my link thanks to you quoting me. I see you have no actual concern for the truth.</t>
  </si>
  <si>
    <t>@EliWaterman @EricGreitens https://t.co/nO7pjNOX3j
Kmov is super liberal. Sorry but your witch hunt is unraveling 
#stlouis</t>
  </si>
  <si>
    <t>@EliWaterman @EricGreitens Stl post and every other outlet in the state is saying it. Address the merits of what ACTUALLY HAPPENED. 
Somebody paid accusers lawyer 100 k anonymously and lawyer only mentions now. Yes, it’s a bogus charge. Some women do lie.
Not 2 mention “Victim” testimony is inconsistent</t>
  </si>
  <si>
    <t>@EliWaterman @EricGreitens Lol. Apparently you don’t know that this woman was also banging Chris Koster.... wonder why they didn’t run this story in 2016?
You are very naive. 
Not to mention the story I posted was from KC Star a liberal paper. The fact is somebody is paying these people to make this up</t>
  </si>
  <si>
    <t>Dummy, It’s from the super liberal Kansas City Star who hate @EricGreitens 
The fact is somebody paid the lawyer anonymously and he is just now disclosing this? 
Not to mention everybody in #Stlouis knows it’s a lie and that this women dated other politicians 
#MoLeg #greitens https://t.co/iFmXmQQ4q8</t>
  </si>
  <si>
    <t>@MCTothSTL @EricGreitens Dude your retweeting Larry sabato and Russian collusion nonsense. You didn’t vote for him. And the allegations are false</t>
  </si>
  <si>
    <t>@EliWaterman @EricGreitens It’s all unraveling 
https://t.co/SmMCp6c5B5
#MoLeg #MoGov #Greitens</t>
  </si>
  <si>
    <t>@EliWaterman @EricGreitens Read what’s in the news. Anonymous payments made to the the lawyer He didn’t disclose until now? Come on. Not to mention the story wasn’t believable to begin with</t>
  </si>
  <si>
    <t>RT @Rambobiggs: I don't care what some family with a crown overseas is doing from their castle. We have real problems like the FBI constant…</t>
  </si>
  <si>
    <t>RT @Rambobiggs: Almost all of my friends in Texas are out of work. Most are having to move back home to parents in other states. Half of th…</t>
  </si>
  <si>
    <t>RT @Rambobiggs: Oh no. Why only 8 months. Should be life 😂🤣. These people are insane https://t.co/bbHJMeTNOu</t>
  </si>
  <si>
    <t>RT @Rambobiggs: Laredo is a gold mine for reports on cartel activity, drugs and human smuggling. Yet no reporters ever go there  https://t.…</t>
  </si>
  <si>
    <t>RT @Rambobiggs: Besides taking jobs from American workers, illegal immigration creates huge economic burdens on our health care system, our…</t>
  </si>
  <si>
    <t>RT @Rambobiggs: The only real radicalism in our time will come as it always has—from people who insist on thinking for themselves and who r…</t>
  </si>
  <si>
    <t>RT @Rambobiggs: https://t.co/2BSrgI6mSv</t>
  </si>
  <si>
    <t>RT @Rambobiggs: Amazon wants access to your home and car. What’s next? Killing yourself and letting amazon live for you.</t>
  </si>
  <si>
    <t>RT @Rambobiggs: If we lose Texas. We will lose America. It is this countries last strong hold in the republic against the far left. Support…</t>
  </si>
  <si>
    <t>RT @PrisonPlanet: Trump low key trolls Macron every chance he gets. 😄 https://t.co/nKIqDRnmpD</t>
  </si>
  <si>
    <t>RT @GrrrGraphics: #DescribeTwitterBadly or honestly?  Big, Blue and looking at you ...
Throwback #BenGarrison #cartoon 
https://t.co/Oj98iI…</t>
  </si>
  <si>
    <t>@Sticknstones4 @Hope4Hopeless1 @SKOLBLUE1 @EricGreitens @POTUS @GovGreitensMO 👌🏻👌🏻</t>
  </si>
  <si>
    <t>@MCTothSTL @EricGreitens You never supported him anyway, liar</t>
  </si>
  <si>
    <t>@MCTothSTL @EricGreitens Not to mention your retweeting liberal garbage on your timeline. Sorry but it’s not our business and the allegations are made up</t>
  </si>
  <si>
    <t>@MCTothSTL @EricGreitens Lol you didn’t vote for him. Nobody cares if he had an affair and that’s between him and his wife. 
And yes the allegations are made up 
Do we fire people if they have an affair from their job? No. You didn’t vote for him if this is your argument</t>
  </si>
  <si>
    <t>RT @BryanLowry3: Some major news from @J_Hancock: Lawmakers issue subpoena to attorney in Greitens case to ask about anonymous $100,000 htt…</t>
  </si>
  <si>
    <t>RT @VisioDeiFromLA: @EricGreitens Stand strong @EricGreitens 
We know this is a witch hunt .
#moleg #MoGov #mosen
@Eric_Schmitt @Rep_TRi…</t>
  </si>
  <si>
    <t>@Ontheotherhand @jhadley5 @EricGreitens Neither are the accused then. By the way the allegations are made up</t>
  </si>
  <si>
    <t>@EliWaterman @EricGreitens Allegations are false</t>
  </si>
  <si>
    <t>RT @Hope4Hopeless1: @SKOLBLUE1 @EricGreitens .@POTUS .@GovGreitensMo
.@EricGreitens
#WeStandWithGovGreitens 
#Missourians SEE that there…</t>
  </si>
  <si>
    <t>RT @SKOLBLUE1: @EricGreitens Great job Governor Greitens! #greitens #moleg #mosen #riseup #westandwithgreitens #stl #respect</t>
  </si>
  <si>
    <t>@MCTothSTL @EricGreitens He’s innocent</t>
  </si>
  <si>
    <t>RT @EricGreitens: Great meeting with young people from across Missouri to talk about public service—a really positive and productive mornin…</t>
  </si>
  <si>
    <t>If I was investigating this #MoneyBagsAl thing, I would ask:
Has anybody related to lawyer, the woman or ex husband or tangentially related to this made:
Car purchases?
Large Purchases?
Paid off outstanding bills like loans? 
Or paid off tax bills?
#Moleg #Mogov #Greitens #stl https://t.co/RbXjjs16qZ</t>
  </si>
  <si>
    <t>RT @AP4Liberty: Another day, another Missouri Firearms manufacturer jumping on board the campaign thanks to Josh Hawley's gun control agend…</t>
  </si>
  <si>
    <t>RT @RealTravisCook: On today's radio show, the identities &amp;amp; motivations of those levelling accusations at #Missouri Governor #Greitens, as…</t>
  </si>
  <si>
    <t>RT @RealTravisCook: Today at 2:00 CST on https://t.co/LqVNagt9Kx we examine the #GreitensIndictment here in #Missouri. Or "What happens whe…</t>
  </si>
  <si>
    <t>RT @VisioDeiFromLA: Great commentary on the #GreitensIndictment 
Make sure to follow @RealTravisCook 
Then retweet 
Then listen to his p…</t>
  </si>
  <si>
    <t>RT @magathemaga1: @RealTravisCook #StLouis #Greitens #Missouri #MoneyBagsAl #KimShady #stl https://t.co/gfEjswuzHA</t>
  </si>
  <si>
    <t>RT @RealTravisCook: $100,000 to try and bring down a Governor...I'd be shocked if this isn't Soros money. #greitens #moleg https://t.co/h1J…</t>
  </si>
  <si>
    <t>RT @KCNewsGuy: An attorney for the ex-husband of a woman who had an extramarital affair with Missouri Gov. Eric Greitens has been issued a…</t>
  </si>
  <si>
    <t>RT @magathemaga1: ⚠️ URGENT ⚠️
#MoneyBagsAl Video Found!
On April 24th, 2018, hidden camera footage discovered wherein #MoneyBagsAl is ca…</t>
  </si>
  <si>
    <t>RT @magathemaga1: @KCNewsGuy We call him #MoneyBagsAl #MoLeg #KsLeg #mogov https://t.co/2T6MMF6VRj</t>
  </si>
  <si>
    <t>RT @RealOmarNavarro: My sources say over 70 percent of the voters in my district want you to take an IQ test. They also say you won’t win h…</t>
  </si>
  <si>
    <t>RT @ScottPresler: I Am So Proud of California:
Last night, we won 3 out of 3 cities, who are now against SB 54!
✔️Upland
✔️Yucaipa
✔️Simi…</t>
  </si>
  <si>
    <t>RT @OmaTalley1: GREAT AGAIN: GDP Smashes Expectations, HITS 15 Year HIGH https://t.co/g3HzBqEEMS</t>
  </si>
  <si>
    <t>RT @seanhannity: BOOM https://t.co/SjsoWwhSpq</t>
  </si>
  <si>
    <t>RT @charliekirk11: Liberals hate walls yet live in gated communities 
Liberals hate guns yet walk around with armed guards 
Liberals hate…</t>
  </si>
  <si>
    <t>RT @RealTravisCook: You wandered into the local Democratic campaign headquarters, didn't you? https://t.co/xnF06HsFxj</t>
  </si>
  <si>
    <t>Correct me if I am wrong, but didn’t you used to work for the circuit attorneys office? 
I’m curious how you are allowed to report on this case given you’re coverage has been 90 percent negative and you have a clear COI
Am I mistaken? @KMOV 
#MoLeg #Mogov #stlouis #greitens https://t.co/iU2XL3PDVS</t>
  </si>
  <si>
    <t>RT @EdBigCon: @politico This is also very weird...  https://t.co/6RuJrddD3y</t>
  </si>
  <si>
    <t>RT @TrumpChess: #YouAreWinningWhen the opposition "breaks the law" trying to remove or impeach a duly elected US President and MO Governor…</t>
  </si>
  <si>
    <t>@roosterteacher @TeamGreitens The whole thing should be thrown out because it shows political motivation. The email list thing makes it look like a witch hunt. He already paid a fine and now they are prosecuting him on it. Should have done it last year if they wanted us to believe it. Just more 2 witch hunt</t>
  </si>
  <si>
    <t>RT @Monetti4Senate: My honor to speak at Iron County Lincoln Days on my second stop of four today. So thankful for my grassroots team helpi…</t>
  </si>
  <si>
    <t>RT @VisioDeiFromLA: de·flec·tion
dəˈflekSH(ə)n
noun
“the action or process of deflecting or being deflected”
Did Scott Simpson get paid,…</t>
  </si>
  <si>
    <t>RT @DeplorableGoldn: RT-ING 🚨
Follow the money trail! Where did this cash come from?? From who? #MOLeg #MOSen #STL #Missouri #Followthemone…</t>
  </si>
  <si>
    <t>RT @magathemaga1: @J_Hancock Jason we have know this was a scam since day 1 given that everybody in #stlouis knows this woman has “dated” n…</t>
  </si>
  <si>
    <t>RT @magathemaga1: Now this is a good question!
#moleg #mogov #MOSEN https://t.co/jFPy9aH02O</t>
  </si>
  <si>
    <t>RT @magathemaga1: #moleg
Meet Al Watkins 
Better Known as #MoneyBagsAl
#mogov #mosen #stlouis #kimahady #stl #kcmo #greitensindictment #…</t>
  </si>
  <si>
    <t>RT @melody_grover: For those of you declaring KS credible, what is the standard? She has never been cross-examined, her testimony never com…</t>
  </si>
  <si>
    <t>RT @Monetti4Senate: When I become your next US Senator, I will vote for excellent candidates such as Mike Pompeo for Secretary of State. Wi…</t>
  </si>
  <si>
    <t>RT @Avenge_mypeople: #MoneyBagsAl received two mysterious $50,000 payments from a "political operative" to help oust Governor #Greitens  an…</t>
  </si>
  <si>
    <t>RT @Sticknstones4: Take Note📝 @HawleyMO 
Your name on the ballot isn’t a slam dunk 🏀
You lost your base when you threw @EricGreitens unde…</t>
  </si>
  <si>
    <t>@JW1057 @EricGreitens Hey @AP4Liberty @Monetti4Senate and @SykesforSenate 
You should call Bs on the #Ladderboy 
Not good lawyering! #MoSen</t>
  </si>
  <si>
    <t>@JW1057 @EricGreitens I may not be a lawyer but as an LEO I do know a thing or two. This is an easy call. Hawley is really showing him to be an incompetent lawyer if he expects people to believe his excuse. Both of them need to be taken off the case at this point 
#mogov #mosen #moleg #Ladderboy</t>
  </si>
  <si>
    <t>RT @YearOfZero: From a strictly legal POV, #Ladderboy has COI. Hence the requested RO. He’s running for political office and has a vested i…</t>
  </si>
  <si>
    <t>From a strictly legal POV, #Ladderboy has COI. Hence the requested RO. He’s running for political office and has a vested interest at this point in @EricGreitens not being in office. Hence disqualified. 
#KimShady is just crooked, and needs to be disbarred. 
#MoLeg #MoGov #stl https://t.co/8ICHbIpPbV</t>
  </si>
  <si>
    <t>From strictly legal POV, #Ladderboy has COI. Hence the requested RO. He’s running for political office and has a vested interest at this point in @EricGreitens not being in office. Hence disqualified. 
#KimShady is just crooked, and needs to be disbarred. 
#MoLeg #MoGov https://t.co/zSKc3LYkgQ</t>
  </si>
  <si>
    <t>@roosterteacher @TeamGreitens Typo misusing</t>
  </si>
  <si>
    <t>RT @Thomas1774Paine: Kanye West professes ‘love’ for Donald Trump, criticizes Obama https://t.co/PEEXkXga4W</t>
  </si>
  <si>
    <t>RT @RepStevenSmith: If you're a DEMOCRAT, you can "evolve" on things like Sen. Robert Byrd's KLAN MEMBERSHIP, Bill Clinton RAPING Juanita B…</t>
  </si>
  <si>
    <t>RT @jimlibertarian: Anabelle this is Trump country now and we will drill for oil wherever we damn well please, so keep filing your complain…</t>
  </si>
  <si>
    <t>RT @RubyRockstar333: Hungary Introduces 'Stop George Soros' Bill Effectively Forcing out the Billionaire’s Organization https://t.co/ezoA9W…</t>
  </si>
  <si>
    <t>RT @RealCandaceO: All I said was that I wanted black people to embrace a victor mentality and now the Left is out to assasinate my characte…</t>
  </si>
  <si>
    <t>RT @ScottPresler: THE CALIFORNIA REVOLUTION IS NOW! 
You all are heroes. I am so inspired by your bravery. 
#TuesdayThoughts https://t.co/…</t>
  </si>
  <si>
    <t>@ScottAdamsSays isn’t far right.
But even if he was, why Is that important? This is all about you demonizing Kanye for getting off the Democrat plantation https://t.co/RKEInLbNre</t>
  </si>
  <si>
    <t>RT @ByJimbob: @calebecarma Caleb, Rules for Radicals is an awesome book isn’t it? You’ve really taken on the approach here. 🍆</t>
  </si>
  <si>
    <t>RT @MagicMetalNinja: @calebecarma Obsolete liberal media drones with their "far right" script 😂😂😂😂 u have nothing to offer the internet</t>
  </si>
  <si>
    <t>RT @Stonewater20: @calebecarma Hey you must be new here... Scott Adams is middle of the road common sense. Get you some!</t>
  </si>
  <si>
    <t>RT @AGStover: @calebecarma Lay off of Caleb! He is  a "ｊｏｕｒｎａｌｉｓｔ" reporting the "ｎｅｗｓ". https://t.co/eHyRzUcDe8</t>
  </si>
  <si>
    <t>RT @wydon66: @calebecarma Hi Caleb. Just wondering if, in your world, it’s even possible for someone to be far left? Please show your work</t>
  </si>
  <si>
    <t>RT @jeffreyrcash: @calebecarma Like most of the left's tactics, the game of false labelling will eventually result in the left eating itsel…</t>
  </si>
  <si>
    <t>RT @RubinReport: Hi Caleb! You're an embarrassment to journalism! But allow me to give you a chance to redeem yourself! Can you list all th…</t>
  </si>
  <si>
    <t>RT @FLOTUS: Sending healing thoughts of strength, along with prayers, for President George HW Bush tonight.</t>
  </si>
  <si>
    <t>RT @RealJamesWoods: Let’s help this man... https://t.co/CpRmH5WNYl</t>
  </si>
  <si>
    <t>RT @RealCandaceO: I find it hilarious that the media thinks it can tell Kanye West, of all people, what he is allowed to think. Here’s a qu…</t>
  </si>
  <si>
    <t>RT @pollsofpolitics: Does @realDonaldTrump have your vote in ##2020election so far??
Vote and retweet to spread poll!! #TheResistance #Tru…</t>
  </si>
  <si>
    <t>RT @KurtSchlichter: Liberals hate America and always side with foreigners https://t.co/G66r3FWpf5</t>
  </si>
  <si>
    <t>RT @KurtSchlichter: Liberals lie and hate you https://t.co/nMT22rvCE2</t>
  </si>
  <si>
    <t>@StevenDialTV @EricGreitens @41actionnews Who dropped off the money to al Watkins? #moleg #mogov #Missouri https://t.co/Q0idPj31Zb</t>
  </si>
  <si>
    <t>RT @StevenDialTV: - @EricGreitens attorney want to disqualify St. Louis prosecutor from computer tampering case. 
-Mystery money: Who sent…</t>
  </si>
  <si>
    <t>@blackwidow07 @Sticknstones4 @joelcurrier The whole thing is corrupt sadly #moleg #stlouis</t>
  </si>
  <si>
    <t>RT @strmsptr: #GreitensIndictment Still standing with our Governor. Never surrender @EricGreitens</t>
  </si>
  <si>
    <t>RT @SpacePirate369: "Nationalism is bad, except when we do it, of course." https://t.co/HAHUnXuLah</t>
  </si>
  <si>
    <t>RT @SpacePirate369: &amp;gt;South Africa, Brazil, India are free
Gee, I wonder who could be behind this push to normalize South Africa style condi…</t>
  </si>
  <si>
    <t>RT @THEHermanCain: In case you missed it, here's yesterday's podcast!  We talk about the Democrats' lawsuit scam, the Iran nuclear "deal,"…</t>
  </si>
  <si>
    <t>RT @RealSaavedra: Racist Tom Arnold sexually harasses @RealCandaceO. https://t.co/sJbiAv9YHr</t>
  </si>
  <si>
    <t>RT @DVNJr: All politics is local. https://t.co/9wV8woQYqL</t>
  </si>
  <si>
    <t>RT @We_R_an0nym0us: #QAnon hashtag had 60 MILLION exposures yesterday!
Keep pushing #QAnon  followers!
We're making it rain.
#WWG1WGA 
#Gr…</t>
  </si>
  <si>
    <t>RT @YearOfZero: Those who are awake vs asleep
There are those who see matrix for what it is and realize allegations from women + her ex ar…</t>
  </si>
  <si>
    <t>@roosterteacher @TeamGreitens I would disagree. One is just an attack ad. The other is missing the justice system with false charges.  Quite different</t>
  </si>
  <si>
    <t>RT @YearOfZero: Ok.
So news about money bags Watkins guy is wild. So yeah, accusers were paid to make up this story against #Greitens 
An…</t>
  </si>
  <si>
    <t>RT @Sticknstones4: Good Morning #MoLeg aka witch hunters 
Have Any Bags💰 of Anonymous cash 💵 been dropped off at your offices ?
Amazing t…</t>
  </si>
  <si>
    <t>Ok.
So news about money bags Watkins guy is wild. So yeah, accusers were paid to make up this story against #Greitens 
Anybody with brain knew this. But I want to know, who was mysterious “courier”
Who was the “Ray Donovan” ?
We should begin 2 ask that
#moleg #mogov #stl https://t.co/T9tqm8EgQx</t>
  </si>
  <si>
    <t>RT @DeplorableGoldn: This is getting crazier by the min.  #moleg #mogov https://t.co/lfxfhLDJy6</t>
  </si>
  <si>
    <t>RT @YearOfZero: MONEY MAN Dropped Off $100,000 to STL ATTORNEY to Launch Greitens Witchhunt
Ex-husband confirmed the payment,  Greitens is…</t>
  </si>
  <si>
    <t>RT @DeplorableGoldn: Starting to make a lot more sense! #moleg #mogov #KimShady https://t.co/j8hm1ZteUU</t>
  </si>
  <si>
    <t>RT @Sticknstones4: Why would the chairman of the house investigative committee ignore this salacious information ? 
Did he get any random…</t>
  </si>
  <si>
    <t>RT @J_Hancock: Attorney of the ex-husband who first made the allegations against @EricGreitens public received two payments of $50,000 from…</t>
  </si>
  <si>
    <t>RT @Sticknstones4: @SykesforSenate @magathemaga1 I wonder too! #moleg can’t conduct a proper house committee investigation, make me think t…</t>
  </si>
  <si>
    <t>RT @DeplorableGoldn: Right!  #MoLeg https://t.co/qLHe9svXmh</t>
  </si>
  <si>
    <t>Those who are awake vs asleep
There are those who see matrix for what it is and realize allegations from women + her ex are absurd and totally made up, &amp;amp; there are those who aren’t red pilled and oblivious. Then there is you. You know it’s bull yet continue 2 lie
#MoLeg #mogov https://t.co/D6DDLTOM0O</t>
  </si>
  <si>
    <t>RT @Sticknstones4: This is Just Amazing 
2 Bags💰💰 of anonymous cash 💵💵 100K delivered by courier to Attorney Al Watkins office…</t>
  </si>
  <si>
    <t>RT @DeplorableGoldn: RT 🚨
This is Just Amazing 
2 Bags💰💰 of anonymous cash 💵💵 100K delivered by courier to Attorney Al Watkins office 
W…</t>
  </si>
  <si>
    <t>@roosterteacher @TeamGreitens Not even the same ballpark. One is a billboard the other is lying about a criminal accusation</t>
  </si>
  <si>
    <t>@Joop78CJ7 @TeamGreitens Uh dude somebody paid this lawyer to make up this story.</t>
  </si>
  <si>
    <t>RT @magathemaga1: @TeamGreitens #MoneyBagsAl and #KimShady https://t.co/TyFjNtdiKx</t>
  </si>
  <si>
    <t>RT @TeamGreitens: This is a political hit job.
https://t.co/wxf1SGJCcN</t>
  </si>
  <si>
    <t>RT @aaron_hedlund: If Tricky Tisaby has anything to do with our national security, we better all head for the bunkers! #mogov #moleg https:…</t>
  </si>
  <si>
    <t>RT @DeplorableGoldn: RT 🚨
MONEY MAN Dropped Off $100,000 to STL ATTORNEY to Launch Greitens Witchhunt
Ex-husband confirmed the payment,  G…</t>
  </si>
  <si>
    <t>RT @KyleKashuv: @JoeNBC Let things not be political. It's a beautiful photo, why can't you leave it at that? 
P.S. Would love to hear more…</t>
  </si>
  <si>
    <t>RT @vjeannek: @JoeNBC These Presidents allowed NoKo to nuke up. Trump is here to undo the damage. PS. Please stop singing.</t>
  </si>
  <si>
    <t>RT @RealJamesWoods: Defeat of ISIS, burdensome regulatory relief, border integrity, census integrity, denuclearization of the Korean Penins…</t>
  </si>
  <si>
    <t>RT @KurtSchlichter: Democrats do not believe you have a right to participate in your own governance.
Why would you ever believe that if yo…</t>
  </si>
  <si>
    <t>RT @KurtSchlichter: Liberals hate you and want you to die https://t.co/fg6LH4VLSI</t>
  </si>
  <si>
    <t>RT @CharlesHamerle: Here’s the thing: Americans aren’t “average citizens.” https://t.co/RQS8D4nAVE</t>
  </si>
  <si>
    <t>RT @benshapiro: Or alternatively, I could wait to tell my seven-year-old about controversial or scientifically baseless terminology until s…</t>
  </si>
  <si>
    <t>RT @KurtSchlichter: Liberals hate America and anyone who seeks to defend it https://t.co/abY9CyaIqj</t>
  </si>
  <si>
    <t>RT @KurtSchlichter: This is the kind of shit that happens when you let liberals take your guns away https://t.co/rPHHAoaQ1X</t>
  </si>
  <si>
    <t>RT @MrWalnut4_1: @jaredlholt It’s just an £800 fine after being dragged through court and media hellfire for 2 years. It’s just a hate crim…</t>
  </si>
  <si>
    <t>He got locked up for a joke. Are you insane? https://t.co/z0L4jnwSOi</t>
  </si>
  <si>
    <t>RT @charlescwcooke: Being hauled into court and fined for making jokes *is* “the big picture,” and that you think objecting to this is “rig…</t>
  </si>
  <si>
    <t>RT @WaffleWedgie: I'm a college student.
Pre-med.
Volunteer at a homeless shelter once a week.
I also own guns, including an AR-15, and wo…</t>
  </si>
  <si>
    <t>RT @KurtSchlichter: Liberals think they can somehow shun those who disagree with them and drive them out of society. They are starting a fi…</t>
  </si>
  <si>
    <t>Hey rob. The press is the enemy. And so is hollywood.
Cry some more https://t.co/3mLmYwIUKh</t>
  </si>
  <si>
    <t>Get out of your bubble. We love him. You just live in a bubble. https://t.co/5tHRiZYkhL</t>
  </si>
  <si>
    <t>RT @KyleKashuv: Thoughts and prayers aren't enough. I think it's time we ban cars. https://t.co/qYD8D2gVB2</t>
  </si>
  <si>
    <t>RT @GeorgeWept: @MaxBoot @PostOpinions I'm sorry, but there's no way I'm going to vote for Democrats, who don't share my values, just becau…</t>
  </si>
  <si>
    <t>RT @voxman77: @MaxBoot @PostOpinions Max finally letting the mask slip.  If dems win in November, do you think they will give your war with…</t>
  </si>
  <si>
    <t>RT @davealvord164: @MaxBoot @PostOpinions Why?
Republicans can be annoying.
But Democrats want me disarmed and dead.
https://t.co/E93GslpC…</t>
  </si>
  <si>
    <t>RT @instapundit: “Country over party” always seems to involve letting Democrats win. 🤔 https://t.co/mGLVcvI2yM</t>
  </si>
  <si>
    <t>RT @KurtSchlichter: Here is my new @Townhallcom column where I share major feelings...
https://t.co/aYh2S7h33K</t>
  </si>
  <si>
    <t>RT @mflynnJR: American Patriot @GenFlynn did not lie to Pence (or anyone else in the admin) about his perfectly legal and appropriate conve…</t>
  </si>
  <si>
    <t>RT @aaron_hedlund: This is aging better and better by the minute. ""What I can tell you we have received, in fact actively solicited...as m…</t>
  </si>
  <si>
    <t>RT @BryanLowry3: Attorney of ex-husband in Greitens case received $100,000 from unknown source via @JoeBReporter https://t.co/mNphFA2m4D #m…</t>
  </si>
  <si>
    <t>RT @DeplorableGoldn: Sh!t just got real! 
⚠️ Text Message Alert ⚠️
💣BREAKING: Eric Greitens’ alleged mistress, along with her ex-husband,…</t>
  </si>
  <si>
    <t>RT @RealJamesWoods: “Second grade class..” We don’t find it confusing. We find it utterly repugnant. https://t.co/8zjeXlQDeW</t>
  </si>
  <si>
    <t>RT @RealCandaceO: 500 million dollars of tax payer dollars go to slaughtering 800 black babies per a day. 
Not a SINGLE WORD from Black Liv…</t>
  </si>
  <si>
    <t>MONEY MAN Dropped Off $100,000 to STL ATTORNEY to Launch Greitens Witchhunt
Ex-husband confirmed the payment,  Greitens is accused of taking a photo without consent to cover up an affair.. The investigators never found a photo. Dems play dirty #moleg 
https://t.co/9OtDCoYWj1</t>
  </si>
  <si>
    <t>RT @YearOfZero: What??? #MoLeg #Mogov #Greitens https://t.co/lR2WdYBVG3</t>
  </si>
  <si>
    <t>RT @Avenge_mypeople: @mursemichaelrn @ChrisDavisMMJ That's what has made me suspect of the judge. He's allowed all manner of mischief and d…</t>
  </si>
  <si>
    <t>RT @mursemichaelrn: @Avenge_mypeople @ChrisDavisMMJ They should get angry that someone tried to commit such a bold miscarriage of justice i…</t>
  </si>
  <si>
    <t>RT @ChrisDavisMMJ: ALSO BREAKING: Judge rules that Al Watkins MAY NOT represent William Tisaby, citing a conflict of interest that he also…</t>
  </si>
  <si>
    <t>RT @ChrisDavisMMJ: BREAKING: Eric Greitens’ alleged mistress, along with her ex-husband, have been ordered by the judge to have their phone…</t>
  </si>
  <si>
    <t>What??? #MoLeg #Mogov #Greitens https://t.co/lR2WdYBVG3</t>
  </si>
  <si>
    <t>RT @BretEastonEllis: Kanye on Twitter this week has been the most exciting thing happening in this cultural moment: an example for everyone…</t>
  </si>
  <si>
    <t>RT @ScottAdamsSays: Best day ever. 😅 https://t.co/GxxLCnRYhy</t>
  </si>
  <si>
    <t>RT @MoScarlet: Did @HawleyMO not know Watkins is a high level crooked left lobbyist? Did he not have judgement enough to not involve himsel…</t>
  </si>
  <si>
    <t>@christoferguson It was indeed a stupid story</t>
  </si>
  <si>
    <t>RT @DeplorableGoldn: RT🚨
Soros-backed prosecutor Kim Gardner’s handpicked private investigator repeatedly lied under oath &amp;amp; withheld eviden…</t>
  </si>
  <si>
    <t>RT @DeplorableGoldn: RT-ING 🚨
You're not getting an #Emmy for this #FakeNews story! Will you go back to work in Kim Gardner's office if KMO…</t>
  </si>
  <si>
    <t>This is my guess.
Who is the Ray Donovan of #Missouri?
Or thinks he or she is Ray Donovan?
#Moleg #MoGov #greitens https://t.co/jAlny01qxa</t>
  </si>
  <si>
    <t>RT @TrumpChess: @ws_missouri He will stand and fight against the deep state and dishonest media just like @POTUS @GovGreitensMO #WitchHunt…</t>
  </si>
  <si>
    <t>RT @RealTravisCook: Same here--i'm a Missouri citizen (and voter), and I, too, am distressed about this #WitchHunt against the Governor wit…</t>
  </si>
  <si>
    <t>RT @SKOLBLUE1: Follow the money trail! Where did this cash come from?? From who? #MOLeg #MOSen #STL #Missouri #kimshady @stlcao @EricGreite…</t>
  </si>
  <si>
    <t>RT @Avenge_mypeople: The same people who payed Al Watkins, no doubt. It's a twisted web of money and deceit to unseat @EricGreitens 
#mole…</t>
  </si>
  <si>
    <t>RT @VisioDeiFromLA: Al Watkins paid 100k cash?
Is that how consensual affair got weaponized into absurd allegations against #Greitens ?…</t>
  </si>
  <si>
    <t>RT @Avenge_mypeople: "A #moleg investigation found credible." Ha ha ha. No cross examination, one sided and began trying to find ways to fi…</t>
  </si>
  <si>
    <t>RT @JW1057: Who is paying Katrina "Kitty" Sneed's attorney, Scott Simpson?
#moleg #mogov #greitens #KimShady #IStandWithGreitens</t>
  </si>
  <si>
    <t>RT @magathemaga1: At 2pm hearing, #Greitens lawyer Martin said Al Watkins, who is representing ex of the woman with whom Greitens had affai…</t>
  </si>
  <si>
    <t>RT @JoeBReporter: Today's Greiten's dispatch: Attorney of ex-husband in Greitens case received $100,000 from unknown source #GreitensIndict…</t>
  </si>
  <si>
    <t>RT @JW1057: Mr. Albert Watkins, I understand you received two cash payments each in the amount of $50k. Did you remember to file Form 8300?…</t>
  </si>
  <si>
    <t>RT @Hope4Hopeless1: Great! Gov @EricGreitens LEGAL TEAM are being allowed the opportunity to FOLLOW SOME OF $$$ that's going to these two F…</t>
  </si>
  <si>
    <t>RT @magathemaga1: Good evening #MoLeg except @RonFRichard &amp;amp; @robschaaf 
It appears #KimShady and #MoneyBagsAl have some explaining to do!…</t>
  </si>
  <si>
    <t>@SykesforSenate Thanks for standing strong in this courtland. I think many of us just wanted a fair trial but we suspects this all along</t>
  </si>
  <si>
    <t>RT @SykesforSenate: I wonder if the money was laundered through #MoLeg Republican party leadership... https://t.co/uwutOy1VMa</t>
  </si>
  <si>
    <t>RT @VisioDeiFromLA: @jbw3477 @Sticknstones4 He had an affair 3 years before this. That isnt grounds for impeachment not does it justify the…</t>
  </si>
  <si>
    <t>RT @VisioDeiFromLA: ⚠️ Text Message Alert ⚠️
BREAKING: Eric Greitens’ alleged mistress, along with her ex-husband, have been ordered by th…</t>
  </si>
  <si>
    <t>RT @VisioDeiFromLA: ⚠️ #NoNotesTisaby alert ⚠️
ALSO BREAKING: Judge rules that Al Watkins MAY NOT represent William Tisaby, citing a confl…</t>
  </si>
  <si>
    <t>RT @aaron_hedlund: Confirmed: Al Watkins is a con artist. #mogov #moleg https://t.co/yefMNjiyaj</t>
  </si>
  <si>
    <t>RT @VisioDeiFromLA: After hearing, Al Watkins said 2 anonymous $50k cash payments arrived at his Clayton firm by courier in January w/ no i…</t>
  </si>
  <si>
    <t>RT @VisioDeiFromLA: At 2pm hearing, Greitens' lawyer Jim Martin said Al Watkins, who is representing the ex of the woman with whom Greitens…</t>
  </si>
  <si>
    <t>RT @VisioDeiFromLA: @ws_missouri #moleg https://t.co/GAv6gDMeHF</t>
  </si>
  <si>
    <t>RT @VisioDeiFromLA: Paging:
@Rep_TRichardson 
@RonFRichard 
@elijahhaahr 
@EricGreitens 
@Eric_Schmitt 
@MOHouseGOP 
#moleg #mogov #MOSEN…</t>
  </si>
  <si>
    <t>RT @YearOfZero: A clown interviewing another clown.
#MoLeg #MoGov #MoSen https://t.co/45e4V8x17e</t>
  </si>
  <si>
    <t>RT @joelcurrier: After hearing, lawyer Al Watkins said two anonymous $50k cash payments arrived at his Clayton firm by courier in January w…</t>
  </si>
  <si>
    <t>RT @YearOfZero: Greitens innocent until proven guilty. Aren’t we glad U lost UR race as u don’t understand law?
Second, burns. If he resig…</t>
  </si>
  <si>
    <t>RT @aaron_hedlund: From his own website: "Albert S. Watkins...is, quite candidly, beyond description." I disagree. Let me try: blowhard, gr…</t>
  </si>
  <si>
    <t>Greitens innocent until proven guilty. Aren’t we glad U lost UR race as u don’t understand law?
Second, burns. If he resigns you need to quit being a girl &amp;amp; call on Bruce Franks JR to resign for  anti cop behavior
Don’t be a hypocrite 
@EricGreitens should not resign
#MoLeg https://t.co/cbSXZim6VK</t>
  </si>
  <si>
    <t>RT @DeplorableGoldn: RT 🚨
The only bondage going on is  the holding of the passed bills
@RonFRichard is a sadist legislator 
He should st…</t>
  </si>
  <si>
    <t>RT @TomJEstes: @EnglishTeach75 @MomsDemand Trying to make sure every Missourian has the gun rights afforded them by the Constitution. This…</t>
  </si>
  <si>
    <t>RT @VisioDeiFromLA: @Glic @Beganovic_85 @JW1057 @rxpatrick Another 1 of those #ParsonBots doing Putin's bidding by not supporting due proce…</t>
  </si>
  <si>
    <t>RT @VisioDeiFromLA: #moleg
What's Next?
I see how the Pro Parson Pro Liberal media is trying to plot chess pieces in witch hunt now KS/PS…</t>
  </si>
  <si>
    <t>RT @realDonaldTrump: Kim Strassel of the WSJ just said, after reviewing the dumb Comey Memos, “you got to ask, what was the purpose of the…</t>
  </si>
  <si>
    <t>RT @Peoples_Pundit: Poll: Voter Distrust of Political News Sets New Record - https://t.co/9V0cA4N1s9</t>
  </si>
  <si>
    <t>RT @Trader_Moe: 67% of Republicans and 58% of independents say “No” when asked whether they “trust the political news you are getting?” htt…</t>
  </si>
  <si>
    <t>RT @kanyewest: new ideas will no longer be condemned by the masses. We are on the frontier of massive change. Starting from breaking out of…</t>
  </si>
  <si>
    <t>A clown interviewing another clown.
#MoLeg #MoGov #MoSen https://t.co/45e4V8x17e</t>
  </si>
  <si>
    <t>RT @IngrahamAngle: This guy represents a CLIENT (and himself) and yet the press treats him like a pundit or political strategist. https://t…</t>
  </si>
  <si>
    <t>RT @PrisonPlanet: Whatever you think of @kanyewest - he isn't controlled by anyone and that's what terrifies them.
SHARE: https://t.co/R2V…</t>
  </si>
  <si>
    <t>RT @kanyewest: the blinders are off</t>
  </si>
  <si>
    <t>@kanyewest Love this</t>
  </si>
  <si>
    <t>RT @kanyewest: https://t.co/0u9NnvAQ17</t>
  </si>
  <si>
    <t>RT @kanyewest: there was a time when slavery was the trend and apparently that time is still upon us. But now it's a mentality.</t>
  </si>
  <si>
    <t>RT @kanyewest: The thought police want to suppress freedom of thought</t>
  </si>
  <si>
    <t>RT @JackPosobiec: Liberal blue check twitter is triggered beyond belief that Kanye would dare tweet out videos of Dilbert creator Scott Ada…</t>
  </si>
  <si>
    <t>RT @Trader_Moe: Emerson is playing games with their polls. https://t.co/JtWT4ex0HP</t>
  </si>
  <si>
    <t>RT @kanyewest: Constantly bringing up the past keeps you stuck there</t>
  </si>
  <si>
    <t>RT @therealroseanne: I want to call @kanyewest</t>
  </si>
  <si>
    <t>@jayfeely Why are you apologizing</t>
  </si>
  <si>
    <t>RT @HotPokerPrinces: @RonFRichard 
Stop playing political games with the lives of Missouri voters
We did not elect you to play, we electe…</t>
  </si>
  <si>
    <t>RT @KyleKashuv: The FBI knew about the Pulse Nightclub shooter that killed 49 people, sat idly by. 
The FBI knew about the Parkland shoote…</t>
  </si>
  <si>
    <t>RT @kanyewest: we have freedom of speech but not freedom of thought</t>
  </si>
  <si>
    <t>RT @kanyewest: https://t.co/mxlrb7rBFe</t>
  </si>
  <si>
    <t>RT @realDonaldTrump: Hard to believe Obstructionists May vote against Mike Pompeo for Secretary of State. The Dems will not approve hundred…</t>
  </si>
  <si>
    <t>RT @JackPosobiec: Donald Trump is President 
Kanye is tweeting Dilbert videos 
Roseanne has the top show on TV
And it's only April</t>
  </si>
  <si>
    <t>RT @TrumpChess: @magathemaga1 @RonFRichard @EricGreitens @Rep_TRichardson @Eric_Schmitt @Hope4Hopeless1 @SKOLBLUE1 @philip_saulter @ohsynes…</t>
  </si>
  <si>
    <t>RT @TrumpChess: @mflynnJR @GenFlynn I remember when millionaire claire lied about meeting Russian Amb Kislyak only to have a picture surfac…</t>
  </si>
  <si>
    <t>RT @JW1057: @ChillOutWorld @KMOXKilleen Judge Burlison, it is way past time to dismiss this persecution. Do the right thing and dismiss the…</t>
  </si>
  <si>
    <t>RT @JW1057: @KMOXKilleen Judge Burlison, it is way past time to dismiss this persecution. Do the right thing and dismiss the case; it is di…</t>
  </si>
  <si>
    <t>RT @VisioDeiFromLA: This entire #GreitensIndictment is a joke.
How any of you on #moleg take it seriously shows your complete hatred for @…</t>
  </si>
  <si>
    <t>RT @Sticknstones4: What about the gag order
Why is Watkins talking 
W I T C H  H U N T 
#moleg #liars #lies #deceit #gagorder #mogov
#gr…</t>
  </si>
  <si>
    <t>RT @EdBigCon: You got to be kidding me! #Moleg https://t.co/H1HhJRhDZa</t>
  </si>
  <si>
    <t>RT @EdBigCon: @LaurenTrager @Sticknstones4 @EricGreitens @KMOV You're not getting an #Emmy for this #FakeNews story! Will you go back to wo…</t>
  </si>
  <si>
    <t>RT @magathemaga1: We should also ask why you are allowed to cover this case given your complete conflict of interest as you used 2 work at…</t>
  </si>
  <si>
    <t>RT @Sticknstones4: @ScottCharton The only bondage going on is  the holding of the passed bills
@RonFRichard is a sadist legislator 
He sh…</t>
  </si>
  <si>
    <t>RT @JW1057: Good news! St. Louis Taxpayers, it appears you are paying Al Watkins to continue this farce. 
#moleg #mogov #greitens #KimShad…</t>
  </si>
  <si>
    <t>RT @magathemaga1: 🚨 Attack on Missouri! 🚨 
@RonFRichard decided he would rather be petty &amp;amp; attack Missouri voters than work with @EricGrei…</t>
  </si>
  <si>
    <t>RT @melody_grover: @JaneDueker overworking herself peddling conspiracies. What she calls dark money I call donor privacy &amp;amp; 1st amendment. N…</t>
  </si>
  <si>
    <t>RT @JW1057: KS testified in deposition she was nude on FaceTime with EG. KS testified to House she never allowed nudes of her. KS went so f…</t>
  </si>
  <si>
    <t>RT @JW1057: Who is more sanctimonious (i.e. a bigger jackass)? 
@EdBigCon @Sticknstones4 @CStamper_ @Joe_Cool_1 @HawleyMO @JamesComeyFBI @…</t>
  </si>
  <si>
    <t>RT @VisioDeiFromLA: It’s not a witch hunt
It’s not a witch hunt
It’s not a witch hunt
It’s not a witch hunt
It’s not a witch hunt
It’s not…</t>
  </si>
  <si>
    <t>RT @ShowboatBob: #BobsTrumpTrain
@ShowboatBob
@coolin_jj
@CNS15141
@longtooth6570
@DKBAdams
@Monabeee
@Kiko_han
@KrissyKAG
@PeningtonShawn…</t>
  </si>
  <si>
    <t>@melody_grover @HawleyMO @JaneDueker Bingo</t>
  </si>
  <si>
    <t>RT @Sticknstones4: This sums up the 2nd stupid last minute down to the wire 
Bs Charge against greitens https://t.co/VxPF1st7vN</t>
  </si>
  <si>
    <t>RT @1776Stonewall: I had responded to one of @realDonaldTrump tweets last night, and of course the liberal trolls hang out there, ready to…</t>
  </si>
  <si>
    <t>RT @PoliticalShort: Not to mention the 5 eyes Intel that didn’t exist but was used as the basis to open up a CI on Trump camp via Papadopou…</t>
  </si>
  <si>
    <t>@magathemaga1 @RonFRichard @EricGreitens @Rep_TRichardson @Eric_Schmitt @MOHouseGOP @JohnLamping @MissouriGOP @Lautergeist @SKOLBLUE1 @elijahhaahr @RightSideUp313 @MSTLGA What a scumbag</t>
  </si>
  <si>
    <t>RT @JW1057: @Vets4AP @Rep_TRichardson @RonFRichard don't give a damn about the people of MO. They are two overgrown little babies throwing…</t>
  </si>
  <si>
    <t>RT @Norasmith1000: @J_Hancock @EricGreitens So how is that called working for the people of MO? So basically, #moleg distracting each other…</t>
  </si>
  <si>
    <t>RT @Education4Libs: Mueller’s witch hunt needs to end.
The Russians aren't the threat, the Dems are.
The Russians aren't attacking our Co…</t>
  </si>
  <si>
    <t>RT @realDonaldTrump: A complete Witch Hunt!</t>
  </si>
  <si>
    <t>RT @phil200269: @chucktodd @Marcshort45 Does it hurt America's perception of reality when fake news spends all their time on Russian fairy…</t>
  </si>
  <si>
    <t>RT @phil200269: @chucktodd @Marcshort45 Can you change the name of your show to 'Chuckles The Clown Does Fake News'?
It would be more appr…</t>
  </si>
  <si>
    <t>RT @CarmineZozzora: @chucktodd @Marcshort45 Hey @chucktodd, what about reporting on how many 1000s of times you fake news pimps and propaga…</t>
  </si>
  <si>
    <t>RT @RealJamesWoods: Well, of course it does, Chuckles. That was the intention of this bogus charade in the first place, wasn’t it? https://…</t>
  </si>
  <si>
    <t>RT @VisioDeiFromLA: Good morning. I agree hate speech is bad. So, are we also going to ask Bruce Franks JR to resign for his hateful langua…</t>
  </si>
  <si>
    <t>RT @VisioDeiFromLA: See your up early this Sunday for your Greitens bashing
Curious. How can U steal a public list? And how would TMC not…</t>
  </si>
  <si>
    <t>RT @Avenge_mypeople: Can confirm.
#moleg 
#mosen https://t.co/b8v31EfQ71</t>
  </si>
  <si>
    <t>RT @VisioDeiFromLA: Jane thinks #Missouri and #MoLeg is dumb
BS charges about woman who clearly had consensual fling with @EricGreitens &amp;amp;…</t>
  </si>
  <si>
    <t>RT @VisioDeiFromLA: @JenEnnenbach @Sticknstones4 @EricGreitens Putin thanks you @JenEnnenbach 
Never knew #parsonbots would get in league…</t>
  </si>
  <si>
    <t>RT @VisioDeiFromLA: For a "politico" you sure dont understand the law.
Greitens doesn't have to prove anything. Hes innocent. 
Until prov…</t>
  </si>
  <si>
    <t>RT @VisioDeiFromLA: And how would you know? 
Trying to scare @SheenaGreitens to get @EricGreitens to drop out so Kinder would win qualifie…</t>
  </si>
  <si>
    <t>RT @melody_grover: The facts: #mogov built PERSONAL relationships with ppl he convinced to donate to an award-winning charity HE FOUNDED &amp;amp;…</t>
  </si>
  <si>
    <t>RT @magathemaga1: @Jay_Nelson2020 Of course he would.
He hates #Missouri 
@Rep_TRichardson 
@Eric_Schmitt 
@elijahhaahr 
@MissouriGOP 
@M…</t>
  </si>
  <si>
    <t>RT @SpeakerTimJones: It’s Sunday, so get ready for “The Tim Jones Show!” 7-9p CDT @971FMTalk TONIGHT we speak with: Lt. Col. @T_S_P_O_O_K_Y…</t>
  </si>
  <si>
    <t>RT @Sticknstones4: Why he do that?   Who does it really hurt ?
The people of Missouri 
Missouri Your elected #moleg spites it’s voters in…</t>
  </si>
  <si>
    <t>RT @memoriadei: You are so right @wsfireballoon that #gop #moleg dont like an outsider. Their walk of shame.  Stand your ground Gov #Greite…</t>
  </si>
  <si>
    <t>RT @VisioDeiFromLA: Good catch Ashley.
@EricGreitens is keeping busy being governor despite all those #ParsonBots saying he isn’t keeping…</t>
  </si>
  <si>
    <t>@NBCNews This is why we hate the media. Never had fancy charts for obama!</t>
  </si>
  <si>
    <t>RT @ScottAdamsSays: Those Trump properties sound amazing! Can I get a brochure from @NBCNews or do they just do Trump's online marketing? h…</t>
  </si>
  <si>
    <t>@RealTravisCook @chrishargas Bring back ATTITUDE!</t>
  </si>
  <si>
    <t>RT @mrkick316: Good Sunday morning to you dear friends #stlouis #global_family . That calling in your soul is… https://t.co/AfXdq2n3L4</t>
  </si>
  <si>
    <t>RT @sigg20: “Old Days”Babe Ruth sits between the Dean Brothers,Dizzy and Paul/Daffy before a mid 30's game.#mlb #STLCards  #STLouis #Yankee…</t>
  </si>
  <si>
    <t>RT @RealTravisCook: Is there anybody running for County Exec not named "Stenger" or "Montavonni"?  Watching campaign commercials from both…</t>
  </si>
  <si>
    <t>RT @Str8DonLemon: Good morning #MoLeg
We've had differences over last few months, &amp;amp; we debated issues heavily, but figured today, it being…</t>
  </si>
  <si>
    <t>RT @Norasmith1000: @YearOfZero @RoyBluntMO @EricGreitens Exactly right! Roy Blunt respects MO voters, #moleg should do the same. Glad he be…</t>
  </si>
  <si>
    <t>RT @Str8DonLemon: @LanceWhitney6 @wrap02 Please also ask for Bruce Frank's and nadal to step down
Check out @Str8DonLemon’s Tweet: https:/…</t>
  </si>
  <si>
    <t>RT @magathemaga1: @Jay_Nelson2020 @sarahfelts Hi jay, please support me in also asking for Bruce Franks resignation for his cop hating comm…</t>
  </si>
  <si>
    <t>RT @Str8DonLemon: Trump knows dangers of jumping to conclusions and removing somebody's due process as well as jumping to conclusions!
As…</t>
  </si>
  <si>
    <t>RT @magathemaga1: @tvisgreat @Sticknstones4 @EricGreitens Things can change pretty quickly there bud. And response bias is very real. 
Peo…</t>
  </si>
  <si>
    <t>RT @Str8DonLemon: I agree.
But I would also like to know why @brucefranksjr still job at #MoLeg given past comments about police. And also…</t>
  </si>
  <si>
    <t>RT @KurtEricksonPD: In Texas County embattled @EricGreitens gets a warm reception at Gop event tonight #moleg https://t.co/cuchLxFbKX</t>
  </si>
  <si>
    <t>RT @YearOfZero: Or maybe @RoyBluntMO doesn’t want to attack Missouri voters like you have been doing for the last 3 months?
The case is in…</t>
  </si>
  <si>
    <t>Or maybe @RoyBluntMO doesn’t want to attack Missouri voters like you have been doing for the last 3 months?
The case is in 3 weeks. If he’s guilty, he will be thrown out. If not, he stays.
But in the meantime, he is still governor and should not resign.
@EricGreitens #moleg https://t.co/kgMdt9ZCKh</t>
  </si>
  <si>
    <t>RT @Str8DonLemon: @PHMcConnell @LydaKrewson @MOHouseDems @BobRomanik Bruce franks-anti cop 
Nadal threats against potus 
Bob guy - called i…</t>
  </si>
  <si>
    <t>@GreekSTL @icxlaw @scottfaughn Not trying 2 be rude, but what’s 3 weeks? Case won’t be that long and if guilty throw him out and there will be no down ballot concerns for gop since election far off. #MoLeg 
I’m curios. What’s the rush? He said he’s innocent. Well give him his day, and if guilty, ok</t>
  </si>
  <si>
    <t>@GreekSTL @icxlaw @scottfaughn do you think your superior to the people of #Missouri  if you think they don’t get opportunity to make sure their choice for governor isn’t unfairly railroaded? If I voted for him, &amp;amp; want to see that he has a fair shot 2 prove his side, isn’t depriving him of it stealing from me?</t>
  </si>
  <si>
    <t>@GailBeatty what is your response?</t>
  </si>
  <si>
    <t>RT @JW1057: @ksdknews Do your damn jobs @Rep_TRichardson @RonFRichard and let @EricGreitens do his job. If you are unable or unwilling to d…</t>
  </si>
  <si>
    <t>RT @Str8DonLemon: @SuchHate @HotPokerPrinces @GailBeatty Yup.
#MoLeg dems need to ask him to step down
Where are you @clairecmc ?
Where…</t>
  </si>
  <si>
    <t>@GreekSTL @icxlaw @scottfaughn Court trial coming up. What is rush @scottfaughn — might I remind you, as an LEO myself, we all get our day in court &amp;amp; we shouldn’t have our lives ruined over something until we have our day. 
Case is coming soon. If guilty, throw him out. Until then, wait. Not that far away.</t>
  </si>
  <si>
    <t>RT @YearOfZero: @robschaaf should ask U why U referred 2 this as affair, then called it rape, then went back 2 calling it affair
U been bl…</t>
  </si>
  <si>
    <t>@Gray__Dreams Bingo</t>
  </si>
  <si>
    <t>RT @Gray__Dreams: Robert O'Rourke (Marxist TX-16) never went by "Beto" before he started running for Senate. This is to trick people into b…</t>
  </si>
  <si>
    <t>@robschaaf should ask U why U referred 2 this as affair, then called it rape, then went back 2 calling it affair
U been blabbing on #MoLeg contradicting yourself 4 a while. Guess U knew story was made up... 
Not a good liar! Sad!
Do not resign @EricGreitens 
#MoLeg #Mogov https://t.co/I5xOIaKcTr</t>
  </si>
  <si>
    <t>RT @sigi_hill: @ABC Wow ABC your are really going out of your way to report in length about this enormous progress that only  @realDonaldTr…</t>
  </si>
  <si>
    <t>RT @ABC: North Korea suspends nuclear program ahead of much-anticipated talks. https://t.co/EeR0EsV1qu https://t.co/bZN3yGeXDR</t>
  </si>
  <si>
    <t>RT @magathemaga1: 1st charge with this KS woman falling apart... FAKE
Soros buying races as he did with #kimshady
Timing of new one suspe…</t>
  </si>
  <si>
    <t>RT @magathemaga1: This @GailBeatty @clairecmc 
Is why Bruce Franks JR MUST RESIGN ASAP
DO YOU SUPPORT THE POLICE OR DONT YOU?
As long as…</t>
  </si>
  <si>
    <t>RT @HotPokerPrinces: @Jay_Nelson2020 @PresReed This is called Jamilah Nasheed wants Lewis reeds job 
It’s canibal day at @MOLegDems 
Have B…</t>
  </si>
  <si>
    <t>RT @SorosInSTL: I agree racism is bad.
We should also call on Nadal to resign for her threats against POTUS and Bruce Frank's Jr for his d…</t>
  </si>
  <si>
    <t>RT @SorosInSTL: So why hasn't Bruce Frank's Jr Resigned for his disgusting comments against the police and why hasn't Nadal resigned for he…</t>
  </si>
  <si>
    <t>RT @Str8DonLemon: Cuz first charge from that washed up DJ ex husband fell apart - and was fake.
They are just throwing stuff against the w…</t>
  </si>
  <si>
    <t>RT @magathemaga1: @showmeblues @nicolergalloway @brucefranksjr @Torcho @splcenter @ACLU @LydaKrewson @stltoday @RiverfrontTimes We must not…</t>
  </si>
  <si>
    <t>RT @Sticknstones4: @nicolergalloway Bruce franks Jr
jamilah Nasheed
Should resign too</t>
  </si>
  <si>
    <t>RT @magathemaga1: @nicolergalloway We must not have double standard please join my call to have Bruce Franks JR also resign 
https://t.co/…</t>
  </si>
  <si>
    <t>RT @Sticknstones4: Missourians know it’s a witch hunt
They love the governor @EricGreitens 
#moleg #noresign #teamgreitens #greitens http…</t>
  </si>
  <si>
    <t>RT @Monetti4Senate: Roger that. Our Governor has earned the right to Due Process. Shame on those that seek to deny him his constitutional r…</t>
  </si>
  <si>
    <t>RT @YearOfZero: @Bobdistrict93 called into a radio show of a guy who is a pos? But did he say anything bad? Need confirmation. 
If he goes…</t>
  </si>
  <si>
    <t>RT @YearOfZero: If he said something bad, I agree. I’m awaiting for that confirmation. However Bruce Franks JR and Nadal should also resign…</t>
  </si>
  <si>
    <t>@Bobdistrict93 called into a radio show of a guy who is a pos? But did he say anything bad? Need confirmation. 
If he goes we must also ask Bruce Franks JR to step down for his pro cop killing language and Nadal for her threats against POTUS! 
#moleg #BLM #ExpectUs #MoGov https://t.co/GRsTOEz9Gf</t>
  </si>
  <si>
    <t>If he said something bad, I agree. I’m awaiting for that confirmation. However Bruce Franks JR and Nadal should also resign for their anti cop language as well as Nadal threatening the president.
Where’s the statement @MOLegDems ???
#MoLeg #MoGov #stlouis #missouri https://t.co/I20DDzumS1</t>
  </si>
  <si>
    <t>RT @Sticknstones4: @JenEnnenbach We’ll just agree to disagree, i think greitens is doing a great job draining the swamp.  He intimidates th…</t>
  </si>
  <si>
    <t>Or maybe Candace is a good person and you can talk to people who have different views? What’s wrong with you? https://t.co/MVwfM7IVLb</t>
  </si>
  <si>
    <t>RT @RealCandaceO: I’m freaking out. @kanyewest ....please take a meeting with me. I tell every single person that everything that I have be…</t>
  </si>
  <si>
    <t>RT @kanyewest: I love the way Candace Owens thinks</t>
  </si>
  <si>
    <t>RT @magathemaga1: EXACTLY! 
Calling on Bruce Frank's Jr 2 resign position immediately from #MoLeg @GailBeatty
"...Franks rapped about sho…</t>
  </si>
  <si>
    <t>RT @YearOfZero: As a LEO myself, would like to know why @brucefranksjr still job at #MoLeg given past comments about police.
I see U R dem…</t>
  </si>
  <si>
    <t>RT @Str8DonLemon: @WegeSusanne @VisioDeiFromLA @GailBeatty @clairecmc @ws_missouri @EdBigCon @philip_saulter @Sticknstones4 @MOHouseGOP @Re…</t>
  </si>
  <si>
    <t>As a LEO myself, would like to know why @brucefranksjr still job at #MoLeg given past comments about police.
I see U R demanding that other guy resign for bad comments. Well if he did say some nasty things, ok. But we have to not have double standards. @GailBeatty bruce must go! https://t.co/WeP5iPtAw9</t>
  </si>
  <si>
    <t>Just because you are a professor that does not confer intelligence given how many morons exist in academia today.
Did he also say trump would lose? 
#MoLeg #MoGov https://t.co/iGuYVndXTC</t>
  </si>
  <si>
    <t>RT @VisioDeiFromLA: @CherieJeffCity @brucefranksjr Yes. Right here 
https://t.co/oRZxghjJkz
#MoLeg #MoGov #AntiCop
#StLouis</t>
  </si>
  <si>
    <t>RT @magathemaga1: I am also asking that @brucefranksjr resign his position for grotesque comments about dismembering bodies &amp;amp; anti police b…</t>
  </si>
  <si>
    <t>RT @magathemaga1: @jeremycady @brucefranksjr Here https://t.co/37YYwjLgbI
#MoLeg #MoGov #anticop</t>
  </si>
  <si>
    <t>RT @Str8DonLemon: I'm calling on Bruce Frank's Jr 2 resign position immediately from #MoLeg @GailBeatty
"...Franks rapped about shooting &amp;amp;…</t>
  </si>
  <si>
    <t>RT @EdBigCon: @MOLegDems @GailBeatty Do you have solid evidence or are you just making this stuff up on one of the hardest working members…</t>
  </si>
  <si>
    <t>RT @Str8DonLemon: I'm calling on Bruce Frank's Jr 2 resign his position immediately from #MoLeg 
"...Franks rapped about shooting &amp;amp; stabbi…</t>
  </si>
  <si>
    <t>RT @Str8DonLemon: Hi @GailBeatty 
I'm asking you &amp;amp; @clairecmc ask that Rep Bruce Frank's Jr step down for his past comments about the poli…</t>
  </si>
  <si>
    <t>RT @Str8DonLemon: I'm calling on Bruce Frank's Jr 2 resign his position immediately from #MoLeg 
"In series of videos, some as recent as 2…</t>
  </si>
  <si>
    <t>RT @YearOfZero: @JW1057 @theknobboy @ws_missouri @EricGreitens Plus radio guy outed them! And even before that everybody knew the names jus…</t>
  </si>
  <si>
    <t>It was allleged man. This is completely irresponsible, and we all know it was an affair. 
Are you also going to write an article on Chris Koster since he apparently had the same hairdresser? 
#moleg #mogov @MOHouseGOP https://t.co/4P4Nl01B1q</t>
  </si>
  <si>
    <t>RT @NetworksManager: Apparently we're powerless to stop criminal illegals from entering the US..
They stowed away on trains, slept in shelt…</t>
  </si>
  <si>
    <t>Comey started an investigation where no OOJ existed and lied to Congress. https://t.co/LenS9LjPE1</t>
  </si>
  <si>
    <t>RT @Barnes_Law: Fun discovery @DonaldJTrumpJr would be entitled to in #DNC suit:
All communications of #FusionGPS w/ the #DNC &amp;amp; the Russian…</t>
  </si>
  <si>
    <t>RT @gatewaypundit: Often Wrong Pundit Jennifer Rubin Calls Republicans 'Dumber Than Dirt'. The Pundit Who Said Hillary Would Win With 334 E…</t>
  </si>
  <si>
    <t>RT @Sticknstones4: The Witch Hunt Continues 
The St Louis temperatures Rise and so does
The Homocide Rate 
#kimshady doesn’t care about m…</t>
  </si>
  <si>
    <t>RT @melody_grover: It's a nice life getting paid six figures to campaign for office, isn't it? I'm sure struggling Missourians will identif…</t>
  </si>
  <si>
    <t>RT @YearOfZero: Reading some of @tonymess columns and they read like bitter kid who never got girl in high school and then takes out that g…</t>
  </si>
  <si>
    <t>@JW1057 @theknobboy @ws_missouri @EricGreitens Cc @RealTravisCook</t>
  </si>
  <si>
    <t>@JW1057 @theknobboy @ws_missouri @EricGreitens Plus radio guy outed them! And even before that everybody knew the names just like everybody knows Chris Koster had the same hairdresser as @EricGreitens 
Libs don’t wants to name the names because if identities are looked at, peeps will realize they have no credibility #moleg</t>
  </si>
  <si>
    <t>@JW1057 @theknobboy @ws_missouri @EricGreitens People on here absolute morons. First, there is no gag order on the public. Second, she’s already been named! By Gardner herself in her idiotic filing where she forgot to mask the names! That’s why they resealed that doc! Third, at this point it’s in the public interest #moleg</t>
  </si>
  <si>
    <t>RT @thecjpearson: These days, mostly everyone in my generation wants to be a victim. It’s sad. 
I agree with @RealCandaceO. We need less v…</t>
  </si>
  <si>
    <t>RT @realDonaldTrump: ....non-existent “sources” and a drunk/drugged up loser who hates Michael, a fine person with a wonderful family. Mich…</t>
  </si>
  <si>
    <t>RT @realDonaldTrump: The New York Times and a third rate reporter named Maggie Haberman, known as a Crooked H flunkie who I don’t speak to…</t>
  </si>
  <si>
    <t>RT @dbongino: ALSO JUST IN: the majority of liberals and media figures pushing an “assault weapons” ban have no idea what an “assault weapo…</t>
  </si>
  <si>
    <t>RT @RyanAFournier: The Republican Party should file a federal lawsuit alleging a conspiracy by the Clinton Campaign, FBI, Obama Administrat…</t>
  </si>
  <si>
    <t>RT @marklevinshow: Chuck Todd conflicted journalist? https://t.co/ZTO37ijQpk</t>
  </si>
  <si>
    <t>RT @FoxNews: DHS reveals dozens of MS-13, other gang members released by 'sanctuary' policies https://t.co/3XjCuNsfPz</t>
  </si>
  <si>
    <t>RT @realDonaldTrump: James Comey illegally leaked classified documents to the press in order to generate a Special Council? Therefore, the…</t>
  </si>
  <si>
    <t>RT @JackPosobiec: The DNC who rigged their own primary are now suing the Republicans saying they rigged the election! You lost, get over it!</t>
  </si>
  <si>
    <t>RT @KayJiannone: Feinstein believes we must enforce our borders.....and then, she realized illegals could raise the vote count.🧐 https://t.…</t>
  </si>
  <si>
    <t>RT @1Romans58: HAHAHAHA!!!!  Already in the bargain bin!  
Comey’s Book Tossed into Bookstore Bargain Bins https://t.co/WPFu9ORLyJ</t>
  </si>
  <si>
    <t>RT @TomFitton: Further indication the zombie Mueller investigation harassing @realDonaldTrump is collapsing. https://t.co/cUE4Ai20yp</t>
  </si>
  <si>
    <t>RT @dbongino: ANOTHER SMOKESCREEN BY THE DEMS. They’re DESPERATE. Democratic National Committee Sues Trump Campaign, Russia, WikiLeaks Over…</t>
  </si>
  <si>
    <t>RT @RealJamesWoods: Your corruption was not a flesh wound,  but a systemic rot of your entire being. YOU were never going to let you be pre…</t>
  </si>
  <si>
    <t>RT @Sticknstones4: Yet another BS case!  St Louis you’re letting a rogue prosecutor waste your tax dollars &amp;amp; resources.   
Why doesn’t #ki…</t>
  </si>
  <si>
    <t>RT @realDonaldTrump: Can you believe that despite 93% bad stories from the Fake News Media (should be getting good stories), today we had j…</t>
  </si>
  <si>
    <t>RT @JW1057: How does the government accuse a person of stealing a donor list that the government has already admitted was received as an in…</t>
  </si>
  <si>
    <t>RT @starcrosswolf: Dozens Of MS-13, Other Gang Members Released By Sanctuary Cities. Between October 2016 &amp;amp; June 2017, local law enforcemen…</t>
  </si>
  <si>
    <t>RT @Avenge_mypeople: The crooked judge in #Greitens  case is allowing the defense to redepose witnesses...including Tisaby, the perjuring i…</t>
  </si>
  <si>
    <t>RT @Hope4Hopeless1: @SenatorNasheed OUR Governor .@EricGreitens IS STANDING STRONG &amp;amp; staying the course of #DrainingTheSwamp &amp;amp; serving the…</t>
  </si>
  <si>
    <t>RT @Norasmith1000: @Str8DonLemon @pfeuerborn @AP4Liberty So sick of that tired "Bot" accusation.  If you dont agree with the liberal trash…</t>
  </si>
  <si>
    <t>RT @toadtws: @kq2 Casting the first stone can be a bitch, right Rob?
#greitens  #moleg https://t.co/TJpuM9RMd2</t>
  </si>
  <si>
    <t>RT @magathemaga1: @StevenDialTV @41actionnews #MOleg 
Witch hunt @Eric_Schmitt https://t.co/n3tMuSWUAj</t>
  </si>
  <si>
    <t>RT @Norasmith1000: @MissouriTimes @EricGreitens His statement is accurate, by now yes, everyone knows what this is. Kim Gardner is desperat…</t>
  </si>
  <si>
    <t>RT @SKOLBLUE1: @Avenge_mypeople Don't forget the judge also said because of Kim Gardners failure to provide evidence that her office may ne…</t>
  </si>
  <si>
    <t>RT @Str8DonLemon: Happy 4/20 #MoLeg
Might I suggest over weekend  all you all who hate @EricGreitens cuz hes "mean" and an "outsider" join…</t>
  </si>
  <si>
    <t>RT @RealTravisCook: Doesn't it seem strange that Phil Sneed seems more angry with the guy who slept with his ex-wife than with the ex-wife…</t>
  </si>
  <si>
    <t>RT @magathemaga1: #MoLeg and #MoGov and #MoSen
Reminder:
🔸️Illegal immigration shouldn't be partisan thing. Illegal immigration should be…</t>
  </si>
  <si>
    <t>RT @BryanLowry3: Greitens’ attorney has also issued a statement. More info at https://t.co/dOlpIcJGPk #moleg #Greitens https://t.co/rXRDpVQ…</t>
  </si>
  <si>
    <t>RT @Avenge_mypeople: @RealTravisCook @HawleyMO Hawley is a swamp rat. He's "establishment" all the way. You can tell by his latest politica…</t>
  </si>
  <si>
    <t>RT @RealTravisCook: Given what all is going on and given the fact that we are in the middle of a Senate primary, we need @HawleyMO to clear…</t>
  </si>
  <si>
    <t>RT @magathemaga1: Good morning 2 everybody but @RonFRichard
I have been getting lot of questions about #LadderBoy 
✔Mitch's Boy?
✔Is he #…</t>
  </si>
  <si>
    <t>RT @magathemaga1: 🚨 Steve Stenger Poll 🚨 
STL County!
Given that Steve Stenger is now playing the race card and racist identity politics…</t>
  </si>
  <si>
    <t>RT @Norasmith1000: @pfeuerborn @tonymess Im not a Bot, im a concerned St. Louis resident that voted for @EricGreitens and I dont want our g…</t>
  </si>
  <si>
    <t>RT @Str8DonLemon: A "bot" is software
I'm a person
Just happen 2 disageee
Not a fake account. Just cuz I dont agree with witch hunts, am…</t>
  </si>
  <si>
    <t>RT @EdBigCon: @KurtEricksonPD @EricGreitens We all deserve due process or we become Russia. #moleg #KimShady</t>
  </si>
  <si>
    <t>RT @magathemaga1: Dear #MoLeg Swamp dwellers @Rep_TRichardson @elijahhaahr
@EricGreitens gets his day in court. Until then, back off &amp;amp; let…</t>
  </si>
  <si>
    <t>RT @memoriadei: Josh Hawley MO AG lost his election to Senate all by himself. If he doesnt know why, he is too self-serving and out of touc…</t>
  </si>
  <si>
    <t>RT @magathemaga1: #MoLeg
WitchHunt continues &amp;amp; desire 4 lawmakers 2 oust an outsider continues
Wonder why they waited till the last minut…</t>
  </si>
  <si>
    <t>RT @YearOfZero: That’s about as believable as @stltoday But I’ll take your word for it
In meantime, why don’t you read the books instead o…</t>
  </si>
  <si>
    <t>RT @joel_capizzi: @CryptoMatt06 @VisioDeiFromLA @EricGreitens @blackwidow07 @RealTravisCook @Hope4Hopeless1 @SKOLBLUE1 @YearOfZero @DRUDGE…</t>
  </si>
  <si>
    <t>That’s about as believable as @stltoday But I’ll take your word for it
In meantime, why don’t you read the books instead of crapping on them
Also pretty sure you knew Chris Koster had the same hairdresser as @EricGreitens ... everybody does ... 
Why no column on that?
#moleg https://t.co/arlbYnQTB9</t>
  </si>
  <si>
    <t>Reading some of @tonymess columns and they read like bitter kid who never got girl in high school and then takes out that grudge on any alpha male who he comes accross because they were the ones scoring back in high school. 
Did you even read the books, you clown?
#MoLeg https://t.co/hTuuh4arhK</t>
  </si>
  <si>
    <t>RT @DeplorableGoldn: Damn!  She is right! #moleg #hawley https://t.co/xfCCkljaqe</t>
  </si>
  <si>
    <t>Hey patty. 
Did you know the woman kept seeing @EricGreitens after the alleged incident.
It was an affair and now that the allegations are falling apart they sprung this new charge at very last minute.
What do you make of somebody offering to pay legal fees of husband? #MOLEG https://t.co/tYahQsg1j3</t>
  </si>
  <si>
    <t>RT @YearOfZero: Hey #moleg listening to clowns like this who don’t vote republican anyway is idiotic. He gets his day in court. Until then…</t>
  </si>
  <si>
    <t>U aren’t conservative if u don’t support due process &amp;amp; screwing man before he’s been convicted of anything. #LadderBoy waiting til now makes it look political. And the KS girl. Laughable. And likely made up.
Should ask mike if kissing tax credit ring is a “conservative”
#moleg https://t.co/KDzTAv5wab</t>
  </si>
  <si>
    <t>@ChrisTill1985 And yet his point is valid and you get all triggered....</t>
  </si>
  <si>
    <t>RT @YearOfZero: Now u must know how conservatives feel when we r called racist unfairly 4 wanting illegal immigration stopped
Clearly it b…</t>
  </si>
  <si>
    <t>RT @EricGreitens: We've been working hard to protect our veterans and ensure they get quality care. Today, I met with the new administrator…</t>
  </si>
  <si>
    <t>Hey #moleg listening to clowns like this who don’t vote republican anyway is idiotic. He gets his day in court. Until then he is governor @EricGreitens @Eric_Schmitt 
#mogov https://t.co/Fn7C4qxb6P</t>
  </si>
  <si>
    <t>Under the obama admin, the top brass of both agencies WERE criminals https://t.co/YK6CZyFXNt</t>
  </si>
  <si>
    <t>Imagine what we could afford if we stopped illegal immigration which we spend 130 billion dollars a year on. Oh but according to the lefts idiocy, we cant do that? https://t.co/fLlYbxjw5Q</t>
  </si>
  <si>
    <t>Now u must know how conservatives feel when we r called racist unfairly 4 wanting illegal immigration stopped
Clearly it bothers you so your sitting around trying to justify that you aren’t a racist. And he DOES have a point about black America and due process
#MoLeg #MoGov https://t.co/AfN9ChhzDY</t>
  </si>
  <si>
    <t>Or it tells U perhaps he isn’t generating excitement &amp;amp; it has nothing to do with that?
Far more excitement for other 3 candidates @AP4Liberty @SykesforSenate and @Monetti4Senate 
They have been out there pounding pavement. You see any energy for Hawley online? #moleg #mosen https://t.co/OLRKWb0v1W</t>
  </si>
  <si>
    <t>RT @RealJamesWoods: As usual white guys didn’t make the cut? https://t.co/plPwfGkzHM</t>
  </si>
  <si>
    <t>RT @DeplorableGoldn: RT 🚨 #moleg #mogov #MoSen #GreitensIndictment #KimShady https://t.co/XR0UiP5HQL</t>
  </si>
  <si>
    <t>RT @JackPosobiec: Comey 👏🏻 Knew 👏🏻 The 👏🏻 Dossier 👏🏻 Was 👏🏻 Fake 👏🏻</t>
  </si>
  <si>
    <t>RT @PoliticalShort: Comey says he only briefed Trump on the most salacious part of the dossier due to that being “the part the leaders of t…</t>
  </si>
  <si>
    <t>RT @TheLastRefuge2: There's *absolutely nothing*, nada, zippo, zilch, in these memos that points to the need for Rod Rosenstein to appoint…</t>
  </si>
  <si>
    <t>RT @tcdinges: @NancyPelosi @realDonaldTrump Gotta tell you Nancy, I believe that @realDonaldTrump has more respect for the rule of law than…</t>
  </si>
  <si>
    <t>RT @MootsaGootsa: @NancyPelosi @realDonaldTrump Give ecamples. No one else sees what you're saying. Comey said Trump asked him to investiga…</t>
  </si>
  <si>
    <t>@PauletteParis1 @NancyPelosi @realDonaldTrump The #ComeyMemos are James Comey’s version of events and yet:
No collusion 
No obstruction 
No unethical conduct by Trump</t>
  </si>
  <si>
    <t>RT @BettyAnnRoyal1: @NancyPelosi @realDonaldTrump You are so wrong. You the Dem party, has bashed, the President, for over a year. We the U…</t>
  </si>
  <si>
    <t>RT @xBenJamminx: @NancyPelosi @realDonaldTrump The memos say not only did he not obstruct but he actually wanted to find out if there was a…</t>
  </si>
  <si>
    <t>RT @racetrackandy: @NancyPelosi @eyelovehorses @realDonaldTrump In what world are you living?  If anything they vindicate @realDonaldTrump…</t>
  </si>
  <si>
    <t>RT @poncho1965: @NancyPelosi @realDonaldTrump Really reaching Nancy.</t>
  </si>
  <si>
    <t>The #ComeyMemos are James Comey’s version of events and yet:
No collusion 
No obstruction 
No unethical conduct by Trump
🤣 https://t.co/znLXOfznMc</t>
  </si>
  <si>
    <t>@NancyPelosi @realDonaldTrump The #ComeyMemos are James Comey’s version of events and yet:
No collusion 
No obstruction 
No unethical conduct by Trump</t>
  </si>
  <si>
    <t>RT @DMR4USSenateCA: @NancyPelosi @realDonaldTrump protect what investigation? no collusion found, pack it up.</t>
  </si>
  <si>
    <t>RT @MichaelDelauzon: EARLIER Today Trump Supporters lined the streets to welcome President Trump to Key West, Florida. (view from the presi…</t>
  </si>
  <si>
    <t>RT @RepDeSantis: Some of the Comey memos contained classified information.  Intentionally leaking classified information is a big no no.  T…</t>
  </si>
  <si>
    <t>RT @realDonaldTrump: Sanctuary Cities released at least 142 Gang Members across the United States, making it easy for them to commit all fo…</t>
  </si>
  <si>
    <t>RT @JackPosobiec: First Meeting
Mueller: Hi Mr Giuliani, I-
Rudy: I know what was on Weiner’s laptop, Bob</t>
  </si>
  <si>
    <t>@proust1974 @chucktodd They don’t. Chuck is FULL OF s***
this is their play, if they can’t legitimize any of that dossier, it means people are going to prison, that’s why he’s acting like a desperate lunatic here. He’s carrying water for establishment 
He’s working for the obama people with this</t>
  </si>
  <si>
    <t>RT @graphixpro1: @SenatorNasheed @MSHPTrooperGHQ You got arrested for being drunk in possession of a loaded firearm and you're trying to sa…</t>
  </si>
  <si>
    <t>RT @blackwidow07: @SenatorNasheed @MSHPTrooperGHQ @EricGreitens @FBI How about I BLOCK YOU, NOT VOTE FOR YOU AND TELL EVERYONE IN THE CITY…</t>
  </si>
  <si>
    <t>RT @blackwidow07: @SenatorNasheed @MSHPTrooperGHQ You have lost your mind. You dealt with more danger when you were in juvenile jail. You c…</t>
  </si>
  <si>
    <t>RT @magathemaga1: When U put UR ear 2 the ground &amp;amp; listen 2 what's going on in MoLeg, it becomes even more clear swamp wants #Greitens out…</t>
  </si>
  <si>
    <t>RT @magathemaga1: @jezebelly1 @grcfay @joelpollak @BigJShoota @Sticknstones4 @ohsynesthesia @SKOLBLUE1 @Avenge_mypeople @Blackboxhalo @Dayn…</t>
  </si>
  <si>
    <t>RT @DeplorableGoldn: RT #donnybrookstl https://t.co/b9aXvrwIGA</t>
  </si>
  <si>
    <t>No calls about @EricGreitens ?
 #donnybrookstl
The truth of the matter is the media is only reporting one side of the story....
#stlouis #kansascity #moleg</t>
  </si>
  <si>
    <t>RT @SKOLBLUE1: #donnybrookstl your show is PROPAGANDA at its finest!   Hooray Greg you made it!!</t>
  </si>
  <si>
    <t>RT @magathemaga1: #donnybrookstl
The Zoo? 
What about #KimShady
#Greitens #StLouis</t>
  </si>
  <si>
    <t>RT @SKOLBLUE1: #donnybrookstl what a cowardly act. Ignoring the real issue surrounding St. Louis and Missouri. The original founders of Don…</t>
  </si>
  <si>
    <t>RT @SorosInSTL: #donnybrookstl
😂😂😂😂🤣🤣🤣🤣
What did I tell you. I told you the media wouldn't cover this story fairly!
The bad guys will wi…</t>
  </si>
  <si>
    <t>RT @SKOLBLUE1: #donnybrookstl shady stuff you have going on! You won't take any calls about @EricGreitens or publish any positive tweets re…</t>
  </si>
  <si>
    <t>RT @magathemaga1: #donnybrookSTL 
Guy stalked @EricGreitens on twitter and of 2015 calling him a cheater and a homewrecker... but not a ra…</t>
  </si>
  <si>
    <t>RT @SorosInSTL: #donnybrookstl
This is my favorite part of the #GreitensIndictment 
I paid for it. Everybody knows it's garbage.
And the…</t>
  </si>
  <si>
    <t>RT @SorosInSTL: #donnybrookstl
Ahem.
This sums up the whole greitens thing! It's a witchhunt. What do you think I paid all that money to…</t>
  </si>
  <si>
    <t>RT @magathemaga1: #donnybrookSTL
#KimShady lied
#NoNotesTiasby lied
The house is lying (didn’t cross examine)
The media is lying 
They ju…</t>
  </si>
  <si>
    <t>RT @DeplorableGoldn: RT 🚨 #donnybrookstl https://t.co/lyxbmTYkMm</t>
  </si>
  <si>
    <t>RT @DeplorableGoldn: RT 🚨 #donnybrookstl #moleg #mogov #MoSen #greitens #GreitensIndictment #KimShady https://t.co/5yndzBPMdc</t>
  </si>
  <si>
    <t>RT @inthejungle234: #donnybrookstl 
Hi seems to be going around but Chris koster and Eric Greitens had the same hairdresser .... Is that w…</t>
  </si>
  <si>
    <t>RT @magathemaga1: Hey #donnybrookSTL
How much does anti-semitism play into these charges against #greitens ??
If any actual reporter woul…</t>
  </si>
  <si>
    <t>RT @magathemaga1: No Jeff city wants him out. 
The people don’t. Get it straight
If you actually paid attention, you would know that 
#d…</t>
  </si>
  <si>
    <t>RT @magathemaga1: Just a question #donnybrookSTL
How much money as #KimShady wasted trying to indict @EricGreitens on laughable grounds…</t>
  </si>
  <si>
    <t>RT @SKOLBLUE1: Kim Gardner needs to go. She has had an appalling record, murders are on the rise and she continuously fails St. Louis. We i…</t>
  </si>
  <si>
    <t>RT @DeplorableGoldn: RT #donnybrookSTL https://t.co/gT1QGie5H3</t>
  </si>
  <si>
    <t>RT @magathemaga1: Also #donnybrookSTL what did Stacey Newman mean when she said KS was a “new activist” 
You do know “activism often requi…</t>
  </si>
  <si>
    <t>RT @magathemaga1: The testimony of the alleged victim is inconsistent. House testimony and criminal has inconsistencies and House didn’t cr…</t>
  </si>
  <si>
    <t>RT @magathemaga1: #Donnybrookstl hey why did the ex husband call #greitens a homewrecker on twitter at the end of 2015 and not go to the po…</t>
  </si>
  <si>
    <t>RT @magathemaga1: Rob Schaff accuses KS of committing perjury before committee!
Schaff says there were no consensual acts between KS and E…</t>
  </si>
  <si>
    <t>RT @magathemaga1: The #KimShady court just lying about evidence 
Read!
#donnybrookSTL https://t.co/BeQJw89Vbk</t>
  </si>
  <si>
    <t>@LisaGHart @FOX2now Judge should resign. This whole thing is corrupt and crooked and yes there was harm</t>
  </si>
  <si>
    <t>RT @magathemaga1: #Donnybrookstl this is the greitens thing explained graphic form 
The media is lying 
#Greitens #stl https://t.co/eNyjx…</t>
  </si>
  <si>
    <t>RT @magathemaga1: #GreitensIndictment explained:
-No evidence
-Consensual affair 
-Shady #KimShady
-No probable cause
-Ex husband out 4 re…</t>
  </si>
  <si>
    <t>RT @magathemaga1: 🚨 ATTACK on Missouri! 🚨 
@RonFRichard decided he would rather be petty &amp;amp; attack Missouri voters than work with @EricGrei…</t>
  </si>
  <si>
    <t>RT @magathemaga1: Yeah #donnybrookSTL 
It's a total witch hunt.
started when @EricGreitens cut the tax credits. When that happened, a sim…</t>
  </si>
  <si>
    <t>RT @magathemaga1: #KimShady witheld EVIDENCE in discovery &amp;amp; it MAGICALLY appeared 1 hour after Moleg's "report"  that SHOWS that when KS re…</t>
  </si>
  <si>
    <t>RT @magathemaga1: So let me get this straight?
#NoNotesTiasby lies about evidence 
#KimShady has 0 evidence or probable cause
Grand Jury…</t>
  </si>
  <si>
    <t>RT @magathemaga1: The #KimShady show! 
Also starting #NoNotesTisaby 
A #Soros Production! 
#StLouis #donnybrookSTL https://t.co/BPcxfOHC…</t>
  </si>
  <si>
    <t>RT @magathemaga1: U find it funny #donnybrookSTL  alleged victim of the #GreitensIndictment friends w/S. Newman but also “longtime family h…</t>
  </si>
  <si>
    <t>Because the #moleg Hates @EricGreitens and you are an anti Semite.
Trust me, large part of this witch hunt is about the fact that greitens is coming in and doing what he promised he’d do. #mogov https://t.co/GY3x1GBPZH</t>
  </si>
  <si>
    <t>RT @benshapiro: Actually you’re a rich white dude with a famous dad for a politician and a brother with a morning show on CNN https://t.co/…</t>
  </si>
  <si>
    <t>RT @Trader_Moe: @NYGovCuomo &amp;gt; https://t.co/fLMDUFzWef</t>
  </si>
  <si>
    <t>RT @Trader_Moe: @NYGovCuomo You're a nepotism beneficiary.</t>
  </si>
  <si>
    <t>RT @dbongino: Tell me again how the Mueller team is unbiased:
1) Andy Weissmann- emailed Sally Yates congratulating her for defying Trump
2…</t>
  </si>
  <si>
    <t>RT @DuckDuckGo: If you ever get asked why you should use DuckDuckGo instead of Google, here's a definitive answer by @yegg:
https://t.co/2…</t>
  </si>
  <si>
    <t>RT @melody_grover: How do you conduct an impartial investigation of somebody you've called on to resign? Yes, they're two separate matters,…</t>
  </si>
  <si>
    <t>RT @ColumbiaBugle: Senator @tedcruz summed up @realDonaldTrump perfectly: "President Trump is a flash-bang grenade thrown into Washington b…</t>
  </si>
  <si>
    <t>RT @JackPosobiec: @realDonaldTrump World Peace in Korea</t>
  </si>
  <si>
    <t>RT @YearOfZero: Hey Tony, Eric hasn’t been convicted of anything. It’s amazing how you even hold a job when you lie so much. Let’s wait unt…</t>
  </si>
  <si>
    <t>And he would be wholly incorrect.
Due to timing of the #LadderBoy bringing this, it shows clear political motivation so either needs to recuse or a special prosecutor needs to be assigned. I work with  lawyers. They lie all the time.
#MoLeg #MoGov https://t.co/6ElWSqgFnG</t>
  </si>
  <si>
    <t>@supportelijah Don’t support traitors. There’s going to be a blood bath in November at the ballot box if you don’t end this witch hunt @Rep_TRichardson</t>
  </si>
  <si>
    <t>RT @Sticknstones4: Is @senatornasheed for reals?
I mean this is coming from a woman who #2A carries a loaded 9mm 🔫 in her pocket 
I think…</t>
  </si>
  <si>
    <t>RT @grcfay: @magathemaga1 @RonFRichard @EricGreitens @Rep_TRichardson @Eric_Schmitt Might I add that our Governor #ericgreitens, needs our…</t>
  </si>
  <si>
    <t>RT @magathemaga1: @RonFRichard Why do you hate Missouri voters? #MoLeg
https://t.co/00Je0IimyV</t>
  </si>
  <si>
    <t>RT @JW1057: @SentinelKSMO @EricGreitens @TeamGreitens doesn't need to restore his honor; he never lost it. He had an affair and only @Sheen…</t>
  </si>
  <si>
    <t>RT @DeplorableGoldn: This is bizarre! Can anyone explain? #moleg #mogov #greitens #KimShady https://t.co/Tgd6yczVOd</t>
  </si>
  <si>
    <t>RT @JW1057: @ws_missouri @EricGreitens Sounds like @RonFRichard should resign because he is unwilling to do his job. If he doesn't resign,…</t>
  </si>
  <si>
    <t>Hey Tony, Eric hasn’t been convicted of anything. It’s amazing how you even hold a job when you lie so much. Let’s wait until facts have been determined and agreed upon before lumping people into groups. #MoLeg https://t.co/ycontJLMcH</t>
  </si>
  <si>
    <t>RT @magathemaga1: Isnt it funny one of the people who has been screaming loudest about discarding presumption of innocence for @EricGreiten…</t>
  </si>
  <si>
    <t>RT @melody_grover: Clearly an a**hole. Pardon my french. This statement plus Richard's anal retentiveness about everybody wearing ties in h…</t>
  </si>
  <si>
    <t>Dude this guy clearly doesn’t know what he’s talking about. Due to timing, #LadderBoy has no choice but to recuse. Had he brought this last year it’d be a different story 
#MoLeg #mosen https://t.co/cWp1mqbvuJ</t>
  </si>
  <si>
    <t>RT @AP4Liberty: I got a feeling your whole establishment family's going down, Josh. https://t.co/qc5qFEw02C</t>
  </si>
  <si>
    <t>RT @YearOfZero: He’s Mitch’s Boy
Which means he’s a #LadderBoy
@AP4Liberty @SykesforSenate @Monetti4Senate 
#MoLeg #MoGov #MoSen #KimSha…</t>
  </si>
  <si>
    <t>@CStamper_ @Rep_TRichardson @JohnLamping Bigger laugh: Tony guy trying to be twitter hall monitor 4 people asking about accusers backgrounds even though public  knowledge now public transcripts have been released. U can’t gag order public. Won’t mention names but it’s  funny how they think they dictate things on here</t>
  </si>
  <si>
    <t>RT @YearOfZero: Hey @Rep_TRichardson this entire case is crooked as well as the prosecutor and the judge.
No bench trial. I may not be a l…</t>
  </si>
  <si>
    <t>He’s Mitch’s Boy
Which means he’s a #LadderBoy
@AP4Liberty @SykesforSenate @Monetti4Senate 
#MoLeg #MoGov #MoSen #KimShady #Missouri https://t.co/KZyxB0k672</t>
  </si>
  <si>
    <t>Hey @Rep_TRichardson this entire case is crooked as well as the prosecutor and the judge.
No bench trial. I may not be a lawyer but I am LEO and that is unconstitutional
#Moleg @EricGreitens https://t.co/O40fWspS9y</t>
  </si>
  <si>
    <t>RT @DeplorableGoldn: RT 🚨 #MOLeg #mogov #MOsen #Greitens #gre https://t.co/oAVdQuEsIA</t>
  </si>
  <si>
    <t>@Allie_Kite @JoeBReporter He should have dismissed.</t>
  </si>
  <si>
    <t>Journalist with an axe to grind don’t get to over ride the will of the people. Trial is on the 14th
Until then he is governor and that should not change @Rep_TRichardson 
@JohnLamping @CStamper_ 
#moleg #mogov https://t.co/i2aZ1z2cgc</t>
  </si>
  <si>
    <t>@NewsTribune Yes!</t>
  </si>
  <si>
    <t>RT @Norasmith1000: @JaneDueker @AGJoshHawley @Rep_TRichardson Let me fix your tweet..."This frivolous lawsuit against @EricGreitens is an a…</t>
  </si>
  <si>
    <t>RT @Hope4Hopeless1: @KCTV5 We appreciate that .@EricGreitens is STANDING STRONG &amp;amp; staying the course of #DrainingTheSwamp &amp;amp; serving the peo…</t>
  </si>
  <si>
    <t>RT @RetNavy93: @tkinder @EricGreitens #MoLeg should wait until the #EricGreitons trial is over. If they don't they'll be getting the Govern…</t>
  </si>
  <si>
    <t>RT @magathemaga1: Clip from @paulcurtman interview w/ @MarcCox971 on @971FMTalk 
Who is Ronald Sullivan &amp;amp; was there laws violated in hirin…</t>
  </si>
  <si>
    <t>RT @memoriadei: Appalled like never before at #MOLEG for bullying.  Unprofessional!  Not once have I ever seen such disgusting behavior and…</t>
  </si>
  <si>
    <t>RT @AP4Liberty: The #AP4Senate Campaign won't throw you under the bus! Instead, we'll give you a ride on the #LibertyExpress Who's in? 
#MO…</t>
  </si>
  <si>
    <t>@Sensei_MasterCJ @FOX2now I said the same thing earlier.</t>
  </si>
  <si>
    <t>@EdBigCon @chadlybrown Lol it already is a thing #KimShady</t>
  </si>
  <si>
    <t>Because the charges are bs
And even if they aren’t.
It’s innocent until PROVEN GUILTY 
#moleg #mogov https://t.co/UIy9Hxwvqi</t>
  </si>
  <si>
    <t>Dude the RO move is correct legal move. Hawley is tainted. God I wish people would read up on stuff before they comment on stuff they know nothing about.
#MoLeg #mosen #mogov https://t.co/q6jsU3vr8j</t>
  </si>
  <si>
    <t>RT @YearOfZero: Isn’t justice more important than partisanship?
The prosecution lied about evidence, was there evidence in the first place…</t>
  </si>
  <si>
    <t>RT @JackPosobiec: James Comey Confirms There Is A Deep State https://t.co/9HOfaUPb98</t>
  </si>
  <si>
    <t>RT @EdBigCon: @KMOV It’s probably better this way
If it were dismissed, it would allow Kim to re-charge him and start  over again. 
This is…</t>
  </si>
  <si>
    <t>@FOX2now @cfsho444 Witch hunt</t>
  </si>
  <si>
    <t>Isn’t justice more important than partisanship?
The prosecution lied about evidence, was there evidence in the first place, the accusers testimony has been inconsistent, was there even probable cause? 
Not concerned about headaches from Jeff City Elites
#MoLeg #MoGov https://t.co/7Wo7Ny38Fa</t>
  </si>
  <si>
    <t>RT @melody_grover: Spotted! Around six feet tall. Dog hater. Can't stand getting wet. Pyromaniac. Constantly flies off the handle. Sends mo…</t>
  </si>
  <si>
    <t>RT @YearOfZero: This shows a poor understanding of the legal process. Whether you like Eric or don’t like him, the requested TRO was the co…</t>
  </si>
  <si>
    <t>RT @inthejungle234: @jdavidsonlawyer @PuffedUpdater @aaron_hedlund Would be a mistake to throw out gov if he's innocent of charges. Just sh…</t>
  </si>
  <si>
    <t>Nobody believes this. 
#MoSen https://t.co/Z4lY9vUTbB</t>
  </si>
  <si>
    <t>Enthusiasm GAP. 
Midterms need the base to be energized. Who can do it?
@AP4Liberty @Monetti4Senate @Courtland_Sykes 
Get working gentleman! 
#ladderboy #MoSen https://t.co/qry2ovDSFq</t>
  </si>
  <si>
    <t>@HawleyMO @clairecmc It’s the #LadderBoy 
Sorry probably voting for @AP4Liberty. Probably 
@Monetti4Senate or @Courtland_Sykes — they got good stuff too. Monetti growing on me! Courtland also has good stuff.
I’m not voting for MITCH 2.0
#MoSen</t>
  </si>
  <si>
    <t>This shows a poor understanding of the legal process. Whether you like Eric or don’t like him, the requested TRO was the correct legal move given the timing of #LadderBoy bringing this up. Hawley is tainted and his moves show political motivation 
#MoLeg #MoSen https://t.co/bVzPL2w2Xc</t>
  </si>
  <si>
    <t>RT @dbongino: Justice isn’t blind anymore. It’s only blind to Democrats.</t>
  </si>
  <si>
    <t>RT @CollinRugg: Wait 😂
Liberals are making “#CancelHannity” trend because they don’t like his lawyer.
Do you buffoons realize that whenev…</t>
  </si>
  <si>
    <t>RT @IngrahamAngle: We have an incredible hour for you packed with everything from the left's war on the law to the supernatural. Don't miss…</t>
  </si>
  <si>
    <t>RT @JackPosobiec: Every time James Comey opens his mouth the FBI loses more credibility</t>
  </si>
  <si>
    <t>RT @IngrahamAngle: We may be hearing the first rumblings of a political earthquake in California. Up next -- the growing number of fed-up c…</t>
  </si>
  <si>
    <t>RT @charliekirk11: Affirmative action is reverse racism</t>
  </si>
  <si>
    <t>RT @Monetti4Senate: Josh @HawleyMO should keep his pledge not to become a ladder-climbing politician, he should not be running for the U.S.…</t>
  </si>
  <si>
    <t>@MidMORoyalsFan @J_Hancock @EricGreitens @AGJoshHawley He needs to wait until we have all facts and he has his day in court</t>
  </si>
  <si>
    <t>@KCTV5 I support him. #MOLeg</t>
  </si>
  <si>
    <t>RT @MichaelDelauzon: President Trump &amp;amp; Shinzo Abe wrapped up their Joint Press Conference at Mar-a-Lago moments ago 👍🏻 https://t.co/UdXRkS1…</t>
  </si>
  <si>
    <t>RT @realDonaldTrump: Prime Minister @AbeShinzo of Japan and myself this morning building an even deeper and better relationship while playi…</t>
  </si>
  <si>
    <t>RT @politicalelle: Welcome to San Francisco. We have 85 car break-ins per day. https://t.co/CgMx9VjjEi</t>
  </si>
  <si>
    <t>RT @TheLastRefuge2: Congress Sends Criminal Referral To Sessions, Wray and Prosecutor Huber… https://t.co/JR8uAKVRJd https://t.co/GRLbmic4ic</t>
  </si>
  <si>
    <t>RT @junogsp5: Southwest Pilot 👩‍✈️ Female Sully Tammie Jo Shults praised for calm demeanor after engine exploded She is True Hero Saved all…</t>
  </si>
  <si>
    <t>RT @VisioDeiFromLA: @WillSchamper_ @EricGreitens @Rep_TRichardson @elijahhaahr @MissouriGOP @MOHouseGOP @Avenge_mypeople @Hope4Hopeless1 @B…</t>
  </si>
  <si>
    <t>RT @VisioDeiFromLA: @Monetti4Senate @Avenge_mypeople @YblackGOP @Markknight45 @MOHouseGOP @Rep_TRichardson @elijahhaahr @MOGOP_Chairman @AP…</t>
  </si>
  <si>
    <t>RT @sigi_hill: @Hope4Hopeless1 @JW1057 @JCunninghamMO @lfshumake @CheriMO44 @SpeakerTimJones @MOGOP_Chairman @Rep_TRichardson @rossgarber @…</t>
  </si>
  <si>
    <t>RT @VisioDeiFromLA: In what world does an allegations equal fact?
I’m alleging U have IQ of 2, are a closet smoker, and U smell funny. 
D…</t>
  </si>
  <si>
    <t>RT @Sticknstones4: Moral Turpitude would include smoking Marijuana.   
Will all #Moleg members please take a drug test 
So we can start yo…</t>
  </si>
  <si>
    <t>RT @Sticknstones4: Fake News doesn’t want to show how Missourians feel about Their elected Governor , the left tried to Lie 🤥 about this st…</t>
  </si>
  <si>
    <t>RT @BCunninghamN: “I don’t care if the report says that he’s been accused of dancing naked on Kingshighway Boulevard at midnight with a lla…</t>
  </si>
  <si>
    <t>RT @YearOfZero: @BCunninghamN @GovGreitensMO He’s got my support .
Innocent until proven guilty. #moleg 
Not to mention the allegations ar…</t>
  </si>
  <si>
    <t>RT @sigi_hill: I lost all confidence in those slimy backstabbing legislators. Every one of them involved in this heinous attack on our due…</t>
  </si>
  <si>
    <t>RT @Sticknstones4: @BCunninghamN @GovGreitensMO Nice article Blake , do u know why nobody is #moleg will comment about reading the 77 page…</t>
  </si>
  <si>
    <t>@sarahfelts it’s been public knowledge since Bob Romanick published it but even then, it was all over Facebook before that. People aren’t stupid. Check Facebook comments. Everybody knows. I won’t say names of PS or KS but there is no gag order on public and really public should know
#MoLeg</t>
  </si>
  <si>
    <t>RT @VisioDeiFromLA: @st_vockrodt It’s called Hawley needs to be booted out and a Sp needs to be assigned. Hawley has bias here #MoLeg #MOsen</t>
  </si>
  <si>
    <t>@ws_missouri Actually correct legal move. #LadderBoy showed he was biased when he waited until last minute so he can’t be trusted to handle Matter, nor can KG</t>
  </si>
  <si>
    <t>This is probably a wise move. #moleg 
Hawley is tainted. Assign SP https://t.co/fKT3uEtxfc</t>
  </si>
  <si>
    <t>@BCunninghamN @GovGreitensMO He’s got my support .
Innocent until proven guilty. #moleg 
Not to mention the allegations are total garbage anyway 
#moleg https://t.co/XN0UuovLEA</t>
  </si>
  <si>
    <t>RT @AP4Liberty: Roper: So now you'd give the Devil benefit of law!
More: Yes. What would you do? Cut a great road through the law to get af…</t>
  </si>
  <si>
    <t>RT @Hope4Hopeless1: @EricGreitens .@EricGreitens, we  appreciate you STANDING STRONG &amp;amp; staying the course of #DrainingTheSwamp &amp;amp; serving th…</t>
  </si>
  <si>
    <t>RT @JCunninghamMO: “Not so fast buckaroos.” My favorite quote from former Chief Justice of the Missouri Supreme Court Michael Wolfe on the…</t>
  </si>
  <si>
    <t>@WillSchamper_ @Avenge_mypeople @Sticknstones4 @magathemaga1 @VisioDeiFromLA @EdBigCon @KathieConway @ohsynesthesia @TommyLeeAllman @EricGreitens @BigJShoota @joelpollak @SKOLBLUE1 @Blackboxhalo @MOHouseGOP @DaynaGould @Hope4Hopeless1 @MissouriGOP @GOPMissouri @strmsptr @ninekiller @JohnLamping @FN4AP @ErgoStreetNurse @AvrilMai91 @blackwidow07 @HawleyMO Disagree. Check Facebook comments. He’s getting savaged.</t>
  </si>
  <si>
    <t>@InmostCity @JaneDueker Vote the bums out and elect people who will work with @EricGreitens ?</t>
  </si>
  <si>
    <t>@K___Garner With all due respect she isn’t much of a lawyer of she didn’t understand greitens latest motion for RO. 
#MoLeg</t>
  </si>
  <si>
    <t>@JaneDueker @AGJoshHawley @Rep_TRichardson Did you see my other comment? #LadderBoy is tainted. This is correct legal maneuver. KG can’t try this case either as she is a proven liar at this point.
#MoLeg</t>
  </si>
  <si>
    <t>Profile says lawyer
You know Hawley can’t be trusted to handle anything further on this nor can KG as she has lied and we all know it
As a lawyer, U know this is actually the correct legal maneuver
It’s easy to lie online but why lie here? It ruins your cred as a lawyer #MoLeg https://t.co/498KsYACtL</t>
  </si>
  <si>
    <t>Dang minutes later! I was right.
#MoLeg https://t.co/dPGJlv1She</t>
  </si>
  <si>
    <t>Smart lawyers &amp;amp; #Ladderboy is tainted
I’ll wait for all the geniuses on #MoLeg to come to this conclusion that Hawley can’t be trusted to try this &amp;amp; neither can KG
Special Prosecutor time, IF it goes anywhere. RO is there 2 keep from #LadderBoy tainting the case further #MoLeg https://t.co/11XNYUmIkQ</t>
  </si>
  <si>
    <t>RT @magathemaga1: @staceynewman 
Do U hate black americans?
How many black men have been locked up on false charges yet U R quick 2 engag…</t>
  </si>
  <si>
    <t>RT @Hope4Hopeless1: @sigi_hill @Joe_Cool_1 @staceynewman #MeTOO. I guess as my State Rep @staceynewman thinks it's OK to be publically call…</t>
  </si>
  <si>
    <t>RT @AP4Liberty: Yes, It Was The 'Affordable' Care Act That Increased Premiums via @forbes https://t.co/zwhIa0KOJU</t>
  </si>
  <si>
    <t>RT @YearOfZero: This actually isn’t true. This was a consensual fling and it only became “assault” when Eric cut the #Taxcredits which need…</t>
  </si>
  <si>
    <t>RT @YearOfZero: Good thing trump doesn’t decide. Missouri voters do and we are saying loud and clear:
Do not resign @EricGreitens 
#moleg…</t>
  </si>
  <si>
    <t>RT @AlannaWPTV: Melania Trump and Japanese PM’s wife touring @FlaglerMuseum in Palm Beach today. @FLOTUS @wptv @FOX29WFLX https://t.co/0jst…</t>
  </si>
  <si>
    <t>RT @DuckDuckGo: Please keep in mind that if you #deletefacebook or disengage or reduce usage (the more the better), FB trackers still lurk…</t>
  </si>
  <si>
    <t>RT @ColumbiaBugle: .@TuckerCarlson: "Why would I spend a single second worrying about the job of a foreign citizen, over the job of an Amer…</t>
  </si>
  <si>
    <t>RT @pjsarachman: @GavinNewsom I live in San Diego and applaud the San Diego County Board of Supervisors vote to join the lawsuit against Ca…</t>
  </si>
  <si>
    <t>RT @EDMLive: @KevinHonaker3 @GavinNewsom Wrong, on all counts.
Immigration is a matter of national security. The US constitution does not p…</t>
  </si>
  <si>
    <t>RT @speshalist1: @GavinNewsom Lmao. Gavin, Gavin, Gavin. Your state has become a joke. A punchline of filth and disease in many areas. You…</t>
  </si>
  <si>
    <t>Lol. I’m glad I left California 20 years ago. Sanctuary cities = sanctuary scams
They have helped ruin your state and increased the tax burden 200% https://t.co/8G9oEp49OW</t>
  </si>
  <si>
    <t>RT @Robert_Fiore: @GavinNewsom CRIME
San Francisco Is Suffering From The Excesses Of Its Own Liberalism.  The astounding level of mismanage…</t>
  </si>
  <si>
    <t>RT @realDonaldTrump: There is a Revolution going on in California. Soooo many Sanctuary areas want OUT of this ridiculous, crime infested &amp;amp;…</t>
  </si>
  <si>
    <t>RT @PrisonPlanet: BBC News host tells former Navy Admiral that he shouldn’t question the motivation behind military intervention in Syria b…</t>
  </si>
  <si>
    <t>RT @Sticknstones4: @JohnLamping @stltoday If legislators and the attorney general want to get rid of the governor by impeachment, they shou…</t>
  </si>
  <si>
    <t>Just the people who elected him. Why don’t you wait until he is actually convicted him of something before passing judgement?
#MoLeg https://t.co/Sg5VqwZtyM</t>
  </si>
  <si>
    <t>RT @Sticknstones4: Who would be left standing at #moleg
Not many https://t.co/oaWwCCsPNA</t>
  </si>
  <si>
    <t>He’s innocent, Until proven guilty last time i checked.
Also what do you make of the inconsistent witness testimony?
#MoLeg #MoGov https://t.co/N0GwtvPD89</t>
  </si>
  <si>
    <t>RT @Sticknstones4: For the 4th year in a row #Missouri leads the nation in an unhappy statistic: the rate of homicide victimization for its…</t>
  </si>
  <si>
    <t>Hey at least @TonyMonetti is standing up for justice and due process! That’s more than I can say of the ladder boy @HawleyMO 
#MoSen #MoLeg #MoGov https://t.co/1qNxyBETBZ</t>
  </si>
  <si>
    <t>Good thing trump doesn’t decide. Missouri voters do and we are saying loud and clear:
Do not resign @EricGreitens 
#moleg #MoGov https://t.co/8qcCzWcWAF</t>
  </si>
  <si>
    <t>RT @sigi_hill: @magathemaga1 @ohsynesthesia @MOHouseGOP @MissouriGOP @Avenge_mypeople @Blackboxhalo @Rep_TRichardson @elijahhaahr @strmsptr…</t>
  </si>
  <si>
    <t>This actually isn’t true. This was a consensual fling and it only became “assault” when Eric cut the #Taxcredits which needed reform and was the right move.
So he was draining the swamp.
Yes it’s a witch hunt
#MoLeg #MoGov #Greitens https://t.co/wCLqD2Ysa1</t>
  </si>
  <si>
    <t>RT @EricGreitens: I will not be resigning the Governor's office. In three weeks, this matter will go to a court of law—where it belongs and…</t>
  </si>
  <si>
    <t>RT @sigi_hill: @grcfay @magathemaga1 @ohsynesthesia @MOHouseGOP @MissouriGOP @Avenge_mypeople @Blackboxhalo @Rep_TRichardson @elijahhaahr @…</t>
  </si>
  <si>
    <t>RT @DeplorableGoldn: RT-ing 🚨
@HawleyMO  is going other avenues to get rid of #greitens . That should tell you all you need to know about t…</t>
  </si>
  <si>
    <t>RT @magathemaga1: This is what I’m saying #MoSen 
Terrible political instincts from Hawley. Claire is going to attack big time and it reco…</t>
  </si>
  <si>
    <t>RT @VisioDeiFromLA: @TheNancyAllen @AP4Liberty @HawleyMO @EricGreitens Yes I know a trial and impeachment are two different things. However…</t>
  </si>
  <si>
    <t>RT @magathemaga1: This.
We the voters DO NOT CARE WHAT the “cool kids” club of #MoLeg thinks. 
We voted for Trump because he was a fighte…</t>
  </si>
  <si>
    <t>RT @VisioDeiFromLA: @Kirchnerbk80 @Tough_and_Cool @GinaB4real @EricGreitens @RealTravisCook @SKOLBLUE1 @blackwidow07 @BigJShoota @SpeakerTi…</t>
  </si>
  <si>
    <t>RT @VisioDeiFromLA: @condorianflex @timmy2handz @EricGreitens One accusation isn’t credible at all if you’ve been following along. It fell…</t>
  </si>
  <si>
    <t>RT @VisioDeiFromLA: @Huntr4myCountry @JeremyXKingsley @jymetcalf @cwallace504 @magathemaga1 @timmy2handz @EricGreitens @Eric_Schmitt @Chane…</t>
  </si>
  <si>
    <t>RT @sigi_hill: Governor, Thank you for your service as a SEAL, your mission and for standing strong for your promise as our elected Governo…</t>
  </si>
  <si>
    <t>RT @VisioDeiFromLA: (2) 
You are ATTACKING THE VOTERS who gave you a majority in that state who want due diligence and fairness.
If U don…</t>
  </si>
  <si>
    <t>RT @VisioDeiFromLA: @YblackGOP @MOHouseGOP @Rep_TRichardson @elijahhaahr @MOGOP_Chairman Sorry Brian I disagree and Hawley looks very bad h…</t>
  </si>
  <si>
    <t>RT @VisioDeiFromLA: @YblackGOP @MOHouseGOP @Rep_TRichardson @elijahhaahr @MOGOP_Chairman @AP4Liberty @Monetti4Senate @SykesforSenate This i…</t>
  </si>
  <si>
    <t>RT @VisioDeiFromLA: @YblackGOP @Markknight45 @MOHouseGOP @Rep_TRichardson @elijahhaahr @MOGOP_Chairman @AP4Liberty @Monetti4Senate @Sykesfo…</t>
  </si>
  <si>
    <t>RT @magathemaga1: @RealTravisCook @SykesforSenate We call him the #LadderBoy or maybe the #SwampBoy ??
#MOSEN #MoLeg #MoGov https://t.co/B…</t>
  </si>
  <si>
    <t>RT @VisioDeiFromLA: “It was as if Hawley were saying, “Hey, Gardner, another statue of limitations is about to run on a “possible” criminal…</t>
  </si>
  <si>
    <t>RT @VisioDeiFromLA: @TheNancyAllen @AP4Liberty @HawleyMO @EricGreitens I want to see evidence and a conviction first. It’s important we hav…</t>
  </si>
  <si>
    <t>RT @JW1057: @rep_trichardson @RonFRichard why do you hate the rule of law? Why do you hate due process? Why do you hate Missouri? Why do yo…</t>
  </si>
  <si>
    <t>RT @VisioDeiFromLA: @JeremyXKingsley @jymetcalf @cwallace504 @magathemaga1 @timmy2handz @EricGreitens @Eric_Schmitt @ChanelRion @Sticknston…</t>
  </si>
  <si>
    <t>RT @Hope4Hopeless1: @JunkieJoePol @VisioDeiFromLA @jymetcalf @cwallace504 @magathemaga1 @timmy2handz @EricGreitens @Eric_Schmitt @ChanelRio…</t>
  </si>
  <si>
    <t>RT @sigi_hill: @EricGreitens Governor, Thank you for your service as a SEAL, your mission and for standing strong for your promise as our e…</t>
  </si>
  <si>
    <t>RT @VisioDeiFromLA: He hasn't been convicted of anything. 
What is wrong with you? 
He has a trial. It can wait until then. Until then he…</t>
  </si>
  <si>
    <t>RT @VisioDeiFromLA: (1) No. 
You are ATTACKING THE VOTERS who gave you a majority in that state who want due diligence and fairness.
If U…</t>
  </si>
  <si>
    <t>RT @VisioDeiFromLA: (3) 
If you are so worried about @EricGreitens what’s the problem with waiting until his case?
Are you worried he wil…</t>
  </si>
  <si>
    <t>RT @VisioDeiFromLA: Must be nice not knowing that demographics of Twitter are 85 liberal/coastal &amp;amp; most people commenting there are from ou…</t>
  </si>
  <si>
    <t>RT @DeplorableGoldn: RT-ing 🚨 please share! 🚨
@jallman971 and @EricGreitens  are casualties of an ongoing attack against the republican est…</t>
  </si>
  <si>
    <t>RT @VisioDeiFromLA: “I will not be resigning the Governor's office. In 3 weeks, this matter will go to a court of law—where it belongs and…</t>
  </si>
  <si>
    <t>RT @magathemaga1: GOOD 
Keep fighting @EricGreitens if you are innocent
#MoLeg #MoGov @Eric_Schmitt https://t.co/OgY0PgVIhD</t>
  </si>
  <si>
    <t>RT @Avenge_mypeople: Truth.
#MOSen 
#moleg
#GreitensIndictment https://t.co/owBY8YaAHJ</t>
  </si>
  <si>
    <t>RT @VisioDeiFromLA: It isnt funny that neither of you support due process or black people.
What have we fought for all these years?
#Mole…</t>
  </si>
  <si>
    <t>RT @magathemaga1: @ChhunChhim @timmy2handz @VisioDeiFromLA @EricGreitens @Eric_Schmitt @ChanelRion @Sticknstones4 @Hope4Hopeless1 @MOHouseG…</t>
  </si>
  <si>
    <t>RT @VisioDeiFromLA: @YblackGOP @MOHouseGOP @Rep_TRichardson @elijahhaahr @MOGOP_Chairman @AP4Liberty @Monetti4Senate @SykesforSenate Puttin…</t>
  </si>
  <si>
    <t>RT @VisioDeiFromLA: @condorianflex @timmy2handz @EricGreitens Greitens is innocent until proven guilty. If he’s guilty, what are you so wor…</t>
  </si>
  <si>
    <t>RT @VisioDeiFromLA: Wise words. 
Let it play out @elijahhaahr 
#moleg #mogov https://t.co/O0JT14ZjI0</t>
  </si>
  <si>
    <t>RT @aaron_hedlund: The nice thing about the upcoming trial is the public will hear both sides, under oath, with cross-examination and stand…</t>
  </si>
  <si>
    <t>RT @VisioDeiFromLA: TRANSLATION,
Dear #MoLeg
Let's post some snark 2 ingratiate myself with "cool kids" &amp;amp; do away with fairness/justice a…</t>
  </si>
  <si>
    <t>RT @Sticknstones4: Steve Cookson of Poplar Bluff, They're tearing our whole party and caucus apart , referring to #greitens supporters 
Th…</t>
  </si>
  <si>
    <t>RT @magathemaga1: Please. She has a name.
And that name is #KimShady
Get hip with it, Lindsay
#MoLeg #MoGov
@BigJShoota @MOHouseGOP htt…</t>
  </si>
  <si>
    <t>RT @VisioDeiFromLA: @YblackGOP @MOHouseGOP @Rep_TRichardson @elijahhaahr @MOGOP_Chairman @AP4Liberty @Monetti4Senate @SykesforSenate But un…</t>
  </si>
  <si>
    <t>RT @AdamAton: I’m so glad #moleg gets the good memes now https://t.co/sXjdsrT28S</t>
  </si>
  <si>
    <t>RT @blackwidow07: @Sticknstones4 can you believe an illiterate brokeback, uneducated, jailed knifing hoodrat #moleg that never worked a day…</t>
  </si>
  <si>
    <t>RT @Sticknstones4: @JW1057 @VisioDeiFromLA @MarshallGReport @EricGreitens @Rep_TRichardson Why hasn’t any memeber of the @MOHouseGOP or @MO…</t>
  </si>
  <si>
    <t>RT @melody_grover: Yes! Justice requires truth! Notable that @JCunninghamMO is also one of the biggest and earliest backers of @HawleyMO. #…</t>
  </si>
  <si>
    <t>RT @Sticknstones4: Why are all the poplar bluff politicians always the iniative leaders in wanting to oust greitens ?   What’s going on in…</t>
  </si>
  <si>
    <t>RT @VisioDeiFromLA: Not opinion. If it was an opinion, why did the media stop talking about it today?
Because the allegations are falling…</t>
  </si>
  <si>
    <t>RT @Sticknstones4: @blackwidow07 @RonFRichard Yes I can believe  #moleg is a bunch of crooked corrupt lncompetent inept Liars.  They only c…</t>
  </si>
  <si>
    <t>RT @TrumpChess: Shout out to @GovGreitensMO saying "He will NOT step down" and we're proud to stand with him @POTUS The only LIAR I've seen…</t>
  </si>
  <si>
    <t>RT @JW1057: Dear Members of the Missouri House and Senate:
If you don't want to work with @EricGreitens then you are all free to resign. T…</t>
  </si>
  <si>
    <t>RT @VisioDeiFromLA: @Treva_reva_reva @YblackGOP @philip_saulter @Monetti4Senate @Avenge_mypeople @SmokeyBear2018 @juliematthews50 @jallman9…</t>
  </si>
  <si>
    <t>RT @VisioDeiFromLA: The Moment @realDonaldTrump gets @EricGreitens 2 resign if he does or is trying... RINOS/Dems will demand Trump steps d…</t>
  </si>
  <si>
    <t>RT @melody_grover: If @HawleyMO crusade to oust #mogov &amp;amp; overturn will of MO voters causes him to lose #mosen, let that be a lesson to the…</t>
  </si>
  <si>
    <t>RT @VisioDeiFromLA: @EricGreitens Keep fighting brotha! #MoLeg</t>
  </si>
  <si>
    <t>RT @magathemaga1: Told ya #LadderBoy 
Not only does ur actions make it look like witch hunt and false charges,  it hands ammo to Claire. I…</t>
  </si>
  <si>
    <t>RT @TrumpChess: I don't feel sorry for Hawley but I sure hope @POTUS backs someone else in the #MoSen race to replace millionaire Claire. @…</t>
  </si>
  <si>
    <t>RT @Sticknstones4: Just exactly how many investigations does it take to find something ?  Give it up Swampdwellers !
If you put as much ef…</t>
  </si>
  <si>
    <t>RT @magathemaga1: ⚠️ #Moleg #MoGov #MoSen ⚠️
POLL TIME!
Good morning 2 everybody but the #Missouri media 
Now that #LadderBoy has fully…</t>
  </si>
  <si>
    <t>RT @JW1057: @YblackGOP See attached.
#moleg #mogov #greitens #KimShady #IStandWithGreitens https://t.co/f2h5R9vbrE</t>
  </si>
  <si>
    <t>RT @melody_grover: I feel a tad bit sorry for @HawleyMO and the other Chicken Littles whose political careers will be flushed down the drai…</t>
  </si>
  <si>
    <t>RT @magathemaga1: #LadderBoy Hawley decided to take on the role of Mueller 2.0
✔Waits until now?
✔Was he doing his job at all as AG?
✔Why…</t>
  </si>
  <si>
    <t>RT @StevenDialTV: NEW statement on behalf of Gov. @EricGreitens 
""I will not be resigning the Governor's office. In three weeks, this matt…</t>
  </si>
  <si>
    <t>RT @Sticknstones4: @melody_grover #moleg sure has a bunch of bullies in it !  I thought there were anti bullying laws in the workplace?…</t>
  </si>
  <si>
    <t>RT @VisioDeiFromLA: @Avenge_mypeople @SmokeyBear2018 @juliematthews50 @jallman971 @EricGreitens @Monetti4Senate At the very least want to h…</t>
  </si>
  <si>
    <t>RT @Norasmith1000: @Hope4Hopeless1 @sigi_hill @Joe_Cool_1 @staceynewman @EricGreitens Yes thats what I want to know. Stacy Newman is close…</t>
  </si>
  <si>
    <t>RT @melody_grover: “I still think this is America and you’re innocent until you’re proven guilty...There’s two sides to the story.  And rig…</t>
  </si>
  <si>
    <t>This! #MoLeg #MoGov #MoSen https://t.co/yTTIEsLsX4</t>
  </si>
  <si>
    <t>RT @Sticknstones4: It’s Not a Witch Hunt 😜
It’s a swamp creatures rising,  crooked #Moleg saw their 1st attempt to take down #Greiteins wa…</t>
  </si>
  <si>
    <t>RT @magathemaga1: If innocence is brought 2 bar &amp;amp; condemned, perhaps 2 die, then citizens will say, “whether I do good or evil is immateria…</t>
  </si>
  <si>
    <t>RT @magathemaga1: @timmy2handz @VisioDeiFromLA @EricGreitens They are allegations/charges. He is innocent until proven guilty. 
He gets hi…</t>
  </si>
  <si>
    <t>RT @VisioDeiFromLA: @gordonlglaus @RealTravisCook @CryptoMatt06 @EricGreitens @blackwidow07 @Hope4Hopeless1 @SKOLBLUE1 @YearOfZero @DRUDGE…</t>
  </si>
  <si>
    <t>RT @VisioDeiFromLA: @EricGreitens Keep fighting. We are absolutely against Witch Hunts and this is one! 
#MoLeg #MoGov #Greitens #Missouri…</t>
  </si>
  <si>
    <t>RT @YearOfZero: @kitkat232455 @VABVOX @madameshawshank Oh please she kept seeing the man. Notice how nobody is talking about it now? Do you…</t>
  </si>
  <si>
    <t>@kitkat232455 @VABVOX @madameshawshank Oh please she kept seeing the man. Notice how nobody is talking about it now? Do you know that she lied in her testimony? Her version of events are inconsistent with each other 
#Moleg #MoGov #greitens #stlouis https://t.co/tT9cF2i33v</t>
  </si>
  <si>
    <t>RT @YearOfZero: @rmwkenpo @cjillian0709 Arrest him for what? Nobody has answered why the woman kept seeing the man. 
Sorry but until these…</t>
  </si>
  <si>
    <t>@Delainey81 @rmwkenpo @cjillian0709 The report is bs and has holes in it. That’s  Why the media stopped talking about it. Want to know how?
Also are you saying women are just weak and can’t control themselves in the prescience of alpha males?
Why do you think women are weak? #MoLeg</t>
  </si>
  <si>
    <t>RT @VisioDeiFromLA: @CryptoMatt06 @EricGreitens @blackwidow07 @RealTravisCook @Hope4Hopeless1 @SKOLBLUE1 @YearOfZero @DRUDGE @joelpollak @S…</t>
  </si>
  <si>
    <t>RT @VisioDeiFromLA: @RealTravisCook @CryptoMatt06 @EricGreitens @blackwidow07 @Hope4Hopeless1 @SKOLBLUE1 @YearOfZero @DRUDGE @joelpollak @S…</t>
  </si>
  <si>
    <t>@DimsSecret @VisioDeiFromLA @heartsleeve @Tough_and_Cool @GinaB4real @EricGreitens #MOLeg #MoGov #Greitens #Missouri #Stlouis https://t.co/lkNyMlMcqg</t>
  </si>
  <si>
    <t>RT @AP4Liberty: .@HawleyMO inappropriately used his office to score political points by calling @EricGreitens alleged actions impeachable a…</t>
  </si>
  <si>
    <t>Yes but you were speaking present tense...</t>
  </si>
  <si>
    <t>RT @joel_capizzi: Hawley has the plan B to take down Greitens. Mark it down. Given how slick Josh sidestepped questions about Trump's own r…</t>
  </si>
  <si>
    <t>#MoLeg https://t.co/HBNVM59ux9</t>
  </si>
  <si>
    <t>RT @YearOfZero: You cornered @SheenaGreitens to what?
To try 2 blackmail her? To tell her about affair?
What?
suggests you know a lot mo…</t>
  </si>
  <si>
    <t>Hey @JW1057 did you see this??</t>
  </si>
  <si>
    <t>You cornered @SheenaGreitens to what?
To try 2 blackmail her? To tell her about affair?
What?
suggests you know a lot more about this than is being let on. I’m just a news follower but I do work as LEO. You’re tatements seem to be overcompensating. Just an observation
#MOLEG https://t.co/VYy4daXfwm</t>
  </si>
  <si>
    <t>Getting defensive?  
I do agree with @magathemaga1 
Now that it’s been confirmed by you that it was just an affair.
We should look into why the man went to the media and not the police (now we know it’s not a crime).
Who helped him?
Who offered to pay legal fees?
#MoLeg https://t.co/VYy4daXfwm</t>
  </si>
  <si>
    <t>RT @YearOfZero: True. But I don’t believe the story and judging by how the media conversation has changed, the media knows it’s bs too
#Mo…</t>
  </si>
  <si>
    <t>RT @YearOfZero: If doing his job, the potential violations would have been investigated Long ago, not after u drag @EricGreitens through mu…</t>
  </si>
  <si>
    <t>RT @YearOfZero: TOTAL WITCH HUNT @HawleyMO 
Talk about timing. I think you need to resign for your blatant politics.
#MOLEG #mosen #mogov…</t>
  </si>
  <si>
    <t>RT @JackPosobiec: Have they waterboarded Michael Cohen yet or are they saving that for primetime?</t>
  </si>
  <si>
    <t>Wait a second? It’s was just an affair?
#moleg #GreitensIndictment #greitensreport #MoGov https://t.co/coKSGxNpbm</t>
  </si>
  <si>
    <t>If doing his job, the potential violations would have been investigated Long ago, not after u drag @EricGreitens through mud for 3 months on jealous ex husband bs &amp;amp; spring as soon as that falls apart. 5 days to go? It’s probably already expired #moleg 
@HawleyMO is #LadderBoy https://t.co/4vmWr1VsOf</t>
  </si>
  <si>
    <t>TOTAL WITCH HUNT @HawleyMO 
Talk about timing. I think you need to resign for your blatant politics.
#MOLEG #mosen #mogov
@EricGreitens @GOPMissouri https://t.co/iW9E0mkKMG</t>
  </si>
  <si>
    <t>True. But I don’t believe the story and judging by how the media conversation has changed, the media knows it’s bs too
#MoLeg #MoGov https://t.co/H6q7s63cTq</t>
  </si>
  <si>
    <t>RT @YearOfZero: So now it’s just adultery?
Meaning story from PS and KS was just made up? 🤦‍♂️ 
And cheating isn’t a crime. It’s a sin. B…</t>
  </si>
  <si>
    <t>@Avenge_mypeople @WillSchamper_ @Sticknstones4 @magathemaga1 @VisioDeiFromLA @EdBigCon @KathieConway @ohsynesthesia @TommyLeeAllman @EricGreitens @BigJShoota @joelpollak @SKOLBLUE1 @Blackboxhalo @MOHouseGOP @DaynaGould @Hope4Hopeless1 @MissouriGOP @GOPMissouri @strmsptr @ninekiller @JohnLamping @FN4AP @ErgoStreetNurse @AvrilMai91 @blackwidow07 @HawleyMO Hawley made a bad calculation here</t>
  </si>
  <si>
    <t>@magathemaga1 @Avenge_mypeople @AP4Liberty @Monetti4Senate @SykesforSenate @MOHouseGOP @Shawtypepelina @MSTLGA @JohnLamping @EricGreitens @MissouriGOP @HotPokerPrinces @SKOLBLUE1 Lol it’s true though</t>
  </si>
  <si>
    <t>RT @JackPosobiec: Case closed? https://t.co/jx6sWDkhxm</t>
  </si>
  <si>
    <t>RT @EJ_Atwood: @AGJoshHawley should be removed from office, disbarred and sent home as the disgrace he is.  The 1st made up story didn't wo…</t>
  </si>
  <si>
    <t>RT @Sticknstones4: Office of the Chief Disciplinary Counsel: Revoke the law license of St. Louis Circuit Attorney Kim Gardner! - Sign the P…</t>
  </si>
  <si>
    <t>RT @philip_saulter: @Darth_Timber @ShelleyESP0 @EricGreitens AG grasping at straws because they realize Mo.Constitution doesn't support a c…</t>
  </si>
  <si>
    <t>#MoLeg #MoGov #MoSen
Do not resign @EricGreitens https://t.co/ym1Ok3CIYP</t>
  </si>
  <si>
    <t>@philip_saulter @Darth_Timber @ShelleyESP0 @EricGreitens This.</t>
  </si>
  <si>
    <t>So now it’s just adultery?
Meaning story from PS and KS was just made up? 🤦‍♂️ 
And cheating isn’t a crime. It’s a sin. Between him and @SheenaGreitens 
@EricGreitens they all but admitting the thing was made up. Do not resign and don’t listen to #LadderBoy Hawley #MOLeg https://t.co/bLAtHIXtjR</t>
  </si>
  <si>
    <t>RT @YearOfZero: @MactavishShawn @VisioDeiFromLA @EricGreitens @MOHouseGOP just makes @HawleyMO look like  wasn’t doing anything as AG and t…</t>
  </si>
  <si>
    <t>@MactavishShawn @VisioDeiFromLA @EricGreitens @MOHouseGOP @HawleyMO also open up @HawleyMO to attacks by Claire as inexperienced and incompetent
Not ready
seems to have bad political instincts. I’ve said before, I’m all for  Eric resigning if he’s guilty but your springing this on him after other case falls apart? Politically motivated #MOLeg</t>
  </si>
  <si>
    <t>@MactavishShawn @VisioDeiFromLA @EricGreitens @MOHouseGOP just makes @HawleyMO look like  wasn’t doing anything as AG and totally incompetent or just running for senate the whole time. Maybe he is a #LadderBoy ??
My theory? They thought the made up story about the hairdresser would be enough. This reeks of plan B
#MOLeg #mogov #MOsen</t>
  </si>
  <si>
    <t>RT @magathemaga1: The #GreitensIndictment in a nutshell:
Media sucks
Consensual fling 
Inconsistent testimony
#KimShady
#NoNotesTisaby 
Wa…</t>
  </si>
  <si>
    <t>RT @Avenge_mypeople: @HawleyMO  is going after other avenues to get rid of #greitens . That should tell you all you need to know about this…</t>
  </si>
  <si>
    <t>RT @Avenge_mypeople: @HawleyMO , the fake #MAGA candidate is out snooping for Democrats to see if he can find anything on #Greitens  since…</t>
  </si>
  <si>
    <t>RT @JW1057: @realDonaldTrump there's a traitor in your mist. His name is @HawleyMO and he isn't interested in MAGA. Josh Hawley is Missouri…</t>
  </si>
  <si>
    <t>RT @DeplorableGoldn: RT 🚨
Greitens will never resign. Ever. This is the 2nd time @AGJoshHawley has called for the resignation of a Republic…</t>
  </si>
  <si>
    <t>RT @melody_grover: If the case against #mogov is dismissed or results in acquittal, @HawleyMO must immediately resign as AG and depart the…</t>
  </si>
  <si>
    <t>RT @VisioDeiFromLA: May have or did?
Now that the whole fake allegations against @EricGreitens with that woman have been exposed as be, th…</t>
  </si>
  <si>
    <t>RT @VisioDeiFromLA: Let's see the evidence.
#moleg https://t.co/ALRrb0d077</t>
  </si>
  <si>
    <t>RT @VisioDeiFromLA: This is an example of "another outcome" language pattern.
See our fake allegations that were totally made up didnt wor…</t>
  </si>
  <si>
    <t>RT @VisioDeiFromLA: "May have" isnt "he did"
#moleg #mogov https://t.co/nEHP4ylEL3</t>
  </si>
  <si>
    <t>RT @StevenDialTV: New statement from @EricGreitens 
"Fortunately for Josh, he’s better at press conferences than the law. Anyone who has se…</t>
  </si>
  <si>
    <t>RT @magathemaga1: Some additions. Credit is due to @GrrrGraphics for this. Great follow everybody!
#moleg #greitens #MOSen https://t.co/yk…</t>
  </si>
  <si>
    <t>RT @magathemaga1: I'm with @EricGreitens @MOHouseGOP 
Your R+20 is a direct result of people like me who dont mind voting in outsiders
So…</t>
  </si>
  <si>
    <t>RT @magathemaga1: Good question 
Because the media is in on the witch hunt against @EricGreitens
#moleg https://t.co/mYaUfrEo71</t>
  </si>
  <si>
    <t>RT @VisioDeiFromLA: "Potential" 
#MOLeg https://t.co/kUd3bMcZSY</t>
  </si>
  <si>
    <t>RT @VisioDeiFromLA: @melody_grover @HawleyMO Agreed. 30 days before limitations runs out. Seems more like a way to scree @EricGreitens 
Wh…</t>
  </si>
  <si>
    <t>RT @JW1057: @Sticknstones4 @ws_missouri For people who are claiming that this is not a witch hunt, they sure are doing a good job of making…</t>
  </si>
  <si>
    <t>RT @magathemaga1: So who is paying it Beth. 15k is kind of a low number... that's probably just a chunk. I can only imagine it's probably 5…</t>
  </si>
  <si>
    <t>RT @VisioDeiFromLA: Potential.
Let's see evidence. Certainly seems suspicious given "hundreds of thousands" of pages have been turned over…</t>
  </si>
  <si>
    <t>@VisioDeiFromLA @JaneDueker @EricGreitens Lol ... this is funny. You should write a book about your MoLeg battles and arguments with people #moleg</t>
  </si>
  <si>
    <t>RT @VisioDeiFromLA: What @JaneDueker has thrown out window in her WITCH HUNT of @EricGreitens:
Logic
Rule of Law
Presumption of Innocence…</t>
  </si>
  <si>
    <t>RT @EdBigCon: #KimShady needs to resign!Greitens' Prosecution: Relying on Investigator Was a Mistake #Moleg   https://t.co/rY1j298Yul</t>
  </si>
  <si>
    <t>RT @magathemaga1: @Bryantbusby2 @YblackGOP @EricGreitens @Monetti4Senate @SykesforSenate @AP4Liberty The new painting has arrived
#moleg #…</t>
  </si>
  <si>
    <t>RT @VisioDeiFromLA: Good morning #MOLeg &amp;amp; #mogov
What happened? Oh did we finally realize that ks/ps lying? No apologies 4 that? Any apolo…</t>
  </si>
  <si>
    <t>RT @KurtEricksonPD: Add'l statement from @EricGreitens: "Josh has turned the “evidence” he claims to have over to St. Louis Circuit Attorne…</t>
  </si>
  <si>
    <t>RT @Hope4Hopeless1: #KimShady witheld EVIDENCE in discovery and it MAGICALLY appeared 1hr after #Moleg's "report"  that SHOWS that when Kit…</t>
  </si>
  <si>
    <t>RT @VisioDeiFromLA: Lol exactly what I was thinking. I want claire gone but she is crafty, and this does really show #LadderBoy has bad pol…</t>
  </si>
  <si>
    <t>RT @Avenge_mypeople: @HawleyMO is looking more and more like one of "them." Since the #GreitensIndictment doesn't look like it's gonna pan…</t>
  </si>
  <si>
    <t>RT @JackSuntrup: "Anyone who has set foot in a Missouri courtroom knows these allegations are ridiculous," Jeffrey said, without specifying…</t>
  </si>
  <si>
    <t>RT @VisioDeiFromLA: Oh I'm glad Jen weighed in.
Remember how last week you were so sure that the allegations by that women were real?
Now…</t>
  </si>
  <si>
    <t>RT @melody_grover: When did America stop being a country of laws and due process? The political establishment has the #MAGA agenda in their…</t>
  </si>
  <si>
    <t>RT @Avenge_mypeople: @jallman971 and @EricGreitens  are casualties of an ongoing attack against the republican establishment in Missouri. G…</t>
  </si>
  <si>
    <t>RT @JW1057: @kmoxnews Criminally this appears to be nonstarter. If violation occurred on 3/1/15, or earlier, the three year statute of limi…</t>
  </si>
  <si>
    <t>RT @JW1057: @stlcao Self-interested Josh Hawley and corrupt Kim Gardner a match made in hell. 
#moleg #mogov #greitens #GreitensIndictment…</t>
  </si>
  <si>
    <t>RT @magathemaga1: @Sticknstones4 @EdBigCon Hey @EricGreitens you got a little Mueller 2.0 walking around #moleg and #mogov 
Hey @KathieCon…</t>
  </si>
  <si>
    <t>RT @JW1057: @EricGreitens @SheenaGreitens @TeamGreitens @StLCountyRepub @MissouriGOP @CStamper_ @MOGOP_Chairman @VisioDeiFromLA @melody_gro…</t>
  </si>
  <si>
    <t>RT @VisioDeiFromLA: What ever happened with these allegations against Hawley??
"Hawley illegally paid Senate consultants with state campai…</t>
  </si>
  <si>
    <t>RT @magathemaga1: #LadderBoy Hawley has decided to take on the role of Mueller 2.0
✔Waits until now?
✔Was he doing his job at all as AG?
✔…</t>
  </si>
  <si>
    <t>RT @magathemaga1: #Missouri Needs to Drain Swamp
New witch hunt allegations by #LadderBoy:
✔Waits until now?
✔Was he doing his job at all…</t>
  </si>
  <si>
    <t>RT @YearOfZero: No, we don’t believe you.
Your a far left liberal rag who mistakes objectivity with liberal butt kissing.
Stl Post is fak…</t>
  </si>
  <si>
    <t>RT @magathemaga1: #MOLeg #mogov #greitens #mosen @jallman971 @SuchHate @Koenig4MO @shawnrhoads154 @BillEigel @Monetti4Senate @CStamper_ @sh…</t>
  </si>
  <si>
    <t>RT @magathemaga1: We have to remember why we have the presumption of innocence in this country. 
#MOLeg #MAGA #mogov #MOGOP #MoSen #greite…</t>
  </si>
  <si>
    <t>@TeamHawley @HawleyMO #LadderBoy https://t.co/ZkFerxfBCB</t>
  </si>
  <si>
    <t>RT @SykesforSenate: The Missouri State Senate republicans are either being played for fools or personally benefiting by attacking Greitens.…</t>
  </si>
  <si>
    <t>@KMOV @JW1057 #MoSen
He’s a #LadderBoy https://t.co/c5eVj6ynHu</t>
  </si>
  <si>
    <t>@JW1057 @HawleyMO @Monetti4Senate @SykesforSenate @AP4Liberty @EricGreitens @MSTLGA @Sticknstones4 @JohnLamping @AvrilMai91 @ChanelRion @SKOLBLUE1 @DaynaGould @Hope4Hopeless1 Correct. Bad wording on my part.</t>
  </si>
  <si>
    <t>RT @YearOfZero: Hey @HawleyMO and #missouri
Choice now clear for #MoSen
Vote:
@Monetti4Senate
@SykesforSenate 
@AP4Liberty 
I can’t supp…</t>
  </si>
  <si>
    <t>Hey @HawleyMO and #missouri
Choice now clear for #MoSen
Vote:
@Monetti4Senate
@SykesforSenate 
@AP4Liberty 
I can’t support a #LadderBoy like Hawley who can’t even allow @EricGreitens his day 2 prove his innocence or, confirm his guilt.
That’s not America. 
#MoLeg #MoGov https://t.co/GRyJsICaQo</t>
  </si>
  <si>
    <t>RT @VisioDeiFromLA: Waiting for @EricGreitens to get his day in court, and his career not ve ruined until he is actually proven guilty of s…</t>
  </si>
  <si>
    <t>RT @christoferguson: Time to surrender in the war against medical cannabis for veterans https://t.co/OmZTs1kMHh #Moleg</t>
  </si>
  <si>
    <t>@magathemaga1 @Hope4Hopeless1 @AvrilMai91 @AP4Liberty @MOHouseGOP @SpeakerTimJones @EricGreitens @Avenge_mypeople @Sticknstones4 @MOGOP_Chairman @ChanelRion Here’s one! #MOSEN https://t.co/JT034wtrDN</t>
  </si>
  <si>
    <t>@Sticknstones4 @K___Garner @EricGreitens I know all these clowns acting like women don’t have dirty thoughts on here must not know women!</t>
  </si>
  <si>
    <t>@Beganovic_85 @MissouriGOP typo: Gun confiscation</t>
  </si>
  <si>
    <t>RT @YearOfZero: @Beganovic_85 @MissouriGOP Right talk to voters:
All @MissouriGOP needs to do:
Democrats hate Americans.
They love illega…</t>
  </si>
  <si>
    <t>RT @YearOfZero: Hey @k___garner
Have you ever had kinky sex? Ever read a romance novel? 50 Shades of gray? Women kept seeing @EricGreitens…</t>
  </si>
  <si>
    <t>RT @Sticknstones4: #moleg witchhunters
This ones for you ! https://t.co/ZKv1E3ZD4J</t>
  </si>
  <si>
    <t>RT @Sticknstones4: @tmsnbb He has admitted to the affair
The testimony in the house report doesn’t have any intercourse only Oral ala bill…</t>
  </si>
  <si>
    <t>RT @Sticknstones4: @tmsnbb @realDonaldTrump That’s funny if it’s so unsafe WHY is Rep Stacey Newman parading Greitens alleged accuser At th…</t>
  </si>
  <si>
    <t>@Beganovic_85 @MissouriGOP Right talk to voters:
All @MissouriGOP needs to do:
Democrats hate Americans.
They love illegal aliens. They put them first.
Democrats want fun confiscation.
Many are open about it.
Let’s run on those two issues and see how it goes.
#moleg #MOSEN #mogov</t>
  </si>
  <si>
    <t>RT @VisioDeiFromLA: ⚠️ #KimShady Alert ⚠️
"Circuit Attorney Kim Gardner hid a video that she knew directly contradicted allegations in the…</t>
  </si>
  <si>
    <t>RT @VisioDeiFromLA: He isn't the nominee. He's a candidate to be the nominee, and yes, he is compromised if he doesn't allow @EricGreitens…</t>
  </si>
  <si>
    <t>Hey @k___garner
Have you ever had kinky sex? Ever read a romance novel? 50 Shades of gray? Women kept seeing @EricGreitens Don’t give me that black mail garbage
Cheating ain’t good. But it wasn’t rape as you said. Women do lie just like men &amp;amp; her testimony is suspect
#MOLeg https://t.co/mAXzm4jzZO</t>
  </si>
  <si>
    <t>RT @VisioDeiFromLA: Ya ever gonna follow the money trail or that PS guy? Who offered to pay his legal bills?
#moleg #mogov #greitens https…</t>
  </si>
  <si>
    <t>RT @melody_grover: What's unconscionable is an arrogant &amp;amp; incompetent AG who prioritizes his DC-driven #mosen campaign (for which he has NO…</t>
  </si>
  <si>
    <t>RT @VisioDeiFromLA: He isnt the nominee.
He's a candidate to be the nominee.
As you know. 
And @ap4liberty @Monetti4Senate and @Sykesfor…</t>
  </si>
  <si>
    <t>RT @magathemaga1: @melody_grover @AP4Liberty @Monetti4Senate @HawleyMO #moleg #MOSen https://t.co/2fnqpcqfrQ</t>
  </si>
  <si>
    <t>@tmsnbb @realDonaldTrump I voted for Trump specifically because he fights against witch hunts like this. He ain’t gonna fall for your trap</t>
  </si>
  <si>
    <t>RT @seanhannity: Michael Cohen has never represented me in any matter.  I never retained him, received an invoice, or paid legal fees.  I h…</t>
  </si>
  <si>
    <t>RT @EricGreitens: I was honored to participate in the Purple Heart ceremony for Dewayne “Preacher” Cunningham today in Mt. Vernon. He was w…</t>
  </si>
  <si>
    <t>RT @YearOfZero: 🚨 #KimShady 🚨 
“Dirty Soros-Backed St. Louis Circuit Attorney Withheld Major Evidence in Governor Greitens’ Case – Must Re…</t>
  </si>
  <si>
    <t>RT @_LoveLike_JESUS: .
            LIFE IS GOOD
                 because
           GOD IS GREAT
-- Retweet if you Believe --
.</t>
  </si>
  <si>
    <t>RT @RyanAFournier: The Founders weren’t concerned with specific types of weapons, they were concerned with specific types of governments.</t>
  </si>
  <si>
    <t>RT @EricGreitens: Great weekend with Republicans in Platte and Buchanan counties! These crowds were fired up, because conservative reforms…</t>
  </si>
  <si>
    <t>RT @SaraCarterDC: Wow, .@Comey puts down the American people for voting for @realDonaldTrump like he is the authority on morality. FBI is u…</t>
  </si>
  <si>
    <t>RT @chuckwoolery: Dirty Soros-Backed St. Louis Circuit Attorney Withheld Major Evidence in Governor Greitens’ Case – Must Resign Immediatel…</t>
  </si>
  <si>
    <t>🚨 #KimShady 🚨 
“Dirty Soros-Backed St. Louis Circuit Attorney Withheld Major Evidence in Governor Greitens’ Case – Must Resign Immediately”
#moleg #mogov #greitens #GreitensReport #missouri #GreitensIndictment #StLouis @EricGreitens @JackPosobiec @joelpollak @JohnLamping https://t.co/8Jpy34xXC7</t>
  </si>
  <si>
    <t>No, we don’t believe you.
Your a far left liberal rag who mistakes objectivity with liberal butt kissing.
Stl Post is fake news
#Moleg #mogov https://t.co/GfUVJHHyEs</t>
  </si>
  <si>
    <t>@queen_kegels @Hope4Hopeless1 @fawfulfan @magathemaga1 @jdavidsonlawyer @ems1944 @RGreggKeller @missouriscout @EricGreitens @MOHouseGOP @DaynaGould @HotPokerPrinces @JohnLamping @gagemitchusson @ByronYork @SKOLBLUE1 @Project_Veritas Well as a LEO, my opinion is, the allegations are garbage and TRO could have easily been achieved. But she went back. Nobody believes this except those who have a bias to believe it.
See what actual lawyer has to say 
https://t.co/7OwYaNWGrP</t>
  </si>
  <si>
    <t>@Hope4Hopeless1 @JW1057 @Joe_Cool_1 @VisioDeiFromLA @Sticknstones4 @magathemaga1 Such an obvious witch hunt. @EricGreitens do not resign and do not be bullied by the swamp! 
#moleg #greitens #mogov #StLouis #stl #missouri https://t.co/Lk1mckhFI7</t>
  </si>
  <si>
    <t>RT @VisioDeiFromLA: ⚠️ Narrative Alert ⚠️
Allegations crumbling 
Victims shot their credibitly 
#KimShady shot hers
Case already bs 2 begi…</t>
  </si>
  <si>
    <t>RT @Sticknstones4: Missourians need to take back #Missouri and not these corrupt greedy Mofos
Show Me Sate Needs to show them who’s the bo…</t>
  </si>
  <si>
    <t>RT @VisioDeiFromLA: ⚠️ NARRATIVE ALERT ⚠️
✔Allegations falling apart
✔#MoLeg scrambling!
✔Made up stories about tractor driving hemroid vi…</t>
  </si>
  <si>
    <t>RT @VisioDeiFromLA: ⚠️BREAKING⚠️
Dirty Soros-Backed #StLouis Circuit Attorney Withheld Major Evidence in Governor Greitens' Case - Must Re…</t>
  </si>
  <si>
    <t>RT @Sticknstones4: @magathemaga1 @VisioDeiFromLA @WillSchamper_ @EdBigCon @KathieConway @ohsynesthesia @YearOfZero @TommyLeeAllman @EricGre…</t>
  </si>
  <si>
    <t>RT @magathemaga1: Anybody notice #Greitens accuser "PS" when he was trying 2 get @EricGreitens 2 step down via twitter, he never once calle…</t>
  </si>
  <si>
    <t>RT @Sticknstones4: When Is special reading session for New Evidence that makes House Investigative Report A Sham ? 
@jaybarnes5 @gcmitts @…</t>
  </si>
  <si>
    <t>@BistyCSRoss @KatieKellyMack @magathemaga1 @AndrewFmOregon @jdavidsonlawyer @ems1944 @RGreggKeller @missouriscout @EricGreitens @MOHouseGOP @DaynaGould @Hope4Hopeless1 @HotPokerPrinces @JohnLamping @gagemitchusson @ByronYork @SKOLBLUE1 @Project_Veritas @shawnrhoads154 @parscale https://t.co/7OwYaNWGrP</t>
  </si>
  <si>
    <t>@stevenwaite2 @magathemaga1 @AndrewFmOregon @jdavidsonlawyer @ems1944 @RGreggKeller @missouriscout @EricGreitens @MOHouseGOP @DaynaGould @Hope4Hopeless1 @HotPokerPrinces @JohnLamping @gagemitchusson @ByronYork @SKOLBLUE1 @Project_Veritas @shawnrhoads154 @parscale https://t.co/7OwYaNWGrP</t>
  </si>
  <si>
    <t>RT @JW1057: Cross-examination trivia! 
Can anyone spot the hole in Kitty's testimony? The committee members sure did not.
Answer below!…</t>
  </si>
  <si>
    <t>RT @VisioDeiFromLA: ⚠️BREAKING⚠️
Dirty Soros-Backed St. Louis Circuit Attorney Withheld Major Evidence in Governor Greitens' Case - Must R…</t>
  </si>
  <si>
    <t>RT @Sticknstones4: @MOHouseGOP  #Moleg #greitens #mogov #WitchHunt
When will you be having a special Reading session of the 77 page Transc…</t>
  </si>
  <si>
    <t>RT @magathemaga1: @jdavidsonlawyer @ems1944 @RGreggKeller @missouriscout According to who? You? 
Allegations falling apart and moleg is ge…</t>
  </si>
  <si>
    <t>@stevenwaite2 @magathemaga1 @AndrewFmOregon @jdavidsonlawyer @ems1944 @RGreggKeller @missouriscout @EricGreitens @MOHouseGOP @DaynaGould @Hope4Hopeless1 @HotPokerPrinces @JohnLamping @gagemitchusson @ByronYork @SKOLBLUE1 @Project_Veritas @shawnrhoads154 @parscale Lol you didn’t read it.</t>
  </si>
  <si>
    <t>RT @magathemaga1: @AndrewFmOregon @jdavidsonlawyer @ems1944 @RGreggKeller @missouriscout @EricGreitens @MOHouseGOP @DaynaGould @Hope4Hopele…</t>
  </si>
  <si>
    <t>RT @VisioDeiFromLA: Good question for @robschaaf
#MoLeg #MoGov #MoSen #MoHouse https://t.co/ZPi0w87OmM</t>
  </si>
  <si>
    <t>RT @magathemaga1: @queenofBLAH @EricGreitens He shouldn’t resign. Tell me, why would the accuser call @EricGreitens a home wrecker and chea…</t>
  </si>
  <si>
    <t>RT @melody_grover: Most of the displays of outrage by #moleg come from the same defenders of the status quo who were angry that #mogov chal…</t>
  </si>
  <si>
    <t>RT @magathemaga1: When U begin 2 realize @MOHouseGOP didn’t actually cross examine witnesses or really do research on case, U realize even…</t>
  </si>
  <si>
    <t>RT @magathemaga1: @VisioDeiFromLA @WillSchamper_ @EdBigCon @KathieConway @ohsynesthesia @YearOfZero @TommyLeeAllman @EricGreitens Hey Kathy…</t>
  </si>
  <si>
    <t>RT @magathemaga1: When U put UR ear 2 the ground &amp;amp; listen 2 what's going on in #MoSwamp that is #MoLeg, it becomes even more clear swamp in…</t>
  </si>
  <si>
    <t>RT @magathemaga1: @blackwidow07 @scottfaughn @AGJoshHawley @jaybarnes5 @EricGreitens @HawleyMO #StLouis #Missouri #mogov https://t.co/vxBBn…</t>
  </si>
  <si>
    <t>RT @magathemaga1: @VisioDeiFromLA @WillSchamper_ @EdBigCon @KathieConway @ohsynesthesia @YearOfZero @TommyLeeAllman @EricGreitens @Sticknst…</t>
  </si>
  <si>
    <t>RT @VisioDeiFromLA: @EdBigCon @KathieConway @ohsynesthesia @YearOfZero @TommyLeeAllman @EricGreitens Now that actually makes sense. As @Yea…</t>
  </si>
  <si>
    <t>RT @VisioDeiFromLA: (13) consequently he was fired from @971FMTalk &amp;amp; his TV show as well. Over a tweet. A figure of speech? Was it really t…</t>
  </si>
  <si>
    <t>RT @VisioDeiFromLA: (39) “If you decide you want to do something, you may not get promoted and you may not get the good assignments and you…</t>
  </si>
  <si>
    <t>RT @DeplorableGoldn: RT-ing 🚨
This is that moment you realize that you have screwed up, but you are not smart enough to self-correct before…</t>
  </si>
  <si>
    <t>RT @magathemaga1: @JoshAlterity @EricGreitens @Monetti4Senate @SykesforSenate @AP4Liberty Respect for the meme. Check out this one I’ve bee…</t>
  </si>
  <si>
    <t>RT @JW1057: #moleg #mogov #greitens #GreitensIndictment #KimShady #mopns
Why did Philip remain silent about alleged forced "oral sex?" Rea…</t>
  </si>
  <si>
    <t>RT @sigi_hill: @Norasmith1000 @Sticknstones4 @JW1057 @magathemaga1 @Joe_Cool_1 @VisioDeiFromLA @jaybarnes5 @KevinLAustin1 @gcmitts @jeaniel…</t>
  </si>
  <si>
    <t>RT @memoriadei: Shaming is now a #MOLEG norm by some.  I do not vote for bullies.  #Greitens needs to stand his ground</t>
  </si>
  <si>
    <t>RT @magathemaga1: So many #MoLeg swamp dwellers acting like they know the accuser.... do they?
Well Stacey Newman does per her Facebook pa…</t>
  </si>
  <si>
    <t>RT @magathemaga1: When U realize #MoLeg libs/RINOS &amp;amp; other #MoSwamp creatures appealing 2 @potus who many of them hate 2 get @EricGreitens…</t>
  </si>
  <si>
    <t>RT @SKOLBLUE1: @kendylei @stltoday More than 50% of the staff left when she was appointed PA. They are smart! No one wants to be affiliated…</t>
  </si>
  <si>
    <t>RT @BigLeague2020: SENATOR McCASKILL VOTED NO 
✔️NO to Tax Cuts
✔️NO to SC Judge Neil Gorsuch
✔️NO to Repeal Obamacare
✔️NO to Pro-Life Le…</t>
  </si>
  <si>
    <t>RT @oxiestev: @philip_saulter @VisioDeiFromLA @TeamHawley @HawleyMO Preach!!</t>
  </si>
  <si>
    <t>RT @philip_saulter: @TeamHawley @HawleyMO I am all for you kicking Claire's butt, but continuing to call for Greiten's resignation is going…</t>
  </si>
  <si>
    <t>RT @Sticknstones4: @TrumpChess @robschaaf @DougLibla25 @POTUS @GovGreitensMO Why does #Moleg only want to react to those 24 salacious pages…</t>
  </si>
  <si>
    <t>RT @PhillipArnzen: Apparently you've been in DC too long, Senator. The rocks are on the other side. #mosen https://t.co/wZnLPVNAle</t>
  </si>
  <si>
    <t>RT @magathemaga1: @Norasmith1000 @YearOfZero @Sticknstones4 @HawleyMO @EricGreitens @SykesforSenate @AP4Liberty @Monetti4Senate Take the po…</t>
  </si>
  <si>
    <t>RT @BigLeague2020: @Charleston_Kat @codeofvets @RussellJirik @AP4Liberty @realDonaldTrump We have enough Trump critics in The Swamp already…</t>
  </si>
  <si>
    <t>RT @xadditupx: .@AP4Liberty is holding a contest to see who on #TaxDay can make the most creative tweet using #MakeTaxationTheftAgain! Subm…</t>
  </si>
  <si>
    <t>RT @Steffi_Cole: Want to help out the @AP4Liberty campaign? Volunteer to do phonebanking! There is a training on Monday, April 16 at 7 pm C…</t>
  </si>
  <si>
    <t>RT @VisioDeiFromLA: @KathieConway @YearOfZero @TommyLeeAllman @EricGreitens @MOHouseGOP Kathy. He makes a good point. Trial is soon. Let it…</t>
  </si>
  <si>
    <t>RT @melody_grover: There are 3 options for #mosen GOP primary: @HawleyMO if you think Danforth Republicans and big donors have done a swell…</t>
  </si>
  <si>
    <t>RT @magathemaga1: 🚨 #MoLeg #MoSen #MoGov 🚨 
POLL TIME!
Now that #LadderBoy Hawley is no longer viable option since he wants to deny @Eric…</t>
  </si>
  <si>
    <t>RT @ohsynesthesia: @KathieConway @YearOfZero @TommyLeeAllman @VisioDeiFromLA @EricGreitens Which "incident?" She went back more than once d…</t>
  </si>
  <si>
    <t>@jdavidsonlawyer @VisioDeiFromLA @KathieConway @TommyLeeAllman @EricGreitens Give me a break son. You should have been with me when I took my wife to see 50 shades of gray. Women are just as perverted as men. Pick up a romance novel!
#Greitens #stlouis https://t.co/7gaMZnfnKj</t>
  </si>
  <si>
    <t>@Norasmith1000 @KathieConway @ohsynesthesia @TommyLeeAllman @VisioDeiFromLA @EricGreitens Bingo. Goes to the media! We don’t believe this Kathy.
Keep fighting! Also don’t listen to potus should he ask you to step down. We also stood by him when they dropped fake allegations!
#MoLeg @parscale @realDonaldTrump @DonaldJTrumpJr @GOP #mogov</t>
  </si>
  <si>
    <t>RT @YearOfZero: @VisioDeiFromLA @KathieConway @ohsynesthesia @TommyLeeAllman @EricGreitens Simple question, which YOU STILL HAVE NOT ANSWER…</t>
  </si>
  <si>
    <t>@KathieConway @ohsynesthesia @TommyLeeAllman @VisioDeiFromLA @EricGreitens It’s like you don’t want ALL THE FACTS out there. If your SO CONFIDENT in this case, the verdict will be assured. 
But you aren’t. In fact, the way your defending such rush to judgement tells me your worried Eric will be exonerated and your petty vendetta won’t be ensured #Moleg</t>
  </si>
  <si>
    <t>@KathieConway @ohsynesthesia @TommyLeeAllman @VisioDeiFromLA @EricGreitens What if they are telling the truth. What if Eric is telling the truth?
The trial is next month (it should be dismissed). The case should have had a bench trial to begin with and it was reckless to begin with to release what the House did. 
What is 3-4 more weeks? #moleg</t>
  </si>
  <si>
    <t>RT @VisioDeiFromLA: @KathieConway @ohsynesthesia @YearOfZero @TommyLeeAllman @EricGreitens Yet didn't cross examine the witness?  Sorry but…</t>
  </si>
  <si>
    <t>@VisioDeiFromLA @KathieConway @ohsynesthesia @TommyLeeAllman @EricGreitens Simple question, which YOU STILL HAVE NOT ANSWERED.
Why not wait for Eric to allow him to show his cards and prove his innocence?
Seems to me your worried that it may prove his innocence. It’s only a few weeks away. What’s the rush? Sorry but you work for US
#Moleg</t>
  </si>
  <si>
    <t>@KathieConway @TommyLeeAllman @VisioDeiFromLA @EricGreitens Is that why they are anonymous? Because if the public assess their credibility they will realize they have none? 
I just don’t see how they can make such accusations from behind a cloak. Sorry I don’t trust you people in #MoLeg AT ALL. 
Time to vote you all out 
#Moleg</t>
  </si>
  <si>
    <t>@KathieConway @TommyLeeAllman @VisioDeiFromLA @EricGreitens Apparently to be a lawmaker you don’t actually have to know about law or know what goes down with these cases. Listen to the tape. She is clearly lying. Not to mention the PUBLIC should determine her credibility, not some swamp dweller in #MoLeg who has a vendetta.</t>
  </si>
  <si>
    <t>@KathieConway @TommyLeeAllman @VisioDeiFromLA @EricGreitens Read every word of it. I don’t believe it. Not 2 mention—go look at comments on Facebook. Everybody knows actual story and it sounds like your too biased and close to the accuser to make a truthful judgement. Put ur vendetta aside, work with gov, and quit your crying sista #Moleg</t>
  </si>
  <si>
    <t>@KathieConway @TommyLeeAllman @VisioDeiFromLA @EricGreitens Sorry that u hate @EricGreitens but that isn’t a reason 2 impeach. That’s like making an accusation and it being false but still firing the guy anway.
@kathieconway hates the voters of Missouri! She wants to take away their vote because she has a petty vendetta!
#moleg</t>
  </si>
  <si>
    <t>Sorry that u hate @EricGreitens but that isn’t a reason 2 impeach. That’s like making an accusation and it being false but still firing the guy anway.
@kathieconway hates the voters of Missouri! She wants to take away their vote because she has a petty vendetta!
#moleg #mogov https://t.co/7hF8fdxrRA</t>
  </si>
  <si>
    <t>RT @YearOfZero: @TommyLeeAllman @KathieConway @VisioDeiFromLA @EricGreitens been paying attention long enough. Jeff city doesn’t like eric…</t>
  </si>
  <si>
    <t>RT @YearOfZero: @TommyLeeAllman @KathieConway @VisioDeiFromLA @EricGreitens What’s the rush Kathie? Are you worried @EricGreitens is going…</t>
  </si>
  <si>
    <t>RT @YearOfZero: @blackwidow07 @Sticknstones4 @HawleyMO @EricGreitens @SykesforSenate @AP4Liberty @Monetti4Senate I don’t see what is the ru…</t>
  </si>
  <si>
    <t>@TommyLeeAllman @KathieConway @VisioDeiFromLA @EricGreitens been paying attention long enough. Jeff city doesn’t like eric cuz he’s an outsider, ur trying anything to oust him
If this was about an actual crime, you’d be confident in his guilt and his conviction but deep down your know this is garbage.
You hear that @MOHouseGOP #moleg</t>
  </si>
  <si>
    <t>@TommyLeeAllman @KathieConway @VisioDeiFromLA @EricGreitens What’s the rush Kathie? Are you worried @EricGreitens is going to be exonerated? Case isn’t that far off.
#moleg</t>
  </si>
  <si>
    <t>@KathieConway @TommyLeeAllman @VisioDeiFromLA @EricGreitens Oh give me a break. Nobody believes that. I read the thing. She clearly wanted a relationship. How do you explain her lies. Told PA one thing and then House something else?Do you know the accuser or something? Also husband went to media not police
BULL****
#MoLeg</t>
  </si>
  <si>
    <t>@TommyLeeAllman @KathieConway @VisioDeiFromLA @EricGreitens Ive dealt with many cases where women are flat out liars and make up stuff. She sounds like a liar who is being manipulated by PA. Not all women should be believed. Not all men should be believed. That’s why I find it odd so many pushing to impeach before we have all the facts</t>
  </si>
  <si>
    <t>RT @Norasmith1000: @VisioDeiFromLA @MOHouseGOP @ScottCharton Sorry Scott and #moleg, but the people want Due Process, which all of you seem…</t>
  </si>
  <si>
    <t>This is complete hogwash. Tell me why she couldn’t have went straight to the police and we would have picked up greitens for questioning ASAP and issued a TRO
This LEO would like to know your fault logic... because this entire thing is a sham!
#moleg #greitens https://t.co/itJBR6uKwS</t>
  </si>
  <si>
    <t>RT @VisioDeiFromLA: @FOX2now Isn't it funny how the committee didnt cross examine the witnesses and ask them about how they said one thing…</t>
  </si>
  <si>
    <t>RT @VisioDeiFromLA: #MoLegCriedWolf
Allegations falling apart!
Now emails! What’s next? Parking tickets?
So transparent how y’all are tr…</t>
  </si>
  <si>
    <t>RT @VisioDeiFromLA: What the Headlines Today SHOULD BE: China Blinks. Stocks Rally. President Trump’s strategy may just be working! Instead…</t>
  </si>
  <si>
    <t>RT @SorosInSTL: U are amazing at spinning consensual fling into sexual assault. U should come work for me. Hours good, perks great, and com…</t>
  </si>
  <si>
    <t>RT @Avenge_mypeople: Sometimes, those who tell lies end up being the ones in jail. I'd tread lightly #kimshadey with all the lies and decei…</t>
  </si>
  <si>
    <t>RT @VisioDeiFromLA: #MoLegCriedWolf 
@MOHouseGOP people of #Missouri will take any such action as a DIRECT ASSAULT ON THE VOTERS given tha…</t>
  </si>
  <si>
    <t>RT @Avenge_mypeople: @JeffSmithMO It appears this fake #GreitensIndictment  isn't gonna pan out, so they move on to other issues, exposing…</t>
  </si>
  <si>
    <t>RT @YearOfZero: The Post-Dispatch is fake news.
#MoLeg https://t.co/A49FqpTwf8</t>
  </si>
  <si>
    <t>RT @Avenge_mypeople: @Sticknstones4 @VisioDeiFromLA @EricGreitens After leaving his trash with underwear in tow, they'll next check tread d…</t>
  </si>
  <si>
    <t>@Avenge_mypeople @VisioDeiFromLA @EricGreitens Lol</t>
  </si>
  <si>
    <t>RT @Avenge_mypeople: @VisioDeiFromLA @EricGreitens Next, they'll be going through his trash looking for evidence of dirty underware. These…</t>
  </si>
  <si>
    <t>RT @SorosInSTL: You are really starting to be a pain in the butt.
Facts werent supposed to be mentioned!
#moleg #mogov https://t.co/GYyQX…</t>
  </si>
  <si>
    <t>RT @VisioDeiFromLA: 🚨 Hey @ChrisHayesTV @FOX2now 🚨 
This goes over the ex husband PS taunting @EricGreitens over twitter along with him ta…</t>
  </si>
  <si>
    <t>RT @magathemaga1: The #KimShady show! 
Also starting #NoNotesTisaby 
A #Soros Production! 
#MOleg #mogov #StLouis https://t.co/jCirUAwBAh</t>
  </si>
  <si>
    <t>@blackwidow07 @Sticknstones4 @HawleyMO @EricGreitens @SykesforSenate @AP4Liberty @Monetti4Senate I don’t see what is the rush. They are worried about what. Trial is soon, unless this farce is dismissed which it should be. But if shows him guilty, then impeach, but what if he’s innocent? Your gonna fire somebody who was innocent. And still 7 months to election #Moleg</t>
  </si>
  <si>
    <t>RT @blackwidow07: @YearOfZero @Sticknstones4 @HawleyMO @EricGreitens @SykesforSenate @AP4Liberty @Monetti4Senate Can you write- in a candid…</t>
  </si>
  <si>
    <t>@jdavidsonlawyer @VisioDeiFromLA @aaron_hedlund Read a romance novel dummy. Better yet watch 50 shades of gray. I went to the movies with my wife. Packed with women who are into kinky fantasies. As a LEO, the whole thing is nonsense. They had a fling. That’s it. Somebody should see how much they paid #Moleg  
Waited 3 years?</t>
  </si>
  <si>
    <t>@TommyLeeAllman @VisioDeiFromLA @EricGreitens Including you. I read the whole thing. As a LEO, it’s total bs. Kinky sex, and inconsistent testimony. Woman clearly in love with greitens wanted a relationship. 
Try reading romance novel/watch 50 shades of gray. Waited 3 years? Bs. Could have went to police got temp TRO easily</t>
  </si>
  <si>
    <t>It’s called kinky sex. Not my business, but that’s what it is and any man/woman who claims that isn’t a thing isn’t experienced or married the first person they dated, which is ok too. Different strokes different folks. Romance novels huge. 50 shades of gray, etc
#MoLeg #StLouis https://t.co/0PSFezkh2u</t>
  </si>
  <si>
    <t>The Post-Dispatch is fake news.
#MoLeg https://t.co/A49FqpTwf8</t>
  </si>
  <si>
    <t>RT @mitchellvii: Comey writing a book about ethical leadership is like the Devil writing a book about humility.</t>
  </si>
  <si>
    <t>RT @TomFitton: The Justice Department has confirmed that some of the "memos" Comey took when he was fired contained classified information.…</t>
  </si>
  <si>
    <t>RT @gotspeed2burn: God bless the black &amp;amp; Hispanic conservatives who swim against the Leftist tide...
They know they don't owe the democrat…</t>
  </si>
  <si>
    <t>RT @HMLoeschMcK: This could never happen in #Mexico if Americans were wanting into their borders. #NoAmnesty #BuildTheWall #MAGA https://t.…</t>
  </si>
  <si>
    <t>RT @PlatteCountyGOP: @ValerieSolanas9 @EricGreitens @parkvillemo We’re committed to the rule of law and due process. We are against mob rul…</t>
  </si>
  <si>
    <t>@SKOLBLUE1 @ES03784893 @PuffedUpdater @PlatteCountyGOP @EricGreitens @parkvillemo @VP @ScottCharton Look at Scott trying to act like he is a Republican in this thread. I wonder if tax credit man in paying him</t>
  </si>
  <si>
    <t>@ScottCharton @PlatteCountyGOP @EricGreitens @parkvillemo You aren’t a Republican</t>
  </si>
  <si>
    <t>@GinaB4real @PlatteCountyGOP @EricGreitens @parkvillemo No he doesn’t. The allegations are bs. Sorry. We need to stand up for justice and justice means he gets to exonerate himself</t>
  </si>
  <si>
    <t>RT @Sticknstones4: @PlatteCountyGOP @EricGreitens @parkvillemo https://t.co/8yjAKkBXny</t>
  </si>
  <si>
    <t>@ScottCharton @PlatteCountyGOP @DaphneClark10 @EricGreitens @parkvillemo Scott doesn’t actually care about facts. I’m standing by @EricGreitens 
He retweets liberal bs all day.</t>
  </si>
  <si>
    <t>RT @PlatteCountyGOP: @ScottCharton @DaphneClark10 @EricGreitens @parkvillemo Greitens’ lawyers indicate that she has testified inconsistent…</t>
  </si>
  <si>
    <t>RT @PlatteCountyGOP: @ScottCharton @DaphneClark10 @EricGreitens @parkvillemo The fact that an eminent jurist like Judge Wolff doesn’t seem…</t>
  </si>
  <si>
    <t>RT @PlatteCountyGOP: @ScottCharton @DaphneClark10 @EricGreitens @parkvillemo Uber-liberal retired MO Sup Ct judge Wolff seems less impresse…</t>
  </si>
  <si>
    <t>RT @PlatteCountyGOP: Gov. @EricGreitens got a standing ovation from the @PlatteCountyGOP at #SpringToVictory in @parkvillemo. https://t.co/…</t>
  </si>
  <si>
    <t>RT @VisioDeiFromLA: Keep spinning buddy. You haven't tweeted in a while on #moleg 
Since other allegations falling apart your screaming ab…</t>
  </si>
  <si>
    <t>@VisioDeiFromLA @MOHouseGOP @EricGreitens Sure does seem like that!</t>
  </si>
  <si>
    <t>RT @Sticknstones4: @VisioDeiFromLA @MOHouseGOP @EricGreitens Yawn their attacks are getting old 
Cuff n stuff me, i once had a library book…</t>
  </si>
  <si>
    <t>RT @VisioDeiFromLA: Lol
It's like the boy who cried wolf. 
Now that your blackmail/sexual assault allegations falling apart your pushing…</t>
  </si>
  <si>
    <t>RT @YearOfZero: @YblackGOP @joel_capizzi @HawleyMO @EricGreitens @SykesforSenate @AP4Liberty @Monetti4Senate I won’t be backing him. Sorry…</t>
  </si>
  <si>
    <t>RT @YearOfZero: @YblackGOP @joel_capizzi @HawleyMO @EricGreitens @SykesforSenate @AP4Liberty @Monetti4Senate Better tell ur boss. Ask him s…</t>
  </si>
  <si>
    <t>RT @YearOfZero: I will be casting my vote for somebody else since you want to trample on @EricGreitens right to prove innocence. Consensual…</t>
  </si>
  <si>
    <t>@YblackGOP @joel_capizzi @HawleyMO @EricGreitens @SykesforSenate @AP4Liberty @Monetti4Senate I won’t be backing him. Sorry and as an LEO, we around town won’t either. Yeah we talk. 
And you as a black American should support @EricGreitens right to prove his innocence and not lose his job. How many black Americans had been unfairly convicted? Plenty #moleg</t>
  </si>
  <si>
    <t>@YblackGOP @joel_capizzi @HawleyMO @EricGreitens @SykesforSenate @AP4Liberty @Monetti4Senate Better tell ur boss. Ask him since he has a law degree how easy it would have been able trump obtain a TRO 4 woman? Apparently getting law degree doesn’t impart having law knowledge. As an LEO myself, police would have taken him in ASAP &amp;amp; issued TRO
She kept coming back #Moleg</t>
  </si>
  <si>
    <t>I will be casting my vote for somebody else since you want to trample on @EricGreitens right to prove innocence. Consensual affair isn’t our business. And no I don’t believe woman at all, especially considering testimony is contradictory, &amp;amp; a TRO could be obtained easily 
#Moleg https://t.co/INxTtiI2k5</t>
  </si>
  <si>
    <t>RT @joel_capizzi: @YearOfZero @HawleyMO @EricGreitens @SykesforSenate @AP4Liberty @Monetti4Senate It's Dejavu "all over again" with Hawley.…</t>
  </si>
  <si>
    <t>RT @YearOfZero: @staceynewman 
Can we all ask why U FAILED TO REPORT THIS &amp;amp; that UR close friend &amp;amp; personal hairdresser felt comfortable e…</t>
  </si>
  <si>
    <t>RT @blackwidow07: @scottfaughn if we are going to cleanse the state then @AGJoshHawley &amp;amp; @jaybarnes5 should do the same to the #moleg that…</t>
  </si>
  <si>
    <t>RT @VisioDeiFromLA: No Scott. They shouldn't.
And they won't unless @MOHouseGOP wants a bloodbath at polls in November.
Let me ask you @S…</t>
  </si>
  <si>
    <t>RT @magathemaga1: She kept seeing the man, and how do we even know if they are credible or not? We don’t even know who they are and given t…</t>
  </si>
  <si>
    <t>RT @Sticknstones4: @magathemaga1 @Hope4Hopeless1 @AvrilMai91 @AP4Liberty @MOHouseGOP @SpeakerTimJones @EricGreitens @Avenge_mypeople @MOGOP…</t>
  </si>
  <si>
    <t>RT @VisioDeiFromLA: Precisely why I am against the witch hunt against @EricGreitens 
Forget that the case and allegations are total garbag…</t>
  </si>
  <si>
    <t>RT @magathemaga1: @Sticknstones4 @Hope4Hopeless1 @AvrilMai91 @AP4Liberty @MOHouseGOP @SpeakerTimJones @EricGreitens @Avenge_mypeople @MOGOP…</t>
  </si>
  <si>
    <t>RT @VisioDeiFromLA: @tjhlfld @ScottCharton @EricGreitens He has none. He just wants us to believe a woman kept seeing him becagee she was "…</t>
  </si>
  <si>
    <t>RT @VisioDeiFromLA: "What’s happening in Missouri is a shadow of what’s happening in (DC): the Democrats, desperate to do anything to unsea…</t>
  </si>
  <si>
    <t>RT @VisioDeiFromLA: "The concealment of exculpatory evidence is very troubling, and it should trouble all Americans"
#MOleg
#mogov
#Greite…</t>
  </si>
  <si>
    <t>@magathemaga1 @Hope4Hopeless1 @AvrilMai91 @AP4Liberty @MOHouseGOP @SpeakerTimJones @EricGreitens @Avenge_mypeople @Sticknstones4 @MOGOP_Chairman @ChanelRion Hahahah this is great rod</t>
  </si>
  <si>
    <t>RT @magathemaga1: Painting 4 #GreitensIndictment to commemorate witch hunt
Trying 2 include all players in saga. With Hawley turning #Turn…</t>
  </si>
  <si>
    <t>@staceynewman 
Can we all ask why U FAILED TO REPORT THIS &amp;amp; that UR close friend &amp;amp; personal hairdresser felt comfortable enough 2 go down 2 #Moleg &amp;amp; meet everybody but not tell U about horrible crime alleged? She didn’t feel safe talking to YOU?
I don’t believe this #moleg https://t.co/hIiP0KxRsa</t>
  </si>
  <si>
    <t>RT @YearOfZero: @BryanLowry3 @KevinCorlew I don’t buy republicans saying this will hurt down ballot. The trial is next month. If he’s innoc…</t>
  </si>
  <si>
    <t>RT @Sticknstones4: @RiverfrontTimes @AGJoshHawley @HawleyMO   If You call for impeachment on a baseless salacious testimony , with no inves…</t>
  </si>
  <si>
    <t>RT @YearOfZero: (3) “But freedom is never more than one generation away from extinction. We didn't pass it on to our children in the bloods…</t>
  </si>
  <si>
    <t>RT @YearOfZero: @Monetti4Senate @HawleyMO @EricGreitens @SykesforSenate @AP4Liberty Thank U, Tony. I will admit it’s possible he is guilty,…</t>
  </si>
  <si>
    <t>RT @YearOfZero: @Monetti4Senate @HawleyMO @EricGreitens @SykesforSenate @AP4Liberty don’t support throwing people under bus especially give…</t>
  </si>
  <si>
    <t>RT @magathemaga1: This is a principled man I can get behind. Let’s hear ALL THE FACTS before jumping to conclusions @MOHouseGOP 
#LadderBo…</t>
  </si>
  <si>
    <t>RT @TrumpChess: You wanna do a REAL show mike columbo @FOX2now 🤔Get a panel of #MoVoters in studio -- this IS a witch hunt that broke quite…</t>
  </si>
  <si>
    <t>@BryanLowry3 @KevinCorlew I don’t buy republicans saying this will hurt down ballot. The trial is next month. If he’s innocent—it will help! If guilty, they can impeach, then, and still 6-7 months to campaign. 
Remember trump won MO big despite PTAPE 2 weeks prior.
What’s Rush? Money? #moleg #MoSen #stl</t>
  </si>
  <si>
    <t>@T_N_B7 Ask if the ex husband got something in return for starting all this bs</t>
  </si>
  <si>
    <t>@T_N_B7 Lol this entire thing is a scam.</t>
  </si>
  <si>
    <t>RT @VisioDeiFromLA: Narrative switch now! 
Look away! Let’s stop talking about that women &amp;amp; start talking about emails!
Make sure to coor…</t>
  </si>
  <si>
    <t>RT @Monetti4Senate: @YearOfZero @HawleyMO @EricGreitens @SykesforSenate @AP4Liberty My position is based on the Constitution and something…</t>
  </si>
  <si>
    <t>RT @YearOfZero: @JW1057 @Monetti4Senate @HawleyMO @EricGreitens @SykesforSenate @AP4Liberty I also don’t buy republicans saying this will h…</t>
  </si>
  <si>
    <t>@JW1057 @Monetti4Senate @HawleyMO @EricGreitens @SykesforSenate @AP4Liberty I also don’t buy republicans saying this will hurt down ballot. The trial is next month. If he’s innocent—it will help! If guilty, they can impeach, then, and still 6-7 months to campaign. 
Remember trump won MO big despite PTAPE 2 weeks prior.
What’s Rush? Money? #moleg #MoSen</t>
  </si>
  <si>
    <t>RT @JW1057: @Monetti4Senate @YearOfZero @HawleyMO @EricGreitens @SykesforSenate @AP4Liberty Now, there is standing on principle!</t>
  </si>
  <si>
    <t>RT @YearOfZero: @HawleyMO 
WAS planning on voting for U
Not now
Do not support witch hunt against @EricGreitens &amp;amp; as LEO can tell U alle…</t>
  </si>
  <si>
    <t>@Monetti4Senate @HawleyMO @EricGreitens @SykesforSenate @AP4Liberty don’t support throwing people under bus especially given that we have now found out that there is shady stuff going down at the PA office and several people have pointed out the witness testimony isn’t credible due to inconsistencies. Let it play out @HawleyMO 
#moleg #mogov</t>
  </si>
  <si>
    <t>@Monetti4Senate @HawleyMO @EricGreitens @SykesforSenate @AP4Liberty Thank U, Tony. I will admit it’s possible he is guilty, but it’s also possible he’s innocent &amp;amp; fact is, he shouldn’t be screwed out of a job because of accusations. And yes legal is different then legislative, but what if he’s innocent? Life ruined over fake charges? #moleg</t>
  </si>
  <si>
    <t>RT @VisioDeiFromLA: It's actually great news that all these cut and run Republicans are exposing themselves.
It will make draining the #Mo…</t>
  </si>
  <si>
    <t>RT @VisioDeiFromLA: Everybody buys it. Go look at the Facebook comments Scott. This wont work. And if hes completely exonerated? That will…</t>
  </si>
  <si>
    <t>@HawleyMO 
WAS planning on voting for U
Not now
Do not support witch hunt against @EricGreitens &amp;amp; as LEO can tell U allegations against him are utterly BS. She could have easily got TRO
@SykesforSenate @AP4Liberty or @Monetti4Senate are the people to look at #MoSen #moleg https://t.co/JUbZq6y9kA</t>
  </si>
  <si>
    <t>@RiverfrontTimes Hey @HawleyMO sorry but I will not be voting for you given that you are acting like a coward even despite the new evidence proving this is a witch hunt has emerged.
VOTE @Monetti4Senate @AP4Liberty @SykesforSenate</t>
  </si>
  <si>
    <t>RT @JW1057: @RiverfrontTimes @HawleyMO, thank you for letting us know that you are an unprincipled coward. We shall take note on election d…</t>
  </si>
  <si>
    <t>@nedmiller @EricGreitens No it isn’t</t>
  </si>
  <si>
    <t>RT @magathemaga1: @FOX2now Hmm somebody is lying!
#mogov #MOleg #GreitensIndictment https://t.co/Ml2pUCatJL</t>
  </si>
  <si>
    <t>RT @JW1057: @VisioDeiFromLA @FOX2now Email sent to committee members and Speaker Richardson.
@sarahfenske @KMOV @MOHOUSECOMM @MOGOP_Chairm…</t>
  </si>
  <si>
    <t>RT @Sticknstones4: @FOX2now #Moleg did not investigate, that was a listening session to write a baseless report.  Why don’t they care about…</t>
  </si>
  <si>
    <t>RT @TrumpChess: @Sticknstones4 @robschaaf @DougLibla25 @POTUS @GovGreitensMO #moleg IS THE #ShowMeState SWAMP https://t.co/pfw4XteMsh</t>
  </si>
  <si>
    <t>RT @VisioDeiFromLA: Earth to @ScottCharton 
🔸️Witnesses lied
🔸️CAO office lied
🔸️Testimony not credible
Case crumbling...
Tomorrows Char…</t>
  </si>
  <si>
    <t>RT @VisioDeiFromLA: ⚠️ JUSTICE WARRIOR ALERT ⚠️
Email he sent to @MOHouseGOP about their FAILURE to CROSS EXAMINE the "witness"
Retweet!…</t>
  </si>
  <si>
    <t>RT @DeplorableGoldn: RT 🚨
#GreitensIndictment
is a HORRIFYING misuse &amp;amp; abuse of power &amp;amp; it puts us all at risk!
ACTIVIST #KimShady 
is So…</t>
  </si>
  <si>
    <t>RT @magathemaga1: @RyanSilvey needs to toughen up.
✔️CAO lied about evidence
✔️#KimShady shady!
✔️#NoNotesTisaby 
✔️Witness Testimony not…</t>
  </si>
  <si>
    <t>@Sticknstones4 @TrumpChess @robschaaf @DougLibla25 @POTUS @GovGreitensMO Yup he’s a coward</t>
  </si>
  <si>
    <t>RT @Sticknstones4: @TrumpChess @robschaaf @DougLibla25 @POTUS @GovGreitensMO He will block anyone that supports greitens &amp;amp; asks questions.…</t>
  </si>
  <si>
    <t>RT @magathemaga1: 🚨 #MoLeg #MoSen #STL🚨 
We STAND with Black America &amp;amp; Black MISSOURIANS &amp;amp; SUPPORT their GOD GIVEN RIGHT 2 Guns!
Democrat…</t>
  </si>
  <si>
    <t>RT @VisioDeiFromLA: We are too. Taking attempt to take away a duly elected governor very seriously. 
@robschaaf needs to stop acting like…</t>
  </si>
  <si>
    <t>RT @magathemaga1: 🚨 TURNCOAT ALERT 🚨
Give @robschaaf call at 573-751-2183
Let him know:
✔️@EricGreitens deserves to present his case
✔️Th…</t>
  </si>
  <si>
    <t>RT @VisioDeiFromLA: No it isnt.
@MOHouseGOP 
What are you afraid of waiting a few weeks? That the evidence will exonerate @EricGreitens…</t>
  </si>
  <si>
    <t>RT @DeplorableGoldn: 🚨How did the Greitens allegations become public? Former couple in case differ 🚨
#mogov #moleg #Greitens #GreitensIndic…</t>
  </si>
  <si>
    <t>@cturtle31 @J_Hancock Bingo</t>
  </si>
  <si>
    <t>RT @cturtle31: @J_Hancock This is her covering her ass on a consensual affair that she quite possibly initiated and kept going later that d…</t>
  </si>
  <si>
    <t>RT @Sticknstones4: @magathemaga1 @mikeparson @EricGreitens Lets talk about the piss poor sloppy report the House investigative committee re…</t>
  </si>
  <si>
    <t>RT @DeplorableGoldn: Waiting...  #moleg #mogov #Greitens #GreitensReport #GreitensIndictment https://t.co/OoeLvLXJo1</t>
  </si>
  <si>
    <t>RT @Sticknstones4: Governor Greitens Not Cowering Down 💪🏻
Keep up the Good Fight Sir
He’s Not backing down !  Fighting for Missourians  &amp;amp;…</t>
  </si>
  <si>
    <t>RT @magathemaga1: "We are no fan of the Gov and we have consistently exposed SLMPD wrongs but SLMPD didn’t ‘decline/refuse’ to investigate.…</t>
  </si>
  <si>
    <t>RT @VisioDeiFromLA: @Hope4Hopeless1 @DaphneClark10 @PlatteCountyGOP @EricGreitens @parkvillemo Here’s a summary:
#MoLeg #GreitensIndictmen…</t>
  </si>
  <si>
    <t>RT @magathemaga1: Keep calling!! #MoLeg @EricGreitens 
STOP THE WITCH HUNT! https://t.co/WPXs7jHlQ0</t>
  </si>
  <si>
    <t>RT @Hope4Hopeless1: @EricGreitens https://t.co/Wcz4od1j45
.@EricGreitens Court Transcript exposes this whole case against #greitens AS NOTH…</t>
  </si>
  <si>
    <t>RT @DeplorableGoldn: RT-ing 🚨
🗣 ACTION ALERT 🚨 📞CALL  Leave a Message to the #Moleg Members of the House Comm that issued the Inaccurate  #…</t>
  </si>
  <si>
    <t>RT @VisioDeiFromLA: #moleg READ THIS NOW!!!!!!
#mogov @MOHouseGOP @MissouriGOP https://t.co/45qmOGGRcd</t>
  </si>
  <si>
    <t>RT @magathemaga1: 🚨 #Greitens UPDATE 🚨 
Accuser of @EricGreitens STALKED SHEENA GREITENS
Jealous Ex Husband reportedly even went after Sh…</t>
  </si>
  <si>
    <t>RT @VisioDeiFromLA: Want your blood to boil #Missouri and #StLouis ?
Read entire transcript of Thursday’s raucous #Greitens court proceedi…</t>
  </si>
  <si>
    <t>RT @Hope4Hopeless1: @starsandstripes Read transcript and see how low #KimShady has stooped to try and convict an innocent man! The #Greiten…</t>
  </si>
  <si>
    <t>RT @magathemaga1: Very important tweet @ScottCharton 
Gonna continue 2 keep pushing lies or are you actually interested in REAL TRUTH not…</t>
  </si>
  <si>
    <t>RT @DeplorableGoldn: RT-ING 🚨
This is incredible. Soros-backed prosecutor Kim Gardner and her hand-picked private investigator have some ex…</t>
  </si>
  <si>
    <t>RT @VisioDeiFromLA: "Goes &amp;amp; shops it around the media trying to fetch payday ... If I was media buyer, I’d tell the guy, go to the police.…</t>
  </si>
  <si>
    <t>RT @Sticknstones4: @VisioDeiFromLA @EricGreitens @MOHouseGOP I’m not a bot, I’m a registered Missouri voter &amp;amp; I’m MF Mad as Hell at this sp…</t>
  </si>
  <si>
    <t>RT @VisioDeiFromLA: @JenEnnenbach @GovGreitensMO No he doesnt. Did you see the latest news. You just can't believe that these people lied,…</t>
  </si>
  <si>
    <t>RT @Sticknstones4: ⏳ Time to Call📞
The 3 Stooges 🤡🤡🤡of #Moleg
🗣DEMAND THEY READ &amp;amp; RESCIND
@Robschaaf @DougLibla25 #garyromine
#Greitens…</t>
  </si>
  <si>
    <t>RT @magathemaga1: @CStamper_ The #KimShady show! 
Also starting #NoNotesTisaby 
A #Soros Production! 
#MOleg #mogov #StLouis https://t.c…</t>
  </si>
  <si>
    <t>@KCStar @EricGreitens is innocent and @KCStar is fake news</t>
  </si>
  <si>
    <t>RT @Sticknstones4: @KCStar I rather have a lone wolf #greitens than a swamp full of pussy crooked Republicans that cower to poltical operat…</t>
  </si>
  <si>
    <t>RT @VisioDeiFromLA: @TrumpChess @Sticknstones4 @EricGreitens @MOHouseGOP TOTAL WITCH HUNT
#moleg #GreitensIndictment https://t.co/oPxcPO2y…</t>
  </si>
  <si>
    <t>RT @Sticknstones4: @MartyMurrayJr Before judgement is cast on @EricGreitens,  the prosecutorial malfeasance conducted by the @stlcao is a g…</t>
  </si>
  <si>
    <t>RT @magathemaga1: Sorry we don’t support CUT AND RUN POLITICIANS in #Missouri
Does the recent developments showing the victims not to be c…</t>
  </si>
  <si>
    <t>RT @Sticknstones4: Good Evening #Moleg Witch Hunters
Your Lies have not Derailed our duly elected governor 
Standing ovation 👏🏻👏🏻👏🏻 Tonight…</t>
  </si>
  <si>
    <t>RT @magathemaga1: @philip_saulter @JohnLamping @JaneDueker Old #KimShady and #NoNotesTisaby have caused a real mess down there and also UNF…</t>
  </si>
  <si>
    <t>RT @JW1057: This is that moment you realize that you have screwed up, but you are not smart enough to self-correct before going over the cl…</t>
  </si>
  <si>
    <t>RT @TrumpChess: @Sticknstones4 @robschaaf @DougLibla25 Did I mention MO Sen Rob Schaaf blocked me on twitter bc I asked if he had paid off…</t>
  </si>
  <si>
    <t>RT @DeplorableGoldn: RT-ing 🚨
Before judgement is cast on @EricGreitens,  the prosecutorial malfeasance conducted by the @stlcao is a great…</t>
  </si>
  <si>
    <t>RT @magathemaga1: Today, I'll be standing on busy street corner with sign, "I want to know why democrats choose illegal aliens over black l…</t>
  </si>
  <si>
    <t>RT @Sticknstones4: Good Morning #moleg witchhunters 
 People are beginning to see your BS💩
We’re tired of the lies , y’all RESIGN https://…</t>
  </si>
  <si>
    <t>RT @magathemaga1: I am physically sick right now
Sick 2 my stomach
Sick of prosecutors like #KimShady lying about evidence, sick of crook…</t>
  </si>
  <si>
    <t>RT @magathemaga1: Hey Jay.
Tell me if it's ok for Kim Gardner to lie to a grand Jury about evidence.
Also tell me what you think about th…</t>
  </si>
  <si>
    <t>RT @Sticknstones4: 🗣 ACTION ALERT 🚨 📞CALL  Leave a Message to the #Moleg Members of the House Committee that issued the Inaccurate  #Greite…</t>
  </si>
  <si>
    <t>RT @JDugudichi: Follow all patriots for an instant follow back all
@JDugudichi @SebastianMorlok @awesomeaiken @ProAmericaOnly @BattleSwarmB…</t>
  </si>
  <si>
    <t>RT @Education4Libs: Trump: Tax cuts
Liberals: People will die!
Companies: Have a bonus
Trump: Rocket-man
Liberals: Nuclear war!
NK: We'll…</t>
  </si>
  <si>
    <t>@KCStar Stand strong @EricGreitens we got your back against this WITCH HUNT</t>
  </si>
  <si>
    <t>RT @Sticknstones4: @KCStar Keep up the governing !  #moleg is going to owe @GovGreitensMO  an Apology  after all the lies &amp;amp; truths are sort…</t>
  </si>
  <si>
    <t>RT @Sticknstones4: @ivanfoley @EricGreitens Keep up the Good Fight , Justice will prevail
#moleg owes you a big apology 
#donottesign</t>
  </si>
  <si>
    <t>RT @Avenge_mypeople: @magathemaga1 @EricGreitens They know why payment was offered to Katrina Sneed: she never wanted to do any of this. Sh…</t>
  </si>
  <si>
    <t>RT @VisioDeiFromLA: @EricGreitens witch hunt narrative
✔Fake accusations didnt work
✔It's a distraction didnt work
✔Trying 2 redefine what…</t>
  </si>
  <si>
    <t>RT @PoliticalShort: Clinton Campaign, DNC Covered-Up #FusionGPS Payments https://t.co/yC4coArqsL</t>
  </si>
  <si>
    <t>@KingBroly @Trader_Moe @LarrySchweikart Can we get on with it!</t>
  </si>
  <si>
    <t>RT @DeplorableGoldn: Dammmmmn https://t.co/AG3zpvvfjZ</t>
  </si>
  <si>
    <t>RT @magathemaga1: The perception of #MoLeg is on the line.
Are they going to screw an innocent man before facts are out, or is the tax cre…</t>
  </si>
  <si>
    <t>RT @RealSaavedra: In January 2017, CNN's Jake Tapper reported that government sources confirmed that it was a different Michael Cohen in Pr…</t>
  </si>
  <si>
    <t>RT @VisioDeiFromLA: @ssnich Mo he doesn't. Stand strong @EricGreitens 
@JoplinGlobe - hey you can ask why your not running a story on how…</t>
  </si>
  <si>
    <t>RT @magathemaga1: Sorry but @realDonaldTrump also faced FALSE ALLEGATIONS and we stood by him and they were false.
We will stand by @EricG…</t>
  </si>
  <si>
    <t>RT @ChrisLoesch: Dear Lord, we pray that you keep our soldiers safe and the strikes surgical. We pray that the innocent in Syria remain saf…</t>
  </si>
  <si>
    <t>RT @JW1057: @CStamper_ @TeamGreitens @VisioDeiFromLA @rossgarber 
For that to be said to Kim Gardner, an officer of the court, is just abs…</t>
  </si>
  <si>
    <t>RT @VisioDeiFromLA: U mad bro that people see through the WITCH HUNT.
RINOs might not fight back against BS but we do.
#MoLeg #Greitens #…</t>
  </si>
  <si>
    <t>@AP4Liberty He has intelligence you haven’t</t>
  </si>
  <si>
    <t>RT @Sticknstones4: @magathemaga1 @EricGreitens 🤵🏼👨🏻‍⚖️👩🏽‍⚖️👩🏻‍✈️👨🏼‍✈️👩🏻‍🎨👨🏻‍🔬👩🏻‍🔧👨‍🔧👨‍🚒👨🏻‍💼👨‍💻👩🏼‍🏭👨‍🍳
The people of Missouri are standing b…</t>
  </si>
  <si>
    <t>RT @CollinRugg: We have a lot of weak, luke warm Trump supporters who jump ship the second Trump does something they don’t like.
It’s comp…</t>
  </si>
  <si>
    <t>RT @Sticknstones4: @FOX2now Why is @LydaKrewson allow this ? What a waste of money 
Read the transcripts , circuit Attorneys office is slop…</t>
  </si>
  <si>
    <t>@Sticknstones4 @FOX2now @LydaKrewson Isn’t it clear? She has no control over #StLouis and #KimShady 
Yo @LydaKrewson yo gonna get shady in check??
#moleg</t>
  </si>
  <si>
    <t>@Sticknstones4 @JW1057 @FOX2now Such a scam</t>
  </si>
  <si>
    <t>RT @FOX2now: War of words between St. Louis police chief and circuit attorney https://t.co/Fbx3VK5pzj https://t.co/jJWiQAUDPB</t>
  </si>
  <si>
    <t>@FOX2now #KimShady strikes again!</t>
  </si>
  <si>
    <t>RT @KurtSchlichter: I trust @realDonaldTrump - I hardly thought I'd be saying that two years ago, but he earned it - and I support hitting…</t>
  </si>
  <si>
    <t>RT @YearOfZero: And I would add, that the system still is unfair to black men in some parts! Especially in #kimshady jurisdiction!
#moleg…</t>
  </si>
  <si>
    <t>And I would add, that the system still is unfair to black men in some parts! Especially in #kimshady jurisdiction!
#moleg #Greitens #mogov</t>
  </si>
  <si>
    <t>RT @magathemaga1: @RealBigRedBeard @robschaaf @EricGreitens The allegations are fraudelent!
I'm sorry but this is America. What he does in…</t>
  </si>
  <si>
    <t>RT @YearOfZero: Remember in Jim Crow when black men unfairly prosecuted? UR doing the same as Jim Crow. Are you FOR turning back the clock…</t>
  </si>
  <si>
    <t>RT @AP4Liberty: The War Powers Act only grants POTUS power to use military attacks if our national security is under threat. This is an unc…</t>
  </si>
  <si>
    <t>Remember in Jim Crow when black men unfairly prosecuted? UR doing the same as Jim Crow. Are you FOR turning back the clock on civil rights?
@EricGreitens innocent
If you support this scam, then you are spitting on all progress we made on civil rights! 
#moleg #stlouis #mogov https://t.co/79DutclVxo</t>
  </si>
  <si>
    <t>RT @YearOfZero: @JW1057 That’s what I said. I’m LEO and I just been paying attention. She could have easily went to police and they would h…</t>
  </si>
  <si>
    <t>RT @YearOfZero: @JW1057 If so confident in assertion, Y not wait until trial to ensure to voters of #missouri process played out fairly?
@…</t>
  </si>
  <si>
    <t>@andykopsa I have too. 30 years in LEO. 
This whole thing is not believable. Wait for all facts before making judgement #MOLeg</t>
  </si>
  <si>
    <t>RT @campusreform: Black conservative shouted down for speaking ‘against own people’ https://t.co/GPEQyP86No #pjnet</t>
  </si>
  <si>
    <t>RT @Lrihendry: Dear Mueller, McCain and Clinton conspired with Obama and Fusion GPS to overthrow a legally elected U.S. president. That’s t…</t>
  </si>
  <si>
    <t>RT @campusreform: Marquette University is arming its Resident Assistants with a "Social Justice Resource Guide" featuring a lengthy list of…</t>
  </si>
  <si>
    <t>RT @KurtSchlichter: @ArthurSchwartz @donlemon @JasonMillerinDC Wait, Don Lemon always treats conservatives with respect and is open to disa…</t>
  </si>
  <si>
    <t>RT @Jamierodr10: 💥BREAKING💥. Articles of IMPEACHMENT Drafted For Rosenstein! They have not been filed yet. #CORRUPTION #FBI  https://t.co/a…</t>
  </si>
  <si>
    <t>RT @LisaMei62: McCabe is toast.
 https://t.co/qUw4XlPPsZ https://t.co/xsNSigT8o7</t>
  </si>
  <si>
    <t>RT @ElderLansing: I urge any conservative  POTUS Trump supporter to boycott Don Lemon's show. He's insane and goes off on his sissy fits be…</t>
  </si>
  <si>
    <t>RT @RodStryker: McCabe running from the inevitable indictments after #IGReport released with evidence he committed felony after felony afte…</t>
  </si>
  <si>
    <t>@NixaMoMama @Martha4MO Everybody seems to think it’s bs story and these accusers probably getting paid off! Check the bank statements!</t>
  </si>
  <si>
    <t>@cturtle31 @Martha4MO Amen. Do not resign @EricGreitens</t>
  </si>
  <si>
    <t>RT @cturtle31: @Martha4MO I don't believe a word of it. She carried on for months. One call to police - it would have been prison for Greit…</t>
  </si>
  <si>
    <t>@Martha4MO I don’t believe a single word of it! And no @EricGreitens should not step down until all the facts are out and also the accusers need to be publicly identified for the public to assess their credibility. Greitens am outsider. Not up for you all to decide. The facts should. #moleg</t>
  </si>
  <si>
    <t>RT @VisioDeiFromLA: Sorry phony narrative wont work.
We see what you are trying to do. Trot out some expert  to try to say consent is retr…</t>
  </si>
  <si>
    <t>RT @VisioDeiFromLA: It was actually just a consensual affair and we should allow them to have their privacy and be mad at the husband for e…</t>
  </si>
  <si>
    <t>@melody_grover @scottfaughn This is incredibly terrible how #MOLeg trying to extract political vengeance before all facts out because they don’t like @EricGreitens because “he’s mean”. Well tell @mikeparson he can go on tv and talk about how great tax credits all he wants but greitens should not resign!</t>
  </si>
  <si>
    <t>RT @1776Stonewall: Trump bombs Syria, along with France and England. Before you get upset, just remember that you do not have security clea…</t>
  </si>
  <si>
    <t>RT @joelpollak: Diplomatic keys to @realDonaldTrump’s #Syria response: help from two allies (UK, France); warning to two opponents (Iran, R…</t>
  </si>
  <si>
    <t>@magathemaga1 @robschaaf @Avenge_mypeople @DaynaGould @SuchHate @Sticknstones4 @Hope4Hopeless1 @strmsptr @ErgoStreetNurse @Blackboxhalo @SKOLBLUE1 @SykesforSenate This is funny</t>
  </si>
  <si>
    <t>RT @melody_grover: Self-proclaimed Nostradamus of the Central West End @scottfaughn pats himself on the back for being Gardner's media erra…</t>
  </si>
  <si>
    <t>RT @magathemaga1: Good afternoon #MoLeg to everybody but Swamp Dweller  @robschaaf 
I wanted to introduce the newest member to the #Greite…</t>
  </si>
  <si>
    <t>@JW1057 If so confident in assertion, Y not wait until trial to ensure to voters of #missouri process played out fairly?
@robschaaf knows @EricGreitens will probably be exonerated because thing smells like 💩 but wants to get that impeachment in before courts show he’s innocent!! #moleg</t>
  </si>
  <si>
    <t>RT @Sticknstones4: @JW1057 @POTUS @PressSec  IGNORE THE #HayseedMafia
Greitens isn’t going anywhere   Missouri needs to drain swampdwellers…</t>
  </si>
  <si>
    <t>RT @YearOfZero: @AngelaLily0501 @robschaaf Exactly! This whole thing is suspect! Plus everybody in town on Facebook knows these people appa…</t>
  </si>
  <si>
    <t>RT @YearOfZero: @robschaaf U are not a court of law &amp;amp; clearly don’t know what u r talking about 
If u read laughable transcript clearly in…</t>
  </si>
  <si>
    <t>RT @YearOfZero: @robschaaf @EricGreitens Fact she kept seeing him for fling shows it was consensual.
Also credibility of accusers seems su…</t>
  </si>
  <si>
    <t>@kadska @in_RM101 @robschaaf @EricGreitens Plus the whole waiting 30 days until statue of limitations is about to run out? Not the actions of a victim.
With news ex husband getting legal help with money, time to check bank statements and who created this nonsense.
We aren’t stupid!
Check the bank statements!
#moleg</t>
  </si>
  <si>
    <t>@kadska @in_RM101 @robschaaf @EricGreitens Lol. She could have went to police. They would have arrested and issued temp RO. Not strong enough to go to police but strong enough to keep fling going? Don’t believe it. You don’t have much experience with fake allegations do you? I’ve seen almost 500 during Career #MoLeg</t>
  </si>
  <si>
    <t>@shannonrwatts @kadska You take that transcript out of context. She also said she dreamed up stuff. Clearly consensual fling</t>
  </si>
  <si>
    <t>@kendylei @mattmfm Bingo. Total witch hunt</t>
  </si>
  <si>
    <t>RT @kendylei: @mattmfm It’s a witch hunt, nothing has been proven. But I agree it’s way overdue for for a full out investigation into the c…</t>
  </si>
  <si>
    <t>@smudgiesmom @effdot @tomwatson @TheStagmania Why are you guys getting mad over firing of a person who should have been fired moths ago? Signing of on false warrants is major offense</t>
  </si>
  <si>
    <t>Why would you care? He’s convicted massive crimes? https://t.co/OlkgxfjNaC</t>
  </si>
  <si>
    <t>@kadska @in_RM101 @robschaaf @EricGreitens She kept coming back for more. Sorry but I’ve seen many men convicted falsely. That’s why can’t rush to judgement. She disnt report this. Ex did. Now somebody paging his legal fees. Yeah... I don’t believe this #MoLeg</t>
  </si>
  <si>
    <t>@kadska @in_RM101 @robschaaf @EricGreitens @robschaaf SERVES US. He doesn’t serve himself &amp;amp; his petty squabble &amp;amp; personal vendetta w. gov which if you follow #moleg he has a giant one. He’s acting out of spite.
Voters voted @EricGreitens in. We want him to have a chance 2 exonerate himself. Rob ain’t the decider #moleg</t>
  </si>
  <si>
    <t>@kadska @in_RM101 @robschaaf @EricGreitens And no, this transcript doesn’t show a rapist. It shows a women who has been victimized by her ex husband and probably being used by the PA to score political points. And a kinky fling
You people are just abandoning logic because you hate @EricGreitens 
It was a fling. #moleg</t>
  </si>
  <si>
    <t>@kadska @in_RM101 @robschaaf @EricGreitens Right they sure are. And the most sacred thing is: Don’t screw over the voters. 
Us voters think this bs. A stupid fling. They were into kinky stuff. So what. Then somehow a bitter ex who remains anonymous is somebody paragon of credibility? @EricGreitens do not resign! #moleg</t>
  </si>
  <si>
    <t>@JW1057 That’s what I said. I’m LEO and I just been paying attention. She could have easily went to police and they would have automatically taken him in for questioning and issued temp RO ASAP. 
little excuse about threats don’t add up @robschaaf 
sticking by @EricGreitens #moleg</t>
  </si>
  <si>
    <t>RT @JW1057: Rob Schaff accuses KS of committing perjury before committee!
Schaff says there were no consensual acts between KS and EG afte…</t>
  </si>
  <si>
    <t>@kadska @in_RM101 @robschaaf @EricGreitens seem a ton of fake allegations like this in my time. Women capable of lying just like men and this ex husband seems like a real piece of work. also doesn’t seem credible at all from@what I can tell. @robschaaf needs to put his personal feelings aside and let @EricGreitens govern</t>
  </si>
  <si>
    <t>@kadska @in_RM101 @robschaaf @EricGreitens 30 year LEO officer. What u got? Sorry but if guilty, he should resign but seems like a witch hunt and I’m sorry but no process to remove him legislatively should be started until he gets a chance to exonerate himself.
Anything less is telling voters they don’t matter #moleg</t>
  </si>
  <si>
    <t>@AngelaLily0501 @robschaaf Exactly! This whole thing is suspect! Plus everybody in town on Facebook knows these people apparently &amp;amp; knows rumors that she was also seeing Chris Koster! @robschaaf do U want to address this rumor too! 
@EricGreitens should not resign! Until actually proven guilty!
#moleg</t>
  </si>
  <si>
    <t>RT @AngelaLily0501: @robschaaf There's no pix and she may have dreamed it!</t>
  </si>
  <si>
    <t>RT @YearOfZero: @kadska @in_RM101 @robschaaf Which means you gotta be doubly careful. Judges and juries have training and guidance. Politic…</t>
  </si>
  <si>
    <t>@robschaaf @EricGreitens Fact she kept seeing him for fling shows it was consensual.
Also credibility of accusers seems suspect. You do not get to decide if accusers are credible or not. That should be up to public. Release names 
I have 30 years experience as LEO.
Seen fake allegations a ton
#MoLeg</t>
  </si>
  <si>
    <t>@robschaaf U are not a court of law &amp;amp; clearly don’t know what u r talking about 
If u read laughable transcript clearly infatuated with @EricGreitens 
If threat made, could have went 2 police immediately &amp;amp; would have arrested him 4 questioning &amp;amp; issued temp RO ASAP
This is a lie. #MoLeg</t>
  </si>
  <si>
    <t>U are not a court of law &amp;amp; clearly don’t know what u r talking about 
If u read laughable transcript clearly infatuated with @EricGreitens 
If threat made, could have went 2 police immediately &amp;amp; would have arrested him 4 questioning &amp;amp; issued temp RO ASAP
This is a lie. #MoLeg https://t.co/VizyIKq7DB</t>
  </si>
  <si>
    <t>RT @EdBigCon: @robschaaf Riddle me this, Schaaf:  Why did you release her  testimony (which was not subject to cross examination) the same…</t>
  </si>
  <si>
    <t>@kadska @in_RM101 @robschaaf Which means you gotta be doubly careful. Judges and juries have training and guidance. Politicians on an impeachment committee have petty political vendettas. Im standing by @EricGreitens and he should not resign. Besides this explanation is nonsense. #moleg</t>
  </si>
  <si>
    <t>RT @magathemaga1: #Soros isn’t happy that money he spent on #KimShady is working out!
Call @MissouriGOP and @MOHouseGOP and tell them you…</t>
  </si>
  <si>
    <t>depending on person whose job is relies on calling everything sexual assault? Sorry. She kept seeing him. Boom. Consensual. 
It’s common sense. Better off checking the Facebook comments. Nobody believes this story.
Consensual. She kept seeing him 
#moleg #orwell https://t.co/Wf7kBsnvOa</t>
  </si>
  <si>
    <t>RT @PrisonPlanet: Facebook changed their algorithm to screw conservatives. Everyone I talk to is getting similar treatment. https://t.co/Ih…</t>
  </si>
  <si>
    <t>RT @FoxNews: Joe diGenova on Rod Rosenstein: "He is a witness in this case, he cannot be supervising Robert Mueller, and guess what? He isn…</t>
  </si>
  <si>
    <t>RT @DennisDMZ: Comey should remember that when people look up to him it's about height and not stature.</t>
  </si>
  <si>
    <t>Not cool @facebook 
Time to regulate Facebook and break them into pieces!!!!!
@parscale @realDonaldTrump https://t.co/LSwSaQjPrl</t>
  </si>
  <si>
    <t>RT @DiamondandSilk: Still No Change. It's been 6 hrs and Facebook only let this FB post reach 6 people even thou we have 1.5 Million follow…</t>
  </si>
  <si>
    <t>Yo @parscale what’s up with this?
Yo @facebook why do you hate blackwomen?
Keep fighting Diamond and Silk!!! https://t.co/Y3C6YbaHoP</t>
  </si>
  <si>
    <t>RT @GreggJarrett: I’ve finished reading Comey’ book.   It’s an easy and superficial read.   I saw nothing that was true.  I can only conclu…</t>
  </si>
  <si>
    <t>AWESOME THREAD on #Greitens situation!
@Eric_Schmitt and @JayAshcroftMO and @GOPMissouri and @MOHouseGOP 
NEED 2 READ IT!!!!
@gatewaypundit @DailyCaller @DRUDGE @dcexaminer @ByronYork @lucianwintrich @JackPosobiec @Cernovich @Peoples_Pundit @Thomas1774Paine @jbro_1776 
#moleg https://t.co/xItJmui2Q4</t>
  </si>
  <si>
    <t>RT @VisioDeiFromLA: (42) To Be Or To Do:
⚡️TO DO SOMETHING &amp;amp; STAND UP for TRUTH &amp;amp; JUSTICE &amp;amp; get all the facts?
⚡️TO BE SOMEBODY &amp;amp; SCREW O…</t>
  </si>
  <si>
    <t>RT @VisioDeiFromLA: (14) U see Newman has vested interest in case. Not only has she been one of leading people calling for @EricGreitens 2…</t>
  </si>
  <si>
    <t>RT @VisioDeiFromLA: (27) Back 2 Boyd
To be or to do. 
@jallman971 wanted to do right thing &amp;amp; tell truth &amp;amp; look at all angles of this stor…</t>
  </si>
  <si>
    <t>RT @VisioDeiFromLA: (35) Oh what’s that? But a criminal trial and legislative trial (impeachment) is two different things!
Exactly. That’s…</t>
  </si>
  <si>
    <t>Hey Celeste, what you think about that tape just turning up and them lying about it? 
Not a good look. Ol crooked Kim Needs to be DISBARRED also what bout that guy who lied about them notes? Laughing during the interview? 
Case smells #mogov #MoLeg #greitensindictment https://t.co/6Valrf6ubS</t>
  </si>
  <si>
    <t>RT @Sticknstones4: @Blackboxhalo @ChrisHayesTV 📝 notes  or cartoon doodles 
That investigator guy is a very expensive 🤥 liar 
🛑 stop wastin…</t>
  </si>
  <si>
    <t>RT @VisioDeiFromLA: (37) Hey @ChrisHayesTV have you noticed how fast they want him to resign? Are they worried he will be exonerated? #MoLe…</t>
  </si>
  <si>
    <t>@DeplorableXs2 @RepLaurenArthur Yup the man is innocent until proven guilty! 
Stand strong @EricGreitens !!! #moleg</t>
  </si>
  <si>
    <t>RT @VisioDeiFromLA: (34) As for media in #Missouri I have little faith. They’ve shown little to no skepticism on a charge they, too, likely…</t>
  </si>
  <si>
    <t>RT @VisioDeiFromLA: (33) also impeaching a guy on such ludcrious charges is just nonsense @MOHouseGOP &amp;amp; the people will not accept it until…</t>
  </si>
  <si>
    <t>RT @VisioDeiFromLA: (26) oh, and this just happened. Another fake sexual allegation for money. Now, Cosby got lot more problems than that,…</t>
  </si>
  <si>
    <t>RT @DeplorableGoldn: Agreed! #GreitensReport #Moleg https://t.co/NKrREzEnpJ</t>
  </si>
  <si>
    <t>RT @VisioDeiFromLA: @melody_grover @HawleyMO Excellent point. The charges are serious. And we should take both sides seriously. But right n…</t>
  </si>
  <si>
    <t>@Shawtypepelina @EricGreitens Good thoughts</t>
  </si>
  <si>
    <t>RT @magathemaga1: 🚨 Call (573) 751-2000 🚨 
TELL #MoLeg U WILL NOT tolerate witch hunt against @EricGreitens by #KimShady!
✔️No probable c…</t>
  </si>
  <si>
    <t>RT @melody_grover: Who knew we could have an Attorney General who doesn't believe in due process? We could have guessed as much given that…</t>
  </si>
  <si>
    <t>RT @Sticknstones4: MIGHT definition expressing a possibility based on a condition not fulfilled
📌 NO PICTURE  NO DEVICE  NO TRANSMISSION📱🖥…</t>
  </si>
  <si>
    <t>@BigJShoota @JackieGotSober @gocrazy4cards @staceynewman Shoota did you see how Crooked Kim and company got busted lying. Gov may right that it is a witch hunt</t>
  </si>
  <si>
    <t>RT @BigJShoota: @JackieGotSober @gocrazy4cards @staceynewman I got you, but I'm mindful of a number of times were "investigators, the #mole…</t>
  </si>
  <si>
    <t>RT @JW1057: @BigJShoota Rule 10 prohibits release of any information until the investigation has "concluded." They have extended the invest…</t>
  </si>
  <si>
    <t>RT @VisioDeiFromLA: Funny nobody in #MoLeg is talking about the bombshell developments down at CAO 
Tisaby lied. They just found the tape.…</t>
  </si>
  <si>
    <t>RT @VisioDeiFromLA: @staceynewman what u mean when u called alleged victim “an activist” on ur Facebook page?  She was close friend accordi…</t>
  </si>
  <si>
    <t>RT @melody_grover: Politicians should rightfully fear the skeletons in their closet, but what's always far scarier is the risk that someone…</t>
  </si>
  <si>
    <t>RT @VisioDeiFromLA: ✔Prosecutors DID LIE
✔Ex husband was offered payment 
✔No probable cause 
✔Inconsistent testimony with holes you could…</t>
  </si>
  <si>
    <t>RT @Hope4Hopeless1: @KMOXKilleen @EricGreitens #KimShady IS a #Soros FUNDED #Activist who rcvd at least $200,000 to  get HER in POWER!!!
N…</t>
  </si>
  <si>
    <t>RT @Hope4Hopeless1: #Moleg "Investigative" Committee disregarded Judges warning that it would be reckless to publish their report before Go…</t>
  </si>
  <si>
    <t>@Nanci2GH I don’t think so.
Lot of people on Facebook ain’t buying this. Keep in mind Twitter is overwhelmingly liberal</t>
  </si>
  <si>
    <t>RT @PoliticalShort: Zuckerberg's inability to answer this question could affect millions of users, and attract (or prevent) a lot of attent…</t>
  </si>
  <si>
    <t>RT @VisioDeiFromLA: (20) oh wait Sinclair moved fast. They just had to delete all those stories that @jallman971 did QUICK. 
That’s ok. Th…</t>
  </si>
  <si>
    <t>RT @ScottPresler: Today, I stood on a busy street corner with my "I want to know why democrats choose illegal aliens over black lives" sign…</t>
  </si>
  <si>
    <t>RT @realDonaldTrump: I have agreed with the historically cooperative, disciplined approach that we have engaged in with Robert Mueller (Unl…</t>
  </si>
  <si>
    <t>RT @ChrisHayesTV: The Governor’s defense asked for sanctions &amp;amp; that the case be dismissed for “gross misconduct.” They say the evidence, wh…</t>
  </si>
  <si>
    <t>RT @ChrisHayesTV: A Gov Greitens related hearing just ended. The Judge said the former mistresses ex-husband can answer questions about a p…</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</si>
</sst>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095"/>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HYPERLINK("http://www.twitter.com/NathanBLawrence/status/1001700683010269185", "1001700683010269185")</f>
        <v/>
      </c>
      <c r="B2" s="2" t="n">
        <v>43250.23875</v>
      </c>
      <c r="C2" t="n">
        <v>5</v>
      </c>
      <c r="D2" t="n">
        <v>2</v>
      </c>
      <c r="E2" t="s">
        <v>13</v>
      </c>
      <c r="F2" t="s"/>
      <c r="G2" t="s"/>
      <c r="H2" t="s"/>
      <c r="I2" t="s"/>
      <c r="J2" t="n">
        <v>-0.6722</v>
      </c>
      <c r="K2" t="n">
        <v>0.146</v>
      </c>
      <c r="L2" t="n">
        <v>0.8080000000000001</v>
      </c>
      <c r="M2" t="n">
        <v>0.047</v>
      </c>
    </row>
    <row r="3" spans="1:13">
      <c r="A3" s="1">
        <f>HYPERLINK("http://www.twitter.com/NathanBLawrence/status/1001368360590958592", "1001368360590958592")</f>
        <v/>
      </c>
      <c r="B3" s="2" t="n">
        <v>43249.32171296296</v>
      </c>
      <c r="C3" t="n">
        <v>1</v>
      </c>
      <c r="D3" t="n">
        <v>1</v>
      </c>
      <c r="E3" t="s">
        <v>14</v>
      </c>
      <c r="F3">
        <f>HYPERLINK("http://pbs.twimg.com/media/DeWTNb8UQAAK9OS.jpg", "http://pbs.twimg.com/media/DeWTNb8UQAAK9OS.jpg")</f>
        <v/>
      </c>
      <c r="G3" t="s"/>
      <c r="H3" t="s"/>
      <c r="I3" t="s"/>
      <c r="J3" t="n">
        <v>0</v>
      </c>
      <c r="K3" t="n">
        <v>0</v>
      </c>
      <c r="L3" t="n">
        <v>1</v>
      </c>
      <c r="M3" t="n">
        <v>0</v>
      </c>
    </row>
    <row r="4" spans="1:13">
      <c r="A4" s="1">
        <f>HYPERLINK("http://www.twitter.com/NathanBLawrence/status/1001289985537044480", "1001289985537044480")</f>
        <v/>
      </c>
      <c r="B4" s="2" t="n">
        <v>43249.10543981481</v>
      </c>
      <c r="C4" t="n">
        <v>0</v>
      </c>
      <c r="D4" t="n">
        <v>6565</v>
      </c>
      <c r="E4" t="s">
        <v>15</v>
      </c>
      <c r="F4" t="s"/>
      <c r="G4" t="s"/>
      <c r="H4" t="s"/>
      <c r="I4" t="s"/>
      <c r="J4" t="n">
        <v>0</v>
      </c>
      <c r="K4" t="n">
        <v>0</v>
      </c>
      <c r="L4" t="n">
        <v>1</v>
      </c>
      <c r="M4" t="n">
        <v>0</v>
      </c>
    </row>
    <row r="5" spans="1:13">
      <c r="A5" s="1">
        <f>HYPERLINK("http://www.twitter.com/NathanBLawrence/status/1001289903194419200", "1001289903194419200")</f>
        <v/>
      </c>
      <c r="B5" s="2" t="n">
        <v>43249.10520833333</v>
      </c>
      <c r="C5" t="n">
        <v>2</v>
      </c>
      <c r="D5" t="n">
        <v>0</v>
      </c>
      <c r="E5" t="s">
        <v>16</v>
      </c>
      <c r="F5" t="s"/>
      <c r="G5" t="s"/>
      <c r="H5" t="s"/>
      <c r="I5" t="s"/>
      <c r="J5" t="n">
        <v>0.8581</v>
      </c>
      <c r="K5" t="n">
        <v>0.154</v>
      </c>
      <c r="L5" t="n">
        <v>0.529</v>
      </c>
      <c r="M5" t="n">
        <v>0.317</v>
      </c>
    </row>
    <row r="6" spans="1:13">
      <c r="A6" s="1">
        <f>HYPERLINK("http://www.twitter.com/NathanBLawrence/status/1001289076836913152", "1001289076836913152")</f>
        <v/>
      </c>
      <c r="B6" s="2" t="n">
        <v>43249.10292824074</v>
      </c>
      <c r="C6" t="n">
        <v>0</v>
      </c>
      <c r="D6" t="n">
        <v>4</v>
      </c>
      <c r="E6" t="s">
        <v>17</v>
      </c>
      <c r="F6" t="s"/>
      <c r="G6" t="s"/>
      <c r="H6" t="s"/>
      <c r="I6" t="s"/>
      <c r="J6" t="n">
        <v>0.1027</v>
      </c>
      <c r="K6" t="n">
        <v>0.169</v>
      </c>
      <c r="L6" t="n">
        <v>0.647</v>
      </c>
      <c r="M6" t="n">
        <v>0.183</v>
      </c>
    </row>
    <row r="7" spans="1:13">
      <c r="A7" s="1">
        <f>HYPERLINK("http://www.twitter.com/NathanBLawrence/status/1001247648261734405", "1001247648261734405")</f>
        <v/>
      </c>
      <c r="B7" s="2" t="n">
        <v>43248.98861111111</v>
      </c>
      <c r="C7" t="n">
        <v>0</v>
      </c>
      <c r="D7" t="n">
        <v>1082</v>
      </c>
      <c r="E7" t="s">
        <v>18</v>
      </c>
      <c r="F7" t="s"/>
      <c r="G7" t="s"/>
      <c r="H7" t="s"/>
      <c r="I7" t="s"/>
      <c r="J7" t="n">
        <v>-0.9217</v>
      </c>
      <c r="K7" t="n">
        <v>0.468</v>
      </c>
      <c r="L7" t="n">
        <v>0.532</v>
      </c>
      <c r="M7" t="n">
        <v>0</v>
      </c>
    </row>
    <row r="8" spans="1:13">
      <c r="A8" s="1">
        <f>HYPERLINK("http://www.twitter.com/NathanBLawrence/status/1001247612106952705", "1001247612106952705")</f>
        <v/>
      </c>
      <c r="B8" s="2" t="n">
        <v>43248.98850694444</v>
      </c>
      <c r="C8" t="n">
        <v>0</v>
      </c>
      <c r="D8" t="n">
        <v>47</v>
      </c>
      <c r="E8" t="s">
        <v>19</v>
      </c>
      <c r="F8" t="s"/>
      <c r="G8" t="s"/>
      <c r="H8" t="s"/>
      <c r="I8" t="s"/>
      <c r="J8" t="n">
        <v>0.4574</v>
      </c>
      <c r="K8" t="n">
        <v>0.076</v>
      </c>
      <c r="L8" t="n">
        <v>0.755</v>
      </c>
      <c r="M8" t="n">
        <v>0.169</v>
      </c>
    </row>
    <row r="9" spans="1:13">
      <c r="A9" s="1">
        <f>HYPERLINK("http://www.twitter.com/NathanBLawrence/status/1001247573976416256", "1001247573976416256")</f>
        <v/>
      </c>
      <c r="B9" s="2" t="n">
        <v>43248.98840277778</v>
      </c>
      <c r="C9" t="n">
        <v>0</v>
      </c>
      <c r="D9" t="n">
        <v>86</v>
      </c>
      <c r="E9" t="s">
        <v>20</v>
      </c>
      <c r="F9" t="s"/>
      <c r="G9" t="s"/>
      <c r="H9" t="s"/>
      <c r="I9" t="s"/>
      <c r="J9" t="n">
        <v>0.2263</v>
      </c>
      <c r="K9" t="n">
        <v>0</v>
      </c>
      <c r="L9" t="n">
        <v>0.888</v>
      </c>
      <c r="M9" t="n">
        <v>0.112</v>
      </c>
    </row>
    <row r="10" spans="1:13">
      <c r="A10" s="1">
        <f>HYPERLINK("http://www.twitter.com/NathanBLawrence/status/1001247495081652225", "1001247495081652225")</f>
        <v/>
      </c>
      <c r="B10" s="2" t="n">
        <v>43248.98818287037</v>
      </c>
      <c r="C10" t="n">
        <v>0</v>
      </c>
      <c r="D10" t="n">
        <v>17</v>
      </c>
      <c r="E10" t="s">
        <v>21</v>
      </c>
      <c r="F10" t="s"/>
      <c r="G10" t="s"/>
      <c r="H10" t="s"/>
      <c r="I10" t="s"/>
      <c r="J10" t="n">
        <v>0.0772</v>
      </c>
      <c r="K10" t="n">
        <v>0</v>
      </c>
      <c r="L10" t="n">
        <v>0.843</v>
      </c>
      <c r="M10" t="n">
        <v>0.157</v>
      </c>
    </row>
    <row r="11" spans="1:13">
      <c r="A11" s="1">
        <f>HYPERLINK("http://www.twitter.com/NathanBLawrence/status/1001247437623881729", "1001247437623881729")</f>
        <v/>
      </c>
      <c r="B11" s="2" t="n">
        <v>43248.9880324074</v>
      </c>
      <c r="C11" t="n">
        <v>0</v>
      </c>
      <c r="D11" t="n">
        <v>2</v>
      </c>
      <c r="E11" t="s">
        <v>22</v>
      </c>
      <c r="F11" t="s"/>
      <c r="G11" t="s"/>
      <c r="H11" t="s"/>
      <c r="I11" t="s"/>
      <c r="J11" t="n">
        <v>0</v>
      </c>
      <c r="K11" t="n">
        <v>0</v>
      </c>
      <c r="L11" t="n">
        <v>1</v>
      </c>
      <c r="M11" t="n">
        <v>0</v>
      </c>
    </row>
    <row r="12" spans="1:13">
      <c r="A12" s="1">
        <f>HYPERLINK("http://www.twitter.com/NathanBLawrence/status/1001247417470214144", "1001247417470214144")</f>
        <v/>
      </c>
      <c r="B12" s="2" t="n">
        <v>43248.98797453703</v>
      </c>
      <c r="C12" t="n">
        <v>0</v>
      </c>
      <c r="D12" t="n">
        <v>25708</v>
      </c>
      <c r="E12" t="s">
        <v>23</v>
      </c>
      <c r="F12" t="s"/>
      <c r="G12" t="s"/>
      <c r="H12" t="s"/>
      <c r="I12" t="s"/>
      <c r="J12" t="n">
        <v>0.5423</v>
      </c>
      <c r="K12" t="n">
        <v>0.076</v>
      </c>
      <c r="L12" t="n">
        <v>0.727</v>
      </c>
      <c r="M12" t="n">
        <v>0.197</v>
      </c>
    </row>
    <row r="13" spans="1:13">
      <c r="A13" s="1">
        <f>HYPERLINK("http://www.twitter.com/NathanBLawrence/status/1001247299346067456", "1001247299346067456")</f>
        <v/>
      </c>
      <c r="B13" s="2" t="n">
        <v>43248.98765046296</v>
      </c>
      <c r="C13" t="n">
        <v>1</v>
      </c>
      <c r="D13" t="n">
        <v>0</v>
      </c>
      <c r="E13" t="s">
        <v>24</v>
      </c>
      <c r="F13" t="s"/>
      <c r="G13" t="s"/>
      <c r="H13" t="s"/>
      <c r="I13" t="s"/>
      <c r="J13" t="n">
        <v>-0.0516</v>
      </c>
      <c r="K13" t="n">
        <v>0.091</v>
      </c>
      <c r="L13" t="n">
        <v>0.909</v>
      </c>
      <c r="M13" t="n">
        <v>0</v>
      </c>
    </row>
    <row r="14" spans="1:13">
      <c r="A14" s="1">
        <f>HYPERLINK("http://www.twitter.com/NathanBLawrence/status/1001247209743179776", "1001247209743179776")</f>
        <v/>
      </c>
      <c r="B14" s="2" t="n">
        <v>43248.98739583333</v>
      </c>
      <c r="C14" t="n">
        <v>0</v>
      </c>
      <c r="D14" t="n">
        <v>422</v>
      </c>
      <c r="E14" t="s">
        <v>25</v>
      </c>
      <c r="F14" t="s"/>
      <c r="G14" t="s"/>
      <c r="H14" t="s"/>
      <c r="I14" t="s"/>
      <c r="J14" t="n">
        <v>0.2003</v>
      </c>
      <c r="K14" t="n">
        <v>0.222</v>
      </c>
      <c r="L14" t="n">
        <v>0.533</v>
      </c>
      <c r="M14" t="n">
        <v>0.245</v>
      </c>
    </row>
    <row r="15" spans="1:13">
      <c r="A15" s="1">
        <f>HYPERLINK("http://www.twitter.com/NathanBLawrence/status/1001247183247732736", "1001247183247732736")</f>
        <v/>
      </c>
      <c r="B15" s="2" t="n">
        <v>43248.98732638889</v>
      </c>
      <c r="C15" t="n">
        <v>0</v>
      </c>
      <c r="D15" t="n">
        <v>52</v>
      </c>
      <c r="E15" t="s">
        <v>26</v>
      </c>
      <c r="F15" t="s"/>
      <c r="G15" t="s"/>
      <c r="H15" t="s"/>
      <c r="I15" t="s"/>
      <c r="J15" t="n">
        <v>0</v>
      </c>
      <c r="K15" t="n">
        <v>0</v>
      </c>
      <c r="L15" t="n">
        <v>1</v>
      </c>
      <c r="M15" t="n">
        <v>0</v>
      </c>
    </row>
    <row r="16" spans="1:13">
      <c r="A16" s="1">
        <f>HYPERLINK("http://www.twitter.com/NathanBLawrence/status/1001247064590880768", "1001247064590880768")</f>
        <v/>
      </c>
      <c r="B16" s="2" t="n">
        <v>43248.98700231482</v>
      </c>
      <c r="C16" t="n">
        <v>0</v>
      </c>
      <c r="D16" t="n">
        <v>1241</v>
      </c>
      <c r="E16" t="s">
        <v>27</v>
      </c>
      <c r="F16" t="s"/>
      <c r="G16" t="s"/>
      <c r="H16" t="s"/>
      <c r="I16" t="s"/>
      <c r="J16" t="n">
        <v>0.4019</v>
      </c>
      <c r="K16" t="n">
        <v>0</v>
      </c>
      <c r="L16" t="n">
        <v>0.838</v>
      </c>
      <c r="M16" t="n">
        <v>0.162</v>
      </c>
    </row>
    <row r="17" spans="1:13">
      <c r="A17" s="1">
        <f>HYPERLINK("http://www.twitter.com/NathanBLawrence/status/1001247051487830017", "1001247051487830017")</f>
        <v/>
      </c>
      <c r="B17" s="2" t="n">
        <v>43248.98696759259</v>
      </c>
      <c r="C17" t="n">
        <v>0</v>
      </c>
      <c r="D17" t="n">
        <v>23698</v>
      </c>
      <c r="E17" t="s">
        <v>28</v>
      </c>
      <c r="F17" t="s"/>
      <c r="G17" t="s"/>
      <c r="H17" t="s"/>
      <c r="I17" t="s"/>
      <c r="J17" t="n">
        <v>-0.3818</v>
      </c>
      <c r="K17" t="n">
        <v>0.215</v>
      </c>
      <c r="L17" t="n">
        <v>0.625</v>
      </c>
      <c r="M17" t="n">
        <v>0.16</v>
      </c>
    </row>
    <row r="18" spans="1:13">
      <c r="A18" s="1">
        <f>HYPERLINK("http://www.twitter.com/NathanBLawrence/status/1001247020449980416", "1001247020449980416")</f>
        <v/>
      </c>
      <c r="B18" s="2" t="n">
        <v>43248.986875</v>
      </c>
      <c r="C18" t="n">
        <v>0</v>
      </c>
      <c r="D18" t="n">
        <v>52</v>
      </c>
      <c r="E18" t="s">
        <v>29</v>
      </c>
      <c r="F18" t="s"/>
      <c r="G18" t="s"/>
      <c r="H18" t="s"/>
      <c r="I18" t="s"/>
      <c r="J18" t="n">
        <v>0</v>
      </c>
      <c r="K18" t="n">
        <v>0</v>
      </c>
      <c r="L18" t="n">
        <v>1</v>
      </c>
      <c r="M18" t="n">
        <v>0</v>
      </c>
    </row>
    <row r="19" spans="1:13">
      <c r="A19" s="1">
        <f>HYPERLINK("http://www.twitter.com/NathanBLawrence/status/1001246991479967750", "1001246991479967750")</f>
        <v/>
      </c>
      <c r="B19" s="2" t="n">
        <v>43248.98679398148</v>
      </c>
      <c r="C19" t="n">
        <v>1</v>
      </c>
      <c r="D19" t="n">
        <v>0</v>
      </c>
      <c r="E19" t="s">
        <v>30</v>
      </c>
      <c r="F19" t="s"/>
      <c r="G19" t="s"/>
      <c r="H19" t="s"/>
      <c r="I19" t="s"/>
      <c r="J19" t="n">
        <v>0</v>
      </c>
      <c r="K19" t="n">
        <v>0</v>
      </c>
      <c r="L19" t="n">
        <v>1</v>
      </c>
      <c r="M19" t="n">
        <v>0</v>
      </c>
    </row>
    <row r="20" spans="1:13">
      <c r="A20" s="1">
        <f>HYPERLINK("http://www.twitter.com/NathanBLawrence/status/1001246860454121474", "1001246860454121474")</f>
        <v/>
      </c>
      <c r="B20" s="2" t="n">
        <v>43248.98643518519</v>
      </c>
      <c r="C20" t="n">
        <v>0</v>
      </c>
      <c r="D20" t="n">
        <v>687</v>
      </c>
      <c r="E20" t="s">
        <v>31</v>
      </c>
      <c r="F20" t="s"/>
      <c r="G20" t="s"/>
      <c r="H20" t="s"/>
      <c r="I20" t="s"/>
      <c r="J20" t="n">
        <v>0.144</v>
      </c>
      <c r="K20" t="n">
        <v>0</v>
      </c>
      <c r="L20" t="n">
        <v>0.911</v>
      </c>
      <c r="M20" t="n">
        <v>0.089</v>
      </c>
    </row>
    <row r="21" spans="1:13">
      <c r="A21" s="1">
        <f>HYPERLINK("http://www.twitter.com/NathanBLawrence/status/1001246807832358915", "1001246807832358915")</f>
        <v/>
      </c>
      <c r="B21" s="2" t="n">
        <v>43248.98628472222</v>
      </c>
      <c r="C21" t="n">
        <v>0</v>
      </c>
      <c r="D21" t="n">
        <v>303</v>
      </c>
      <c r="E21" t="s">
        <v>32</v>
      </c>
      <c r="F21" t="s"/>
      <c r="G21" t="s"/>
      <c r="H21" t="s"/>
      <c r="I21" t="s"/>
      <c r="J21" t="n">
        <v>0.4939</v>
      </c>
      <c r="K21" t="n">
        <v>0.129</v>
      </c>
      <c r="L21" t="n">
        <v>0.629</v>
      </c>
      <c r="M21" t="n">
        <v>0.241</v>
      </c>
    </row>
    <row r="22" spans="1:13">
      <c r="A22" s="1">
        <f>HYPERLINK("http://www.twitter.com/NathanBLawrence/status/1001246785577324546", "1001246785577324546")</f>
        <v/>
      </c>
      <c r="B22" s="2" t="n">
        <v>43248.98622685186</v>
      </c>
      <c r="C22" t="n">
        <v>0</v>
      </c>
      <c r="D22" t="n">
        <v>20</v>
      </c>
      <c r="E22" t="s">
        <v>33</v>
      </c>
      <c r="F22" t="s"/>
      <c r="G22" t="s"/>
      <c r="H22" t="s"/>
      <c r="I22" t="s"/>
      <c r="J22" t="n">
        <v>-0.763</v>
      </c>
      <c r="K22" t="n">
        <v>0.353</v>
      </c>
      <c r="L22" t="n">
        <v>0.469</v>
      </c>
      <c r="M22" t="n">
        <v>0.178</v>
      </c>
    </row>
    <row r="23" spans="1:13">
      <c r="A23" s="1">
        <f>HYPERLINK("http://www.twitter.com/NathanBLawrence/status/1001246746490626053", "1001246746490626053")</f>
        <v/>
      </c>
      <c r="B23" s="2" t="n">
        <v>43248.98612268519</v>
      </c>
      <c r="C23" t="n">
        <v>0</v>
      </c>
      <c r="D23" t="n">
        <v>0</v>
      </c>
      <c r="E23" t="s">
        <v>34</v>
      </c>
      <c r="F23" t="s"/>
      <c r="G23" t="s"/>
      <c r="H23" t="s"/>
      <c r="I23" t="s"/>
      <c r="J23" t="n">
        <v>0.168</v>
      </c>
      <c r="K23" t="n">
        <v>0</v>
      </c>
      <c r="L23" t="n">
        <v>0.844</v>
      </c>
      <c r="M23" t="n">
        <v>0.156</v>
      </c>
    </row>
    <row r="24" spans="1:13">
      <c r="A24" s="1">
        <f>HYPERLINK("http://www.twitter.com/NathanBLawrence/status/1001246669860687873", "1001246669860687873")</f>
        <v/>
      </c>
      <c r="B24" s="2" t="n">
        <v>43248.98591435186</v>
      </c>
      <c r="C24" t="n">
        <v>0</v>
      </c>
      <c r="D24" t="n">
        <v>0</v>
      </c>
      <c r="E24" t="s">
        <v>35</v>
      </c>
      <c r="F24" t="s"/>
      <c r="G24" t="s"/>
      <c r="H24" t="s"/>
      <c r="I24" t="s"/>
      <c r="J24" t="n">
        <v>0.5362</v>
      </c>
      <c r="K24" t="n">
        <v>0</v>
      </c>
      <c r="L24" t="n">
        <v>0.669</v>
      </c>
      <c r="M24" t="n">
        <v>0.331</v>
      </c>
    </row>
    <row r="25" spans="1:13">
      <c r="A25" s="1">
        <f>HYPERLINK("http://www.twitter.com/NathanBLawrence/status/1001246489962778626", "1001246489962778626")</f>
        <v/>
      </c>
      <c r="B25" s="2" t="n">
        <v>43248.98541666667</v>
      </c>
      <c r="C25" t="n">
        <v>0</v>
      </c>
      <c r="D25" t="n">
        <v>729</v>
      </c>
      <c r="E25" t="s">
        <v>36</v>
      </c>
      <c r="F25">
        <f>HYPERLINK("http://pbs.twimg.com/media/DeSBCkmWsAA3NUF.jpg", "http://pbs.twimg.com/media/DeSBCkmWsAA3NUF.jpg")</f>
        <v/>
      </c>
      <c r="G25">
        <f>HYPERLINK("http://pbs.twimg.com/media/DeSBCkkW0AE2lRM.jpg", "http://pbs.twimg.com/media/DeSBCkkW0AE2lRM.jpg")</f>
        <v/>
      </c>
      <c r="H25">
        <f>HYPERLINK("http://pbs.twimg.com/media/DeSBCklW4AEgIkN.jpg", "http://pbs.twimg.com/media/DeSBCklW4AEgIkN.jpg")</f>
        <v/>
      </c>
      <c r="I25" t="s"/>
      <c r="J25" t="n">
        <v>0</v>
      </c>
      <c r="K25" t="n">
        <v>0</v>
      </c>
      <c r="L25" t="n">
        <v>1</v>
      </c>
      <c r="M25" t="n">
        <v>0</v>
      </c>
    </row>
    <row r="26" spans="1:13">
      <c r="A26" s="1">
        <f>HYPERLINK("http://www.twitter.com/NathanBLawrence/status/1001246437684994049", "1001246437684994049")</f>
        <v/>
      </c>
      <c r="B26" s="2" t="n">
        <v>43248.9852662037</v>
      </c>
      <c r="C26" t="n">
        <v>0</v>
      </c>
      <c r="D26" t="n">
        <v>36</v>
      </c>
      <c r="E26" t="s">
        <v>37</v>
      </c>
      <c r="F26" t="s"/>
      <c r="G26" t="s"/>
      <c r="H26" t="s"/>
      <c r="I26" t="s"/>
      <c r="J26" t="n">
        <v>0.212</v>
      </c>
      <c r="K26" t="n">
        <v>0</v>
      </c>
      <c r="L26" t="n">
        <v>0.926</v>
      </c>
      <c r="M26" t="n">
        <v>0.074</v>
      </c>
    </row>
    <row r="27" spans="1:13">
      <c r="A27" s="1">
        <f>HYPERLINK("http://www.twitter.com/NathanBLawrence/status/1001246407632785408", "1001246407632785408")</f>
        <v/>
      </c>
      <c r="B27" s="2" t="n">
        <v>43248.98518518519</v>
      </c>
      <c r="C27" t="n">
        <v>0</v>
      </c>
      <c r="D27" t="n">
        <v>209</v>
      </c>
      <c r="E27" t="s">
        <v>38</v>
      </c>
      <c r="F27" t="s"/>
      <c r="G27" t="s"/>
      <c r="H27" t="s"/>
      <c r="I27" t="s"/>
      <c r="J27" t="n">
        <v>0.6369</v>
      </c>
      <c r="K27" t="n">
        <v>0.186</v>
      </c>
      <c r="L27" t="n">
        <v>0.458</v>
      </c>
      <c r="M27" t="n">
        <v>0.356</v>
      </c>
    </row>
    <row r="28" spans="1:13">
      <c r="A28" s="1">
        <f>HYPERLINK("http://www.twitter.com/NathanBLawrence/status/1001246311121858562", "1001246311121858562")</f>
        <v/>
      </c>
      <c r="B28" s="2" t="n">
        <v>43248.98491898148</v>
      </c>
      <c r="C28" t="n">
        <v>0</v>
      </c>
      <c r="D28" t="n">
        <v>6</v>
      </c>
      <c r="E28" t="s">
        <v>39</v>
      </c>
      <c r="F28">
        <f>HYPERLINK("http://pbs.twimg.com/media/DeNCt-NXkAEUsPB.jpg", "http://pbs.twimg.com/media/DeNCt-NXkAEUsPB.jpg")</f>
        <v/>
      </c>
      <c r="G28">
        <f>HYPERLINK("http://pbs.twimg.com/media/DeNCt-MXkAAWZi7.jpg", "http://pbs.twimg.com/media/DeNCt-MXkAAWZi7.jpg")</f>
        <v/>
      </c>
      <c r="H28" t="s"/>
      <c r="I28" t="s"/>
      <c r="J28" t="n">
        <v>-0.296</v>
      </c>
      <c r="K28" t="n">
        <v>0.095</v>
      </c>
      <c r="L28" t="n">
        <v>0.905</v>
      </c>
      <c r="M28" t="n">
        <v>0</v>
      </c>
    </row>
    <row r="29" spans="1:13">
      <c r="A29" s="1">
        <f>HYPERLINK("http://www.twitter.com/NathanBLawrence/status/1001246196437012480", "1001246196437012480")</f>
        <v/>
      </c>
      <c r="B29" s="2" t="n">
        <v>43248.98460648148</v>
      </c>
      <c r="C29" t="n">
        <v>0</v>
      </c>
      <c r="D29" t="n">
        <v>2</v>
      </c>
      <c r="E29" t="s">
        <v>40</v>
      </c>
      <c r="F29" t="s"/>
      <c r="G29" t="s"/>
      <c r="H29" t="s"/>
      <c r="I29" t="s"/>
      <c r="J29" t="n">
        <v>-0.4019</v>
      </c>
      <c r="K29" t="n">
        <v>0.213</v>
      </c>
      <c r="L29" t="n">
        <v>0.631</v>
      </c>
      <c r="M29" t="n">
        <v>0.156</v>
      </c>
    </row>
    <row r="30" spans="1:13">
      <c r="A30" s="1">
        <f>HYPERLINK("http://www.twitter.com/NathanBLawrence/status/1001246102790836224", "1001246102790836224")</f>
        <v/>
      </c>
      <c r="B30" s="2" t="n">
        <v>43248.98434027778</v>
      </c>
      <c r="C30" t="n">
        <v>0</v>
      </c>
      <c r="D30" t="n">
        <v>12</v>
      </c>
      <c r="E30" t="s">
        <v>41</v>
      </c>
      <c r="F30" t="s"/>
      <c r="G30" t="s"/>
      <c r="H30" t="s"/>
      <c r="I30" t="s"/>
      <c r="J30" t="n">
        <v>0.4648</v>
      </c>
      <c r="K30" t="n">
        <v>0</v>
      </c>
      <c r="L30" t="n">
        <v>0.822</v>
      </c>
      <c r="M30" t="n">
        <v>0.178</v>
      </c>
    </row>
    <row r="31" spans="1:13">
      <c r="A31" s="1">
        <f>HYPERLINK("http://www.twitter.com/NathanBLawrence/status/1001245993332035584", "1001245993332035584")</f>
        <v/>
      </c>
      <c r="B31" s="2" t="n">
        <v>43248.98403935185</v>
      </c>
      <c r="C31" t="n">
        <v>0</v>
      </c>
      <c r="D31" t="n">
        <v>18</v>
      </c>
      <c r="E31" t="s">
        <v>42</v>
      </c>
      <c r="F31">
        <f>HYPERLINK("http://pbs.twimg.com/media/DeQE7vEWAAA3dD1.jpg", "http://pbs.twimg.com/media/DeQE7vEWAAA3dD1.jpg")</f>
        <v/>
      </c>
      <c r="G31" t="s"/>
      <c r="H31" t="s"/>
      <c r="I31" t="s"/>
      <c r="J31" t="n">
        <v>0.1779</v>
      </c>
      <c r="K31" t="n">
        <v>0.108</v>
      </c>
      <c r="L31" t="n">
        <v>0.751</v>
      </c>
      <c r="M31" t="n">
        <v>0.141</v>
      </c>
    </row>
    <row r="32" spans="1:13">
      <c r="A32" s="1">
        <f>HYPERLINK("http://www.twitter.com/NathanBLawrence/status/1001245950185263104", "1001245950185263104")</f>
        <v/>
      </c>
      <c r="B32" s="2" t="n">
        <v>43248.98392361111</v>
      </c>
      <c r="C32" t="n">
        <v>0</v>
      </c>
      <c r="D32" t="n">
        <v>10</v>
      </c>
      <c r="E32" t="s">
        <v>43</v>
      </c>
      <c r="F32">
        <f>HYPERLINK("http://pbs.twimg.com/media/DeSF2I4VMAAfgr-.jpg", "http://pbs.twimg.com/media/DeSF2I4VMAAfgr-.jpg")</f>
        <v/>
      </c>
      <c r="G32" t="s"/>
      <c r="H32" t="s"/>
      <c r="I32" t="s"/>
      <c r="J32" t="n">
        <v>-0.296</v>
      </c>
      <c r="K32" t="n">
        <v>0.099</v>
      </c>
      <c r="L32" t="n">
        <v>0.901</v>
      </c>
      <c r="M32" t="n">
        <v>0</v>
      </c>
    </row>
    <row r="33" spans="1:13">
      <c r="A33" s="1">
        <f>HYPERLINK("http://www.twitter.com/NathanBLawrence/status/1001245939246534656", "1001245939246534656")</f>
        <v/>
      </c>
      <c r="B33" s="2" t="n">
        <v>43248.98388888889</v>
      </c>
      <c r="C33" t="n">
        <v>0</v>
      </c>
      <c r="D33" t="n">
        <v>10</v>
      </c>
      <c r="E33" t="s">
        <v>44</v>
      </c>
      <c r="F33" t="s"/>
      <c r="G33" t="s"/>
      <c r="H33" t="s"/>
      <c r="I33" t="s"/>
      <c r="J33" t="n">
        <v>-0.4577</v>
      </c>
      <c r="K33" t="n">
        <v>0.125</v>
      </c>
      <c r="L33" t="n">
        <v>0.875</v>
      </c>
      <c r="M33" t="n">
        <v>0</v>
      </c>
    </row>
    <row r="34" spans="1:13">
      <c r="A34" s="1">
        <f>HYPERLINK("http://www.twitter.com/NathanBLawrence/status/1001245923824013318", "1001245923824013318")</f>
        <v/>
      </c>
      <c r="B34" s="2" t="n">
        <v>43248.98385416667</v>
      </c>
      <c r="C34" t="n">
        <v>0</v>
      </c>
      <c r="D34" t="n">
        <v>5</v>
      </c>
      <c r="E34" t="s">
        <v>45</v>
      </c>
      <c r="F34" t="s"/>
      <c r="G34" t="s"/>
      <c r="H34" t="s"/>
      <c r="I34" t="s"/>
      <c r="J34" t="n">
        <v>-0.1361</v>
      </c>
      <c r="K34" t="n">
        <v>0.211</v>
      </c>
      <c r="L34" t="n">
        <v>0.626</v>
      </c>
      <c r="M34" t="n">
        <v>0.163</v>
      </c>
    </row>
    <row r="35" spans="1:13">
      <c r="A35" s="1">
        <f>HYPERLINK("http://www.twitter.com/NathanBLawrence/status/1001245910691663872", "1001245910691663872")</f>
        <v/>
      </c>
      <c r="B35" s="2" t="n">
        <v>43248.98381944445</v>
      </c>
      <c r="C35" t="n">
        <v>0</v>
      </c>
      <c r="D35" t="n">
        <v>8</v>
      </c>
      <c r="E35" t="s">
        <v>46</v>
      </c>
      <c r="F35" t="s"/>
      <c r="G35" t="s"/>
      <c r="H35" t="s"/>
      <c r="I35" t="s"/>
      <c r="J35" t="n">
        <v>0.2481</v>
      </c>
      <c r="K35" t="n">
        <v>0.13</v>
      </c>
      <c r="L35" t="n">
        <v>0.669</v>
      </c>
      <c r="M35" t="n">
        <v>0.2</v>
      </c>
    </row>
    <row r="36" spans="1:13">
      <c r="A36" s="1">
        <f>HYPERLINK("http://www.twitter.com/NathanBLawrence/status/1001245794077499393", "1001245794077499393")</f>
        <v/>
      </c>
      <c r="B36" s="2" t="n">
        <v>43248.98349537037</v>
      </c>
      <c r="C36" t="n">
        <v>1</v>
      </c>
      <c r="D36" t="n">
        <v>0</v>
      </c>
      <c r="E36" t="s">
        <v>47</v>
      </c>
      <c r="F36" t="s"/>
      <c r="G36" t="s"/>
      <c r="H36" t="s"/>
      <c r="I36" t="s"/>
      <c r="J36" t="n">
        <v>0.1851</v>
      </c>
      <c r="K36" t="n">
        <v>0.289</v>
      </c>
      <c r="L36" t="n">
        <v>0.339</v>
      </c>
      <c r="M36" t="n">
        <v>0.372</v>
      </c>
    </row>
    <row r="37" spans="1:13">
      <c r="A37" s="1">
        <f>HYPERLINK("http://www.twitter.com/NathanBLawrence/status/1001245765182935040", "1001245765182935040")</f>
        <v/>
      </c>
      <c r="B37" s="2" t="n">
        <v>43248.98341435185</v>
      </c>
      <c r="C37" t="n">
        <v>1</v>
      </c>
      <c r="D37" t="n">
        <v>0</v>
      </c>
      <c r="E37" t="s">
        <v>48</v>
      </c>
      <c r="F37" t="s"/>
      <c r="G37" t="s"/>
      <c r="H37" t="s"/>
      <c r="I37" t="s"/>
      <c r="J37" t="n">
        <v>-0.1779</v>
      </c>
      <c r="K37" t="n">
        <v>0.221</v>
      </c>
      <c r="L37" t="n">
        <v>0.779</v>
      </c>
      <c r="M37" t="n">
        <v>0</v>
      </c>
    </row>
    <row r="38" spans="1:13">
      <c r="A38" s="1">
        <f>HYPERLINK("http://www.twitter.com/NathanBLawrence/status/1001245693829419008", "1001245693829419008")</f>
        <v/>
      </c>
      <c r="B38" s="2" t="n">
        <v>43248.98321759259</v>
      </c>
      <c r="C38" t="n">
        <v>0</v>
      </c>
      <c r="D38" t="n">
        <v>4</v>
      </c>
      <c r="E38" t="s">
        <v>49</v>
      </c>
      <c r="F38" t="s"/>
      <c r="G38" t="s"/>
      <c r="H38" t="s"/>
      <c r="I38" t="s"/>
      <c r="J38" t="n">
        <v>0.4019</v>
      </c>
      <c r="K38" t="n">
        <v>0</v>
      </c>
      <c r="L38" t="n">
        <v>0.787</v>
      </c>
      <c r="M38" t="n">
        <v>0.213</v>
      </c>
    </row>
    <row r="39" spans="1:13">
      <c r="A39" s="1">
        <f>HYPERLINK("http://www.twitter.com/NathanBLawrence/status/1001245646471553025", "1001245646471553025")</f>
        <v/>
      </c>
      <c r="B39" s="2" t="n">
        <v>43248.98309027778</v>
      </c>
      <c r="C39" t="n">
        <v>0</v>
      </c>
      <c r="D39" t="n">
        <v>11</v>
      </c>
      <c r="E39" t="s">
        <v>50</v>
      </c>
      <c r="F39" t="s"/>
      <c r="G39" t="s"/>
      <c r="H39" t="s"/>
      <c r="I39" t="s"/>
      <c r="J39" t="n">
        <v>-0.4767</v>
      </c>
      <c r="K39" t="n">
        <v>0.181</v>
      </c>
      <c r="L39" t="n">
        <v>0.819</v>
      </c>
      <c r="M39" t="n">
        <v>0</v>
      </c>
    </row>
    <row r="40" spans="1:13">
      <c r="A40" s="1">
        <f>HYPERLINK("http://www.twitter.com/NathanBLawrence/status/1001244773607444481", "1001244773607444481")</f>
        <v/>
      </c>
      <c r="B40" s="2" t="n">
        <v>43248.9806712963</v>
      </c>
      <c r="C40" t="n">
        <v>8</v>
      </c>
      <c r="D40" t="n">
        <v>5</v>
      </c>
      <c r="E40" t="s">
        <v>51</v>
      </c>
      <c r="F40" t="s"/>
      <c r="G40" t="s"/>
      <c r="H40" t="s"/>
      <c r="I40" t="s"/>
      <c r="J40" t="n">
        <v>-0.8807</v>
      </c>
      <c r="K40" t="n">
        <v>0.371</v>
      </c>
      <c r="L40" t="n">
        <v>0.629</v>
      </c>
      <c r="M40" t="n">
        <v>0</v>
      </c>
    </row>
    <row r="41" spans="1:13">
      <c r="A41" s="1">
        <f>HYPERLINK("http://www.twitter.com/NathanBLawrence/status/1001204858568036352", "1001204858568036352")</f>
        <v/>
      </c>
      <c r="B41" s="2" t="n">
        <v>43248.87053240741</v>
      </c>
      <c r="C41" t="n">
        <v>0</v>
      </c>
      <c r="D41" t="n">
        <v>21</v>
      </c>
      <c r="E41" t="s">
        <v>52</v>
      </c>
      <c r="F41" t="s"/>
      <c r="G41" t="s"/>
      <c r="H41" t="s"/>
      <c r="I41" t="s"/>
      <c r="J41" t="n">
        <v>-0.4767</v>
      </c>
      <c r="K41" t="n">
        <v>0.181</v>
      </c>
      <c r="L41" t="n">
        <v>0.819</v>
      </c>
      <c r="M41" t="n">
        <v>0</v>
      </c>
    </row>
    <row r="42" spans="1:13">
      <c r="A42" s="1">
        <f>HYPERLINK("http://www.twitter.com/NathanBLawrence/status/1001204844336680960", "1001204844336680960")</f>
        <v/>
      </c>
      <c r="B42" s="2" t="n">
        <v>43248.87049768519</v>
      </c>
      <c r="C42" t="n">
        <v>0</v>
      </c>
      <c r="D42" t="n">
        <v>5</v>
      </c>
      <c r="E42" t="s">
        <v>53</v>
      </c>
      <c r="F42">
        <f>HYPERLINK("https://video.twimg.com/ext_tw_video/1001160686280630273/pu/vid/720x1280/AfR-gX_SrdmhQ03_.mp4?tag=3", "https://video.twimg.com/ext_tw_video/1001160686280630273/pu/vid/720x1280/AfR-gX_SrdmhQ03_.mp4?tag=3")</f>
        <v/>
      </c>
      <c r="G42" t="s"/>
      <c r="H42" t="s"/>
      <c r="I42" t="s"/>
      <c r="J42" t="n">
        <v>0.2714</v>
      </c>
      <c r="K42" t="n">
        <v>0.166</v>
      </c>
      <c r="L42" t="n">
        <v>0.596</v>
      </c>
      <c r="M42" t="n">
        <v>0.238</v>
      </c>
    </row>
    <row r="43" spans="1:13">
      <c r="A43" s="1">
        <f>HYPERLINK("http://www.twitter.com/NathanBLawrence/status/1001204713793212419", "1001204713793212419")</f>
        <v/>
      </c>
      <c r="B43" s="2" t="n">
        <v>43248.87012731482</v>
      </c>
      <c r="C43" t="n">
        <v>0</v>
      </c>
      <c r="D43" t="n">
        <v>11</v>
      </c>
      <c r="E43" t="s">
        <v>54</v>
      </c>
      <c r="F43" t="s"/>
      <c r="G43" t="s"/>
      <c r="H43" t="s"/>
      <c r="I43" t="s"/>
      <c r="J43" t="n">
        <v>0.5610000000000001</v>
      </c>
      <c r="K43" t="n">
        <v>0</v>
      </c>
      <c r="L43" t="n">
        <v>0.864</v>
      </c>
      <c r="M43" t="n">
        <v>0.136</v>
      </c>
    </row>
    <row r="44" spans="1:13">
      <c r="A44" s="1">
        <f>HYPERLINK("http://www.twitter.com/NathanBLawrence/status/1001204668159152130", "1001204668159152130")</f>
        <v/>
      </c>
      <c r="B44" s="2" t="n">
        <v>43248.87001157407</v>
      </c>
      <c r="C44" t="n">
        <v>0</v>
      </c>
      <c r="D44" t="n">
        <v>11</v>
      </c>
      <c r="E44" t="s">
        <v>55</v>
      </c>
      <c r="F44">
        <f>HYPERLINK("http://pbs.twimg.com/media/DeRufM7U8AE48lU.jpg", "http://pbs.twimg.com/media/DeRufM7U8AE48lU.jpg")</f>
        <v/>
      </c>
      <c r="G44" t="s"/>
      <c r="H44" t="s"/>
      <c r="I44" t="s"/>
      <c r="J44" t="n">
        <v>0.6909</v>
      </c>
      <c r="K44" t="n">
        <v>0</v>
      </c>
      <c r="L44" t="n">
        <v>0.783</v>
      </c>
      <c r="M44" t="n">
        <v>0.217</v>
      </c>
    </row>
    <row r="45" spans="1:13">
      <c r="A45" s="1">
        <f>HYPERLINK("http://www.twitter.com/NathanBLawrence/status/1001204642448052226", "1001204642448052226")</f>
        <v/>
      </c>
      <c r="B45" s="2" t="n">
        <v>43248.86993055556</v>
      </c>
      <c r="C45" t="n">
        <v>0</v>
      </c>
      <c r="D45" t="n">
        <v>12</v>
      </c>
      <c r="E45" t="s">
        <v>56</v>
      </c>
      <c r="F45" t="s"/>
      <c r="G45" t="s"/>
      <c r="H45" t="s"/>
      <c r="I45" t="s"/>
      <c r="J45" t="n">
        <v>0.5319</v>
      </c>
      <c r="K45" t="n">
        <v>0</v>
      </c>
      <c r="L45" t="n">
        <v>0.832</v>
      </c>
      <c r="M45" t="n">
        <v>0.168</v>
      </c>
    </row>
    <row r="46" spans="1:13">
      <c r="A46" s="1">
        <f>HYPERLINK("http://www.twitter.com/NathanBLawrence/status/1001204561980338176", "1001204561980338176")</f>
        <v/>
      </c>
      <c r="B46" s="2" t="n">
        <v>43248.86971064815</v>
      </c>
      <c r="C46" t="n">
        <v>0</v>
      </c>
      <c r="D46" t="n">
        <v>7</v>
      </c>
      <c r="E46" t="s">
        <v>57</v>
      </c>
      <c r="F46">
        <f>HYPERLINK("https://video.twimg.com/ext_tw_video/1001201253270114307/pu/vid/1280x720/85ohkbOg4d_dpp6i.mp4?tag=3", "https://video.twimg.com/ext_tw_video/1001201253270114307/pu/vid/1280x720/85ohkbOg4d_dpp6i.mp4?tag=3")</f>
        <v/>
      </c>
      <c r="G46" t="s"/>
      <c r="H46" t="s"/>
      <c r="I46" t="s"/>
      <c r="J46" t="n">
        <v>0.5574</v>
      </c>
      <c r="K46" t="n">
        <v>0.08400000000000001</v>
      </c>
      <c r="L46" t="n">
        <v>0.709</v>
      </c>
      <c r="M46" t="n">
        <v>0.206</v>
      </c>
    </row>
    <row r="47" spans="1:13">
      <c r="A47" s="1">
        <f>HYPERLINK("http://www.twitter.com/NathanBLawrence/status/1001204370350985216", "1001204370350985216")</f>
        <v/>
      </c>
      <c r="B47" s="2" t="n">
        <v>43248.86918981482</v>
      </c>
      <c r="C47" t="n">
        <v>0</v>
      </c>
      <c r="D47" t="n">
        <v>4</v>
      </c>
      <c r="E47" t="s">
        <v>58</v>
      </c>
      <c r="F47" t="s"/>
      <c r="G47" t="s"/>
      <c r="H47" t="s"/>
      <c r="I47" t="s"/>
      <c r="J47" t="n">
        <v>0.2732</v>
      </c>
      <c r="K47" t="n">
        <v>0</v>
      </c>
      <c r="L47" t="n">
        <v>0.909</v>
      </c>
      <c r="M47" t="n">
        <v>0.091</v>
      </c>
    </row>
    <row r="48" spans="1:13">
      <c r="A48" s="1">
        <f>HYPERLINK("http://www.twitter.com/NathanBLawrence/status/1001188212105236481", "1001188212105236481")</f>
        <v/>
      </c>
      <c r="B48" s="2" t="n">
        <v>43248.8245949074</v>
      </c>
      <c r="C48" t="n">
        <v>0</v>
      </c>
      <c r="D48" t="n">
        <v>144</v>
      </c>
      <c r="E48" t="s">
        <v>59</v>
      </c>
      <c r="F48" t="s"/>
      <c r="G48" t="s"/>
      <c r="H48" t="s"/>
      <c r="I48" t="s"/>
      <c r="J48" t="n">
        <v>0</v>
      </c>
      <c r="K48" t="n">
        <v>0</v>
      </c>
      <c r="L48" t="n">
        <v>1</v>
      </c>
      <c r="M48" t="n">
        <v>0</v>
      </c>
    </row>
    <row r="49" spans="1:13">
      <c r="A49" s="1">
        <f>HYPERLINK("http://www.twitter.com/NathanBLawrence/status/1001188177112158209", "1001188177112158209")</f>
        <v/>
      </c>
      <c r="B49" s="2" t="n">
        <v>43248.82450231481</v>
      </c>
      <c r="C49" t="n">
        <v>0</v>
      </c>
      <c r="D49" t="n">
        <v>2</v>
      </c>
      <c r="E49" t="s">
        <v>60</v>
      </c>
      <c r="F49" t="s"/>
      <c r="G49" t="s"/>
      <c r="H49" t="s"/>
      <c r="I49" t="s"/>
      <c r="J49" t="n">
        <v>-0.2462</v>
      </c>
      <c r="K49" t="n">
        <v>0.135</v>
      </c>
      <c r="L49" t="n">
        <v>0.777</v>
      </c>
      <c r="M49" t="n">
        <v>0.08699999999999999</v>
      </c>
    </row>
    <row r="50" spans="1:13">
      <c r="A50" s="1">
        <f>HYPERLINK("http://www.twitter.com/NathanBLawrence/status/1001188152197992450", "1001188152197992450")</f>
        <v/>
      </c>
      <c r="B50" s="2" t="n">
        <v>43248.82443287037</v>
      </c>
      <c r="C50" t="n">
        <v>0</v>
      </c>
      <c r="D50" t="n">
        <v>18079</v>
      </c>
      <c r="E50" t="s">
        <v>61</v>
      </c>
      <c r="F50">
        <f>HYPERLINK("https://video.twimg.com/ext_tw_video/1001055798867378176/pu/vid/1280x720/JVDtswkk6r4jmHXn.mp4?tag=3", "https://video.twimg.com/ext_tw_video/1001055798867378176/pu/vid/1280x720/JVDtswkk6r4jmHXn.mp4?tag=3")</f>
        <v/>
      </c>
      <c r="G50" t="s"/>
      <c r="H50" t="s"/>
      <c r="I50" t="s"/>
      <c r="J50" t="n">
        <v>0</v>
      </c>
      <c r="K50" t="n">
        <v>0</v>
      </c>
      <c r="L50" t="n">
        <v>1</v>
      </c>
      <c r="M50" t="n">
        <v>0</v>
      </c>
    </row>
    <row r="51" spans="1:13">
      <c r="A51" s="1">
        <f>HYPERLINK("http://www.twitter.com/NathanBLawrence/status/1001188115715887105", "1001188115715887105")</f>
        <v/>
      </c>
      <c r="B51" s="2" t="n">
        <v>43248.8243287037</v>
      </c>
      <c r="C51" t="n">
        <v>1</v>
      </c>
      <c r="D51" t="n">
        <v>1</v>
      </c>
      <c r="E51" t="s">
        <v>62</v>
      </c>
      <c r="F51" t="s"/>
      <c r="G51" t="s"/>
      <c r="H51" t="s"/>
      <c r="I51" t="s"/>
      <c r="J51" t="n">
        <v>-0.886</v>
      </c>
      <c r="K51" t="n">
        <v>0.351</v>
      </c>
      <c r="L51" t="n">
        <v>0.59</v>
      </c>
      <c r="M51" t="n">
        <v>0.059</v>
      </c>
    </row>
    <row r="52" spans="1:13">
      <c r="A52" s="1">
        <f>HYPERLINK("http://www.twitter.com/NathanBLawrence/status/1001187955342528513", "1001187955342528513")</f>
        <v/>
      </c>
      <c r="B52" s="2" t="n">
        <v>43248.82388888889</v>
      </c>
      <c r="C52" t="n">
        <v>0</v>
      </c>
      <c r="D52" t="n">
        <v>46</v>
      </c>
      <c r="E52" t="s">
        <v>63</v>
      </c>
      <c r="F52" t="s"/>
      <c r="G52" t="s"/>
      <c r="H52" t="s"/>
      <c r="I52" t="s"/>
      <c r="J52" t="n">
        <v>0</v>
      </c>
      <c r="K52" t="n">
        <v>0</v>
      </c>
      <c r="L52" t="n">
        <v>1</v>
      </c>
      <c r="M52" t="n">
        <v>0</v>
      </c>
    </row>
    <row r="53" spans="1:13">
      <c r="A53" s="1">
        <f>HYPERLINK("http://www.twitter.com/NathanBLawrence/status/1001187615427694593", "1001187615427694593")</f>
        <v/>
      </c>
      <c r="B53" s="2" t="n">
        <v>43248.82295138889</v>
      </c>
      <c r="C53" t="n">
        <v>0</v>
      </c>
      <c r="D53" t="n">
        <v>3613</v>
      </c>
      <c r="E53" t="s">
        <v>64</v>
      </c>
      <c r="F53" t="s"/>
      <c r="G53" t="s"/>
      <c r="H53" t="s"/>
      <c r="I53" t="s"/>
      <c r="J53" t="n">
        <v>-0.6458</v>
      </c>
      <c r="K53" t="n">
        <v>0.37</v>
      </c>
      <c r="L53" t="n">
        <v>0.63</v>
      </c>
      <c r="M53" t="n">
        <v>0</v>
      </c>
    </row>
    <row r="54" spans="1:13">
      <c r="A54" s="1">
        <f>HYPERLINK("http://www.twitter.com/NathanBLawrence/status/1001187582385053697", "1001187582385053697")</f>
        <v/>
      </c>
      <c r="B54" s="2" t="n">
        <v>43248.82285879629</v>
      </c>
      <c r="C54" t="n">
        <v>0</v>
      </c>
      <c r="D54" t="n">
        <v>17091</v>
      </c>
      <c r="E54" t="s">
        <v>65</v>
      </c>
      <c r="F54">
        <f>HYPERLINK("https://video.twimg.com/ext_tw_video/1001150534349451265/pu/vid/1280x720/KyfrOpKq1AMyh1fd.mp4?tag=3", "https://video.twimg.com/ext_tw_video/1001150534349451265/pu/vid/1280x720/KyfrOpKq1AMyh1fd.mp4?tag=3")</f>
        <v/>
      </c>
      <c r="G54" t="s"/>
      <c r="H54" t="s"/>
      <c r="I54" t="s"/>
      <c r="J54" t="n">
        <v>0.5574</v>
      </c>
      <c r="K54" t="n">
        <v>0.08400000000000001</v>
      </c>
      <c r="L54" t="n">
        <v>0.709</v>
      </c>
      <c r="M54" t="n">
        <v>0.206</v>
      </c>
    </row>
    <row r="55" spans="1:13">
      <c r="A55" s="1">
        <f>HYPERLINK("http://www.twitter.com/NathanBLawrence/status/1001187550109880320", "1001187550109880320")</f>
        <v/>
      </c>
      <c r="B55" s="2" t="n">
        <v>43248.8227662037</v>
      </c>
      <c r="C55" t="n">
        <v>0</v>
      </c>
      <c r="D55" t="n">
        <v>3526</v>
      </c>
      <c r="E55" t="s">
        <v>66</v>
      </c>
      <c r="F55">
        <f>HYPERLINK("https://video.twimg.com/amplify_video/1001128072739868672/vid/1280x720/fJ2RuD1k1n6XTlSa.mp4?tag=2", "https://video.twimg.com/amplify_video/1001128072739868672/vid/1280x720/fJ2RuD1k1n6XTlSa.mp4?tag=2")</f>
        <v/>
      </c>
      <c r="G55" t="s"/>
      <c r="H55" t="s"/>
      <c r="I55" t="s"/>
      <c r="J55" t="n">
        <v>0.4939</v>
      </c>
      <c r="K55" t="n">
        <v>0</v>
      </c>
      <c r="L55" t="n">
        <v>0.856</v>
      </c>
      <c r="M55" t="n">
        <v>0.144</v>
      </c>
    </row>
    <row r="56" spans="1:13">
      <c r="A56" s="1">
        <f>HYPERLINK("http://www.twitter.com/NathanBLawrence/status/1001187538516758528", "1001187538516758528")</f>
        <v/>
      </c>
      <c r="B56" s="2" t="n">
        <v>43248.82274305556</v>
      </c>
      <c r="C56" t="n">
        <v>0</v>
      </c>
      <c r="D56" t="n">
        <v>668</v>
      </c>
      <c r="E56" t="s">
        <v>67</v>
      </c>
      <c r="F56">
        <f>HYPERLINK("http://pbs.twimg.com/media/DeTgQXRXkAIYqVS.jpg", "http://pbs.twimg.com/media/DeTgQXRXkAIYqVS.jpg")</f>
        <v/>
      </c>
      <c r="G56" t="s"/>
      <c r="H56" t="s"/>
      <c r="I56" t="s"/>
      <c r="J56" t="n">
        <v>-0.2263</v>
      </c>
      <c r="K56" t="n">
        <v>0.216</v>
      </c>
      <c r="L56" t="n">
        <v>0.636</v>
      </c>
      <c r="M56" t="n">
        <v>0.148</v>
      </c>
    </row>
    <row r="57" spans="1:13">
      <c r="A57" s="1">
        <f>HYPERLINK("http://www.twitter.com/NathanBLawrence/status/1001187438738493441", "1001187438738493441")</f>
        <v/>
      </c>
      <c r="B57" s="2" t="n">
        <v>43248.82246527778</v>
      </c>
      <c r="C57" t="n">
        <v>0</v>
      </c>
      <c r="D57" t="n">
        <v>0</v>
      </c>
      <c r="E57" t="s">
        <v>68</v>
      </c>
      <c r="F57" t="s"/>
      <c r="G57" t="s"/>
      <c r="H57" t="s"/>
      <c r="I57" t="s"/>
      <c r="J57" t="n">
        <v>-0.4404</v>
      </c>
      <c r="K57" t="n">
        <v>0.271</v>
      </c>
      <c r="L57" t="n">
        <v>0.621</v>
      </c>
      <c r="M57" t="n">
        <v>0.107</v>
      </c>
    </row>
    <row r="58" spans="1:13">
      <c r="A58" s="1">
        <f>HYPERLINK("http://www.twitter.com/NathanBLawrence/status/1001187347063607296", "1001187347063607296")</f>
        <v/>
      </c>
      <c r="B58" s="2" t="n">
        <v>43248.82221064815</v>
      </c>
      <c r="C58" t="n">
        <v>0</v>
      </c>
      <c r="D58" t="n">
        <v>3435</v>
      </c>
      <c r="E58" t="s">
        <v>69</v>
      </c>
      <c r="F58">
        <f>HYPERLINK("http://pbs.twimg.com/media/DeNzqS5WAAEYwej.jpg", "http://pbs.twimg.com/media/DeNzqS5WAAEYwej.jpg")</f>
        <v/>
      </c>
      <c r="G58" t="s"/>
      <c r="H58" t="s"/>
      <c r="I58" t="s"/>
      <c r="J58" t="n">
        <v>0</v>
      </c>
      <c r="K58" t="n">
        <v>0</v>
      </c>
      <c r="L58" t="n">
        <v>1</v>
      </c>
      <c r="M58" t="n">
        <v>0</v>
      </c>
    </row>
    <row r="59" spans="1:13">
      <c r="A59" s="1">
        <f>HYPERLINK("http://www.twitter.com/NathanBLawrence/status/1001187333675343872", "1001187333675343872")</f>
        <v/>
      </c>
      <c r="B59" s="2" t="n">
        <v>43248.82217592592</v>
      </c>
      <c r="C59" t="n">
        <v>0</v>
      </c>
      <c r="D59" t="n">
        <v>178</v>
      </c>
      <c r="E59" t="s">
        <v>70</v>
      </c>
      <c r="F59" t="s"/>
      <c r="G59" t="s"/>
      <c r="H59" t="s"/>
      <c r="I59" t="s"/>
      <c r="J59" t="n">
        <v>0.3016</v>
      </c>
      <c r="K59" t="n">
        <v>0.2</v>
      </c>
      <c r="L59" t="n">
        <v>0.529</v>
      </c>
      <c r="M59" t="n">
        <v>0.272</v>
      </c>
    </row>
    <row r="60" spans="1:13">
      <c r="A60" s="1">
        <f>HYPERLINK("http://www.twitter.com/NathanBLawrence/status/1001187313358077952", "1001187313358077952")</f>
        <v/>
      </c>
      <c r="B60" s="2" t="n">
        <v>43248.82211805556</v>
      </c>
      <c r="C60" t="n">
        <v>0</v>
      </c>
      <c r="D60" t="n">
        <v>801</v>
      </c>
      <c r="E60" t="s">
        <v>71</v>
      </c>
      <c r="F60" t="s"/>
      <c r="G60" t="s"/>
      <c r="H60" t="s"/>
      <c r="I60" t="s"/>
      <c r="J60" t="n">
        <v>0</v>
      </c>
      <c r="K60" t="n">
        <v>0</v>
      </c>
      <c r="L60" t="n">
        <v>1</v>
      </c>
      <c r="M60" t="n">
        <v>0</v>
      </c>
    </row>
    <row r="61" spans="1:13">
      <c r="A61" s="1">
        <f>HYPERLINK("http://www.twitter.com/NathanBLawrence/status/1001187272836943875", "1001187272836943875")</f>
        <v/>
      </c>
      <c r="B61" s="2" t="n">
        <v>43248.82200231482</v>
      </c>
      <c r="C61" t="n">
        <v>0</v>
      </c>
      <c r="D61" t="n">
        <v>5</v>
      </c>
      <c r="E61" t="s">
        <v>72</v>
      </c>
      <c r="F61" t="s"/>
      <c r="G61" t="s"/>
      <c r="H61" t="s"/>
      <c r="I61" t="s"/>
      <c r="J61" t="n">
        <v>0.508</v>
      </c>
      <c r="K61" t="n">
        <v>0</v>
      </c>
      <c r="L61" t="n">
        <v>0.875</v>
      </c>
      <c r="M61" t="n">
        <v>0.125</v>
      </c>
    </row>
    <row r="62" spans="1:13">
      <c r="A62" s="1">
        <f>HYPERLINK("http://www.twitter.com/NathanBLawrence/status/1001187245498486786", "1001187245498486786")</f>
        <v/>
      </c>
      <c r="B62" s="2" t="n">
        <v>43248.82193287037</v>
      </c>
      <c r="C62" t="n">
        <v>0</v>
      </c>
      <c r="D62" t="n">
        <v>2716</v>
      </c>
      <c r="E62" t="s">
        <v>73</v>
      </c>
      <c r="F62" t="s"/>
      <c r="G62" t="s"/>
      <c r="H62" t="s"/>
      <c r="I62" t="s"/>
      <c r="J62" t="n">
        <v>-0.0173</v>
      </c>
      <c r="K62" t="n">
        <v>0.108</v>
      </c>
      <c r="L62" t="n">
        <v>0.787</v>
      </c>
      <c r="M62" t="n">
        <v>0.105</v>
      </c>
    </row>
    <row r="63" spans="1:13">
      <c r="A63" s="1">
        <f>HYPERLINK("http://www.twitter.com/NathanBLawrence/status/1001169161307947009", "1001169161307947009")</f>
        <v/>
      </c>
      <c r="B63" s="2" t="n">
        <v>43248.77202546296</v>
      </c>
      <c r="C63" t="n">
        <v>0</v>
      </c>
      <c r="D63" t="n">
        <v>5</v>
      </c>
      <c r="E63" t="s">
        <v>74</v>
      </c>
      <c r="F63" t="s"/>
      <c r="G63" t="s"/>
      <c r="H63" t="s"/>
      <c r="I63" t="s"/>
      <c r="J63" t="n">
        <v>0.4019</v>
      </c>
      <c r="K63" t="n">
        <v>0</v>
      </c>
      <c r="L63" t="n">
        <v>0.891</v>
      </c>
      <c r="M63" t="n">
        <v>0.109</v>
      </c>
    </row>
    <row r="64" spans="1:13">
      <c r="A64" s="1">
        <f>HYPERLINK("http://www.twitter.com/NathanBLawrence/status/1001169127950770176", "1001169127950770176")</f>
        <v/>
      </c>
      <c r="B64" s="2" t="n">
        <v>43248.77193287037</v>
      </c>
      <c r="C64" t="n">
        <v>0</v>
      </c>
      <c r="D64" t="n">
        <v>3</v>
      </c>
      <c r="E64" t="s">
        <v>75</v>
      </c>
      <c r="F64" t="s"/>
      <c r="G64" t="s"/>
      <c r="H64" t="s"/>
      <c r="I64" t="s"/>
      <c r="J64" t="n">
        <v>-0.3612</v>
      </c>
      <c r="K64" t="n">
        <v>0.122</v>
      </c>
      <c r="L64" t="n">
        <v>0.878</v>
      </c>
      <c r="M64" t="n">
        <v>0</v>
      </c>
    </row>
    <row r="65" spans="1:13">
      <c r="A65" s="1">
        <f>HYPERLINK("http://www.twitter.com/NathanBLawrence/status/1001169087039508480", "1001169087039508480")</f>
        <v/>
      </c>
      <c r="B65" s="2" t="n">
        <v>43248.77181712963</v>
      </c>
      <c r="C65" t="n">
        <v>0</v>
      </c>
      <c r="D65" t="n">
        <v>4</v>
      </c>
      <c r="E65" t="s">
        <v>76</v>
      </c>
      <c r="F65">
        <f>HYPERLINK("http://pbs.twimg.com/media/DeS-y4EU0AAUIm4.jpg", "http://pbs.twimg.com/media/DeS-y4EU0AAUIm4.jpg")</f>
        <v/>
      </c>
      <c r="G65" t="s"/>
      <c r="H65" t="s"/>
      <c r="I65" t="s"/>
      <c r="J65" t="n">
        <v>-0.3182</v>
      </c>
      <c r="K65" t="n">
        <v>0.103</v>
      </c>
      <c r="L65" t="n">
        <v>0.897</v>
      </c>
      <c r="M65" t="n">
        <v>0</v>
      </c>
    </row>
    <row r="66" spans="1:13">
      <c r="A66" s="1">
        <f>HYPERLINK("http://www.twitter.com/NathanBLawrence/status/1001168982282571776", "1001168982282571776")</f>
        <v/>
      </c>
      <c r="B66" s="2" t="n">
        <v>43248.77152777778</v>
      </c>
      <c r="C66" t="n">
        <v>0</v>
      </c>
      <c r="D66" t="n">
        <v>7</v>
      </c>
      <c r="E66" t="s">
        <v>77</v>
      </c>
      <c r="F66">
        <f>HYPERLINK("http://pbs.twimg.com/media/DeS5pczV4AAFQGI.jpg", "http://pbs.twimg.com/media/DeS5pczV4AAFQGI.jpg")</f>
        <v/>
      </c>
      <c r="G66" t="s"/>
      <c r="H66" t="s"/>
      <c r="I66" t="s"/>
      <c r="J66" t="n">
        <v>0</v>
      </c>
      <c r="K66" t="n">
        <v>0</v>
      </c>
      <c r="L66" t="n">
        <v>1</v>
      </c>
      <c r="M66" t="n">
        <v>0</v>
      </c>
    </row>
    <row r="67" spans="1:13">
      <c r="A67" s="1">
        <f>HYPERLINK("http://www.twitter.com/NathanBLawrence/status/1001168952981147650", "1001168952981147650")</f>
        <v/>
      </c>
      <c r="B67" s="2" t="n">
        <v>43248.77144675926</v>
      </c>
      <c r="C67" t="n">
        <v>0</v>
      </c>
      <c r="D67" t="n">
        <v>9</v>
      </c>
      <c r="E67" t="s">
        <v>78</v>
      </c>
      <c r="F67">
        <f>HYPERLINK("http://pbs.twimg.com/media/DeCrWyTW0AM0bT4.jpg", "http://pbs.twimg.com/media/DeCrWyTW0AM0bT4.jpg")</f>
        <v/>
      </c>
      <c r="G67" t="s"/>
      <c r="H67" t="s"/>
      <c r="I67" t="s"/>
      <c r="J67" t="n">
        <v>-0.7845</v>
      </c>
      <c r="K67" t="n">
        <v>0.331</v>
      </c>
      <c r="L67" t="n">
        <v>0.669</v>
      </c>
      <c r="M67" t="n">
        <v>0</v>
      </c>
    </row>
    <row r="68" spans="1:13">
      <c r="A68" s="1">
        <f>HYPERLINK("http://www.twitter.com/NathanBLawrence/status/1001168918583627776", "1001168918583627776")</f>
        <v/>
      </c>
      <c r="B68" s="2" t="n">
        <v>43248.77135416667</v>
      </c>
      <c r="C68" t="n">
        <v>0</v>
      </c>
      <c r="D68" t="n">
        <v>2</v>
      </c>
      <c r="E68" t="s">
        <v>79</v>
      </c>
      <c r="F68">
        <f>HYPERLINK("http://pbs.twimg.com/media/DeSujmeX4AAzzTI.jpg", "http://pbs.twimg.com/media/DeSujmeX4AAzzTI.jpg")</f>
        <v/>
      </c>
      <c r="G68" t="s"/>
      <c r="H68" t="s"/>
      <c r="I68" t="s"/>
      <c r="J68" t="n">
        <v>0.8858</v>
      </c>
      <c r="K68" t="n">
        <v>0</v>
      </c>
      <c r="L68" t="n">
        <v>0.634</v>
      </c>
      <c r="M68" t="n">
        <v>0.366</v>
      </c>
    </row>
    <row r="69" spans="1:13">
      <c r="A69" s="1">
        <f>HYPERLINK("http://www.twitter.com/NathanBLawrence/status/1001164973375148032", "1001164973375148032")</f>
        <v/>
      </c>
      <c r="B69" s="2" t="n">
        <v>43248.76047453703</v>
      </c>
      <c r="C69" t="n">
        <v>0</v>
      </c>
      <c r="D69" t="n">
        <v>7</v>
      </c>
      <c r="E69" t="s">
        <v>80</v>
      </c>
      <c r="F69" t="s"/>
      <c r="G69" t="s"/>
      <c r="H69" t="s"/>
      <c r="I69" t="s"/>
      <c r="J69" t="n">
        <v>0.3612</v>
      </c>
      <c r="K69" t="n">
        <v>0</v>
      </c>
      <c r="L69" t="n">
        <v>0.902</v>
      </c>
      <c r="M69" t="n">
        <v>0.098</v>
      </c>
    </row>
    <row r="70" spans="1:13">
      <c r="A70" s="1">
        <f>HYPERLINK("http://www.twitter.com/NathanBLawrence/status/1001060954203967488", "1001060954203967488")</f>
        <v/>
      </c>
      <c r="B70" s="2" t="n">
        <v>43248.47342592593</v>
      </c>
      <c r="C70" t="n">
        <v>4</v>
      </c>
      <c r="D70" t="n">
        <v>1</v>
      </c>
      <c r="E70" t="s">
        <v>81</v>
      </c>
      <c r="F70" t="s"/>
      <c r="G70" t="s"/>
      <c r="H70" t="s"/>
      <c r="I70" t="s"/>
      <c r="J70" t="n">
        <v>-0.0772</v>
      </c>
      <c r="K70" t="n">
        <v>0.058</v>
      </c>
      <c r="L70" t="n">
        <v>0.9419999999999999</v>
      </c>
      <c r="M70" t="n">
        <v>0</v>
      </c>
    </row>
    <row r="71" spans="1:13">
      <c r="A71" s="1">
        <f>HYPERLINK("http://www.twitter.com/NathanBLawrence/status/1001060304351096833", "1001060304351096833")</f>
        <v/>
      </c>
      <c r="B71" s="2" t="n">
        <v>43248.47164351852</v>
      </c>
      <c r="C71" t="n">
        <v>0</v>
      </c>
      <c r="D71" t="n">
        <v>4527</v>
      </c>
      <c r="E71" t="s">
        <v>82</v>
      </c>
      <c r="F71" t="s"/>
      <c r="G71" t="s"/>
      <c r="H71" t="s"/>
      <c r="I71" t="s"/>
      <c r="J71" t="n">
        <v>0.1531</v>
      </c>
      <c r="K71" t="n">
        <v>0.06900000000000001</v>
      </c>
      <c r="L71" t="n">
        <v>0.833</v>
      </c>
      <c r="M71" t="n">
        <v>0.097</v>
      </c>
    </row>
    <row r="72" spans="1:13">
      <c r="A72" s="1">
        <f>HYPERLINK("http://www.twitter.com/NathanBLawrence/status/1001060273896280071", "1001060273896280071")</f>
        <v/>
      </c>
      <c r="B72" s="2" t="n">
        <v>43248.47155092593</v>
      </c>
      <c r="C72" t="n">
        <v>0</v>
      </c>
      <c r="D72" t="n">
        <v>1166</v>
      </c>
      <c r="E72" t="s">
        <v>83</v>
      </c>
      <c r="F72" t="s"/>
      <c r="G72" t="s"/>
      <c r="H72" t="s"/>
      <c r="I72" t="s"/>
      <c r="J72" t="n">
        <v>-0.8807</v>
      </c>
      <c r="K72" t="n">
        <v>0.528</v>
      </c>
      <c r="L72" t="n">
        <v>0.472</v>
      </c>
      <c r="M72" t="n">
        <v>0</v>
      </c>
    </row>
    <row r="73" spans="1:13">
      <c r="A73" s="1">
        <f>HYPERLINK("http://www.twitter.com/NathanBLawrence/status/1001059859071201280", "1001059859071201280")</f>
        <v/>
      </c>
      <c r="B73" s="2" t="n">
        <v>43248.47040509259</v>
      </c>
      <c r="C73" t="n">
        <v>0</v>
      </c>
      <c r="D73" t="n">
        <v>6845</v>
      </c>
      <c r="E73" t="s">
        <v>84</v>
      </c>
      <c r="F73" t="s"/>
      <c r="G73" t="s"/>
      <c r="H73" t="s"/>
      <c r="I73" t="s"/>
      <c r="J73" t="n">
        <v>-0.5266999999999999</v>
      </c>
      <c r="K73" t="n">
        <v>0.139</v>
      </c>
      <c r="L73" t="n">
        <v>0.861</v>
      </c>
      <c r="M73" t="n">
        <v>0</v>
      </c>
    </row>
    <row r="74" spans="1:13">
      <c r="A74" s="1">
        <f>HYPERLINK("http://www.twitter.com/NathanBLawrence/status/1001059841539039232", "1001059841539039232")</f>
        <v/>
      </c>
      <c r="B74" s="2" t="n">
        <v>43248.47035879629</v>
      </c>
      <c r="C74" t="n">
        <v>0</v>
      </c>
      <c r="D74" t="n">
        <v>4652</v>
      </c>
      <c r="E74" t="s">
        <v>85</v>
      </c>
      <c r="F74" t="s"/>
      <c r="G74" t="s"/>
      <c r="H74" t="s"/>
      <c r="I74" t="s"/>
      <c r="J74" t="n">
        <v>-0.7717000000000001</v>
      </c>
      <c r="K74" t="n">
        <v>0.282</v>
      </c>
      <c r="L74" t="n">
        <v>0.623</v>
      </c>
      <c r="M74" t="n">
        <v>0.095</v>
      </c>
    </row>
    <row r="75" spans="1:13">
      <c r="A75" s="1">
        <f>HYPERLINK("http://www.twitter.com/NathanBLawrence/status/1001059788091023360", "1001059788091023360")</f>
        <v/>
      </c>
      <c r="B75" s="2" t="n">
        <v>43248.47020833333</v>
      </c>
      <c r="C75" t="n">
        <v>0</v>
      </c>
      <c r="D75" t="n">
        <v>5433</v>
      </c>
      <c r="E75" t="s">
        <v>86</v>
      </c>
      <c r="F75" t="s"/>
      <c r="G75" t="s"/>
      <c r="H75" t="s"/>
      <c r="I75" t="s"/>
      <c r="J75" t="n">
        <v>0</v>
      </c>
      <c r="K75" t="n">
        <v>0</v>
      </c>
      <c r="L75" t="n">
        <v>1</v>
      </c>
      <c r="M75" t="n">
        <v>0</v>
      </c>
    </row>
    <row r="76" spans="1:13">
      <c r="A76" s="1">
        <f>HYPERLINK("http://www.twitter.com/NathanBLawrence/status/1001059767043977217", "1001059767043977217")</f>
        <v/>
      </c>
      <c r="B76" s="2" t="n">
        <v>43248.47015046296</v>
      </c>
      <c r="C76" t="n">
        <v>0</v>
      </c>
      <c r="D76" t="n">
        <v>17647</v>
      </c>
      <c r="E76" t="s">
        <v>87</v>
      </c>
      <c r="F76">
        <f>HYPERLINK("https://video.twimg.com/ext_tw_video/1001013238920724480/pu/vid/638x360/KnZ0yufiVc-a60bE.mp4?tag=3", "https://video.twimg.com/ext_tw_video/1001013238920724480/pu/vid/638x360/KnZ0yufiVc-a60bE.mp4?tag=3")</f>
        <v/>
      </c>
      <c r="G76" t="s"/>
      <c r="H76" t="s"/>
      <c r="I76" t="s"/>
      <c r="J76" t="n">
        <v>-0.6996</v>
      </c>
      <c r="K76" t="n">
        <v>0.179</v>
      </c>
      <c r="L76" t="n">
        <v>0.821</v>
      </c>
      <c r="M76" t="n">
        <v>0</v>
      </c>
    </row>
    <row r="77" spans="1:13">
      <c r="A77" s="1">
        <f>HYPERLINK("http://www.twitter.com/NathanBLawrence/status/1001059721925849088", "1001059721925849088")</f>
        <v/>
      </c>
      <c r="B77" s="2" t="n">
        <v>43248.47003472222</v>
      </c>
      <c r="C77" t="n">
        <v>0</v>
      </c>
      <c r="D77" t="n">
        <v>1099</v>
      </c>
      <c r="E77" t="s">
        <v>88</v>
      </c>
      <c r="F77" t="s"/>
      <c r="G77" t="s"/>
      <c r="H77" t="s"/>
      <c r="I77" t="s"/>
      <c r="J77" t="n">
        <v>0.5983000000000001</v>
      </c>
      <c r="K77" t="n">
        <v>0.186</v>
      </c>
      <c r="L77" t="n">
        <v>0.481</v>
      </c>
      <c r="M77" t="n">
        <v>0.333</v>
      </c>
    </row>
    <row r="78" spans="1:13">
      <c r="A78" s="1">
        <f>HYPERLINK("http://www.twitter.com/NathanBLawrence/status/1001003930707480576", "1001003930707480576")</f>
        <v/>
      </c>
      <c r="B78" s="2" t="n">
        <v>43248.31607638889</v>
      </c>
      <c r="C78" t="n">
        <v>0</v>
      </c>
      <c r="D78" t="n">
        <v>14</v>
      </c>
      <c r="E78" t="s">
        <v>89</v>
      </c>
      <c r="F78" t="s"/>
      <c r="G78" t="s"/>
      <c r="H78" t="s"/>
      <c r="I78" t="s"/>
      <c r="J78" t="n">
        <v>-0.128</v>
      </c>
      <c r="K78" t="n">
        <v>0.091</v>
      </c>
      <c r="L78" t="n">
        <v>0.801</v>
      </c>
      <c r="M78" t="n">
        <v>0.108</v>
      </c>
    </row>
    <row r="79" spans="1:13">
      <c r="A79" s="1">
        <f>HYPERLINK("http://www.twitter.com/NathanBLawrence/status/1001003916987944960", "1001003916987944960")</f>
        <v/>
      </c>
      <c r="B79" s="2" t="n">
        <v>43248.31604166667</v>
      </c>
      <c r="C79" t="n">
        <v>0</v>
      </c>
      <c r="D79" t="n">
        <v>12</v>
      </c>
      <c r="E79" t="s">
        <v>90</v>
      </c>
      <c r="F79">
        <f>HYPERLINK("http://pbs.twimg.com/media/DeQoWpOW0AAQWHj.jpg", "http://pbs.twimg.com/media/DeQoWpOW0AAQWHj.jpg")</f>
        <v/>
      </c>
      <c r="G79" t="s"/>
      <c r="H79" t="s"/>
      <c r="I79" t="s"/>
      <c r="J79" t="n">
        <v>0</v>
      </c>
      <c r="K79" t="n">
        <v>0</v>
      </c>
      <c r="L79" t="n">
        <v>1</v>
      </c>
      <c r="M79" t="n">
        <v>0</v>
      </c>
    </row>
    <row r="80" spans="1:13">
      <c r="A80" s="1">
        <f>HYPERLINK("http://www.twitter.com/NathanBLawrence/status/1001003903033454592", "1001003903033454592")</f>
        <v/>
      </c>
      <c r="B80" s="2" t="n">
        <v>43248.31599537037</v>
      </c>
      <c r="C80" t="n">
        <v>0</v>
      </c>
      <c r="D80" t="n">
        <v>15</v>
      </c>
      <c r="E80" t="s">
        <v>91</v>
      </c>
      <c r="F80">
        <f>HYPERLINK("https://video.twimg.com/ext_tw_video/1000905918421364736/pu/vid/1280x720/YbiZHUF3sKeEdiiz.mp4?tag=3", "https://video.twimg.com/ext_tw_video/1000905918421364736/pu/vid/1280x720/YbiZHUF3sKeEdiiz.mp4?tag=3")</f>
        <v/>
      </c>
      <c r="G80" t="s"/>
      <c r="H80" t="s"/>
      <c r="I80" t="s"/>
      <c r="J80" t="n">
        <v>0</v>
      </c>
      <c r="K80" t="n">
        <v>0</v>
      </c>
      <c r="L80" t="n">
        <v>1</v>
      </c>
      <c r="M80" t="n">
        <v>0</v>
      </c>
    </row>
    <row r="81" spans="1:13">
      <c r="A81" s="1">
        <f>HYPERLINK("http://www.twitter.com/NathanBLawrence/status/1001003862613020672", "1001003862613020672")</f>
        <v/>
      </c>
      <c r="B81" s="2" t="n">
        <v>43248.3158912037</v>
      </c>
      <c r="C81" t="n">
        <v>0</v>
      </c>
      <c r="D81" t="n">
        <v>13</v>
      </c>
      <c r="E81" t="s">
        <v>92</v>
      </c>
      <c r="F81" t="s"/>
      <c r="G81" t="s"/>
      <c r="H81" t="s"/>
      <c r="I81" t="s"/>
      <c r="J81" t="n">
        <v>0.3987</v>
      </c>
      <c r="K81" t="n">
        <v>0.089</v>
      </c>
      <c r="L81" t="n">
        <v>0.755</v>
      </c>
      <c r="M81" t="n">
        <v>0.156</v>
      </c>
    </row>
    <row r="82" spans="1:13">
      <c r="A82" s="1">
        <f>HYPERLINK("http://www.twitter.com/NathanBLawrence/status/1001003843856031745", "1001003843856031745")</f>
        <v/>
      </c>
      <c r="B82" s="2" t="n">
        <v>43248.31583333333</v>
      </c>
      <c r="C82" t="n">
        <v>0</v>
      </c>
      <c r="D82" t="n">
        <v>9</v>
      </c>
      <c r="E82" t="s">
        <v>93</v>
      </c>
      <c r="F82" t="s"/>
      <c r="G82" t="s"/>
      <c r="H82" t="s"/>
      <c r="I82" t="s"/>
      <c r="J82" t="n">
        <v>0</v>
      </c>
      <c r="K82" t="n">
        <v>0</v>
      </c>
      <c r="L82" t="n">
        <v>1</v>
      </c>
      <c r="M82" t="n">
        <v>0</v>
      </c>
    </row>
    <row r="83" spans="1:13">
      <c r="A83" s="1">
        <f>HYPERLINK("http://www.twitter.com/NathanBLawrence/status/1001003829310222336", "1001003829310222336")</f>
        <v/>
      </c>
      <c r="B83" s="2" t="n">
        <v>43248.31579861111</v>
      </c>
      <c r="C83" t="n">
        <v>0</v>
      </c>
      <c r="D83" t="n">
        <v>21</v>
      </c>
      <c r="E83" t="s">
        <v>94</v>
      </c>
      <c r="F83" t="s"/>
      <c r="G83" t="s"/>
      <c r="H83" t="s"/>
      <c r="I83" t="s"/>
      <c r="J83" t="n">
        <v>0.5348000000000001</v>
      </c>
      <c r="K83" t="n">
        <v>0.093</v>
      </c>
      <c r="L83" t="n">
        <v>0.669</v>
      </c>
      <c r="M83" t="n">
        <v>0.238</v>
      </c>
    </row>
    <row r="84" spans="1:13">
      <c r="A84" s="1">
        <f>HYPERLINK("http://www.twitter.com/NathanBLawrence/status/1001003759454031872", "1001003759454031872")</f>
        <v/>
      </c>
      <c r="B84" s="2" t="n">
        <v>43248.31560185185</v>
      </c>
      <c r="C84" t="n">
        <v>0</v>
      </c>
      <c r="D84" t="n">
        <v>9</v>
      </c>
      <c r="E84" t="s">
        <v>95</v>
      </c>
      <c r="F84">
        <f>HYPERLINK("http://pbs.twimg.com/media/DeErdx-V4AAzHzg.jpg", "http://pbs.twimg.com/media/DeErdx-V4AAzHzg.jpg")</f>
        <v/>
      </c>
      <c r="G84" t="s"/>
      <c r="H84" t="s"/>
      <c r="I84" t="s"/>
      <c r="J84" t="n">
        <v>0.4215</v>
      </c>
      <c r="K84" t="n">
        <v>0.075</v>
      </c>
      <c r="L84" t="n">
        <v>0.784</v>
      </c>
      <c r="M84" t="n">
        <v>0.142</v>
      </c>
    </row>
    <row r="85" spans="1:13">
      <c r="A85" s="1">
        <f>HYPERLINK("http://www.twitter.com/NathanBLawrence/status/1001003623256612864", "1001003623256612864")</f>
        <v/>
      </c>
      <c r="B85" s="2" t="n">
        <v>43248.31523148148</v>
      </c>
      <c r="C85" t="n">
        <v>0</v>
      </c>
      <c r="D85" t="n">
        <v>23</v>
      </c>
      <c r="E85" t="s">
        <v>96</v>
      </c>
      <c r="F85">
        <f>HYPERLINK("http://pbs.twimg.com/media/DeEMRGCXkAEHhjB.jpg", "http://pbs.twimg.com/media/DeEMRGCXkAEHhjB.jpg")</f>
        <v/>
      </c>
      <c r="G85" t="s"/>
      <c r="H85" t="s"/>
      <c r="I85" t="s"/>
      <c r="J85" t="n">
        <v>-0.3832</v>
      </c>
      <c r="K85" t="n">
        <v>0.153</v>
      </c>
      <c r="L85" t="n">
        <v>0.847</v>
      </c>
      <c r="M85" t="n">
        <v>0</v>
      </c>
    </row>
    <row r="86" spans="1:13">
      <c r="A86" s="1">
        <f>HYPERLINK("http://www.twitter.com/NathanBLawrence/status/1001003536719777792", "1001003536719777792")</f>
        <v/>
      </c>
      <c r="B86" s="2" t="n">
        <v>43248.31498842593</v>
      </c>
      <c r="C86" t="n">
        <v>0</v>
      </c>
      <c r="D86" t="n">
        <v>227</v>
      </c>
      <c r="E86" t="s">
        <v>97</v>
      </c>
      <c r="F86">
        <f>HYPERLINK("https://video.twimg.com/ext_tw_video/1000323162939129856/pu/vid/720x720/b1NAakUDAjDHBjRz.mp4?tag=3", "https://video.twimg.com/ext_tw_video/1000323162939129856/pu/vid/720x720/b1NAakUDAjDHBjRz.mp4?tag=3")</f>
        <v/>
      </c>
      <c r="G86" t="s"/>
      <c r="H86" t="s"/>
      <c r="I86" t="s"/>
      <c r="J86" t="n">
        <v>-0.1027</v>
      </c>
      <c r="K86" t="n">
        <v>0.06</v>
      </c>
      <c r="L86" t="n">
        <v>0.9399999999999999</v>
      </c>
      <c r="M86" t="n">
        <v>0</v>
      </c>
    </row>
    <row r="87" spans="1:13">
      <c r="A87" s="1">
        <f>HYPERLINK("http://www.twitter.com/NathanBLawrence/status/1001003410253021184", "1001003410253021184")</f>
        <v/>
      </c>
      <c r="B87" s="2" t="n">
        <v>43248.3146412037</v>
      </c>
      <c r="C87" t="n">
        <v>0</v>
      </c>
      <c r="D87" t="n">
        <v>4</v>
      </c>
      <c r="E87" t="s">
        <v>98</v>
      </c>
      <c r="F87">
        <f>HYPERLINK("http://pbs.twimg.com/media/DeHzO9hWsAAwEO_.jpg", "http://pbs.twimg.com/media/DeHzO9hWsAAwEO_.jpg")</f>
        <v/>
      </c>
      <c r="G87" t="s"/>
      <c r="H87" t="s"/>
      <c r="I87" t="s"/>
      <c r="J87" t="n">
        <v>-0.2732</v>
      </c>
      <c r="K87" t="n">
        <v>0.095</v>
      </c>
      <c r="L87" t="n">
        <v>0.905</v>
      </c>
      <c r="M87" t="n">
        <v>0</v>
      </c>
    </row>
    <row r="88" spans="1:13">
      <c r="A88" s="1">
        <f>HYPERLINK("http://www.twitter.com/NathanBLawrence/status/1001003362253508608", "1001003362253508608")</f>
        <v/>
      </c>
      <c r="B88" s="2" t="n">
        <v>43248.31450231482</v>
      </c>
      <c r="C88" t="n">
        <v>0</v>
      </c>
      <c r="D88" t="n">
        <v>190</v>
      </c>
      <c r="E88" t="s">
        <v>99</v>
      </c>
      <c r="F88" t="s"/>
      <c r="G88" t="s"/>
      <c r="H88" t="s"/>
      <c r="I88" t="s"/>
      <c r="J88" t="n">
        <v>-0.6597</v>
      </c>
      <c r="K88" t="n">
        <v>0.286</v>
      </c>
      <c r="L88" t="n">
        <v>0.714</v>
      </c>
      <c r="M88" t="n">
        <v>0</v>
      </c>
    </row>
    <row r="89" spans="1:13">
      <c r="A89" s="1">
        <f>HYPERLINK("http://www.twitter.com/NathanBLawrence/status/1001003337322508288", "1001003337322508288")</f>
        <v/>
      </c>
      <c r="B89" s="2" t="n">
        <v>43248.31444444445</v>
      </c>
      <c r="C89" t="n">
        <v>0</v>
      </c>
      <c r="D89" t="n">
        <v>2</v>
      </c>
      <c r="E89" t="s">
        <v>100</v>
      </c>
      <c r="F89" t="s"/>
      <c r="G89" t="s"/>
      <c r="H89" t="s"/>
      <c r="I89" t="s"/>
      <c r="J89" t="n">
        <v>0.4648</v>
      </c>
      <c r="K89" t="n">
        <v>0</v>
      </c>
      <c r="L89" t="n">
        <v>0.856</v>
      </c>
      <c r="M89" t="n">
        <v>0.144</v>
      </c>
    </row>
    <row r="90" spans="1:13">
      <c r="A90" s="1">
        <f>HYPERLINK("http://www.twitter.com/NathanBLawrence/status/1001003271597776896", "1001003271597776896")</f>
        <v/>
      </c>
      <c r="B90" s="2" t="n">
        <v>43248.31425925926</v>
      </c>
      <c r="C90" t="n">
        <v>0</v>
      </c>
      <c r="D90" t="n">
        <v>18</v>
      </c>
      <c r="E90" t="s">
        <v>101</v>
      </c>
      <c r="F90">
        <f>HYPERLINK("http://pbs.twimg.com/media/DeI_54qUQAAxXGE.jpg", "http://pbs.twimg.com/media/DeI_54qUQAAxXGE.jpg")</f>
        <v/>
      </c>
      <c r="G90" t="s"/>
      <c r="H90" t="s"/>
      <c r="I90" t="s"/>
      <c r="J90" t="n">
        <v>0.4199</v>
      </c>
      <c r="K90" t="n">
        <v>0</v>
      </c>
      <c r="L90" t="n">
        <v>0.843</v>
      </c>
      <c r="M90" t="n">
        <v>0.157</v>
      </c>
    </row>
    <row r="91" spans="1:13">
      <c r="A91" s="1">
        <f>HYPERLINK("http://www.twitter.com/NathanBLawrence/status/1001003102378647552", "1001003102378647552")</f>
        <v/>
      </c>
      <c r="B91" s="2" t="n">
        <v>43248.31379629629</v>
      </c>
      <c r="C91" t="n">
        <v>0</v>
      </c>
      <c r="D91" t="n">
        <v>6448</v>
      </c>
      <c r="E91" t="s">
        <v>102</v>
      </c>
      <c r="F91" t="s"/>
      <c r="G91" t="s"/>
      <c r="H91" t="s"/>
      <c r="I91" t="s"/>
      <c r="J91" t="n">
        <v>0</v>
      </c>
      <c r="K91" t="n">
        <v>0</v>
      </c>
      <c r="L91" t="n">
        <v>1</v>
      </c>
      <c r="M91" t="n">
        <v>0</v>
      </c>
    </row>
    <row r="92" spans="1:13">
      <c r="A92" s="1">
        <f>HYPERLINK("http://www.twitter.com/NathanBLawrence/status/1001002868680396800", "1001002868680396800")</f>
        <v/>
      </c>
      <c r="B92" s="2" t="n">
        <v>43248.31314814815</v>
      </c>
      <c r="C92" t="n">
        <v>0</v>
      </c>
      <c r="D92" t="n">
        <v>32</v>
      </c>
      <c r="E92" t="s">
        <v>103</v>
      </c>
      <c r="F92" t="s"/>
      <c r="G92" t="s"/>
      <c r="H92" t="s"/>
      <c r="I92" t="s"/>
      <c r="J92" t="n">
        <v>0.7695</v>
      </c>
      <c r="K92" t="n">
        <v>0</v>
      </c>
      <c r="L92" t="n">
        <v>0.643</v>
      </c>
      <c r="M92" t="n">
        <v>0.357</v>
      </c>
    </row>
    <row r="93" spans="1:13">
      <c r="A93" s="1">
        <f>HYPERLINK("http://www.twitter.com/NathanBLawrence/status/1000948480754544645", "1000948480754544645")</f>
        <v/>
      </c>
      <c r="B93" s="2" t="n">
        <v>43248.16306712963</v>
      </c>
      <c r="C93" t="n">
        <v>0</v>
      </c>
      <c r="D93" t="n">
        <v>4</v>
      </c>
      <c r="E93" t="s">
        <v>104</v>
      </c>
      <c r="F93" t="s"/>
      <c r="G93" t="s"/>
      <c r="H93" t="s"/>
      <c r="I93" t="s"/>
      <c r="J93" t="n">
        <v>0</v>
      </c>
      <c r="K93" t="n">
        <v>0</v>
      </c>
      <c r="L93" t="n">
        <v>1</v>
      </c>
      <c r="M93" t="n">
        <v>0</v>
      </c>
    </row>
    <row r="94" spans="1:13">
      <c r="A94" s="1">
        <f>HYPERLINK("http://www.twitter.com/NathanBLawrence/status/1000920598229471232", "1000920598229471232")</f>
        <v/>
      </c>
      <c r="B94" s="2" t="n">
        <v>43248.08612268518</v>
      </c>
      <c r="C94" t="n">
        <v>6</v>
      </c>
      <c r="D94" t="n">
        <v>4</v>
      </c>
      <c r="E94" t="s">
        <v>105</v>
      </c>
      <c r="F94" t="s"/>
      <c r="G94" t="s"/>
      <c r="H94" t="s"/>
      <c r="I94" t="s"/>
      <c r="J94" t="n">
        <v>0.0516</v>
      </c>
      <c r="K94" t="n">
        <v>0.079</v>
      </c>
      <c r="L94" t="n">
        <v>0.8139999999999999</v>
      </c>
      <c r="M94" t="n">
        <v>0.106</v>
      </c>
    </row>
    <row r="95" spans="1:13">
      <c r="A95" s="1">
        <f>HYPERLINK("http://www.twitter.com/NathanBLawrence/status/1000920014193557504", "1000920014193557504")</f>
        <v/>
      </c>
      <c r="B95" s="2" t="n">
        <v>43248.08451388889</v>
      </c>
      <c r="C95" t="n">
        <v>9</v>
      </c>
      <c r="D95" t="n">
        <v>7</v>
      </c>
      <c r="E95" t="s">
        <v>106</v>
      </c>
      <c r="F95" t="s"/>
      <c r="G95" t="s"/>
      <c r="H95" t="s"/>
      <c r="I95" t="s"/>
      <c r="J95" t="n">
        <v>-0.0258</v>
      </c>
      <c r="K95" t="n">
        <v>0.052</v>
      </c>
      <c r="L95" t="n">
        <v>0.898</v>
      </c>
      <c r="M95" t="n">
        <v>0.05</v>
      </c>
    </row>
    <row r="96" spans="1:13">
      <c r="A96" s="1">
        <f>HYPERLINK("http://www.twitter.com/NathanBLawrence/status/1000912336616656897", "1000912336616656897")</f>
        <v/>
      </c>
      <c r="B96" s="2" t="n">
        <v>43248.06332175926</v>
      </c>
      <c r="C96" t="n">
        <v>0</v>
      </c>
      <c r="D96" t="n">
        <v>904</v>
      </c>
      <c r="E96" t="s">
        <v>107</v>
      </c>
      <c r="F96">
        <f>HYPERLINK("http://pbs.twimg.com/media/DeGAsqZWsAASRsq.jpg", "http://pbs.twimg.com/media/DeGAsqZWsAASRsq.jpg")</f>
        <v/>
      </c>
      <c r="G96" t="s"/>
      <c r="H96" t="s"/>
      <c r="I96" t="s"/>
      <c r="J96" t="n">
        <v>0.7269</v>
      </c>
      <c r="K96" t="n">
        <v>0</v>
      </c>
      <c r="L96" t="n">
        <v>0.757</v>
      </c>
      <c r="M96" t="n">
        <v>0.243</v>
      </c>
    </row>
    <row r="97" spans="1:13">
      <c r="A97" s="1">
        <f>HYPERLINK("http://www.twitter.com/NathanBLawrence/status/1000912316463026177", "1000912316463026177")</f>
        <v/>
      </c>
      <c r="B97" s="2" t="n">
        <v>43248.06326388889</v>
      </c>
      <c r="C97" t="n">
        <v>0</v>
      </c>
      <c r="D97" t="n">
        <v>4254</v>
      </c>
      <c r="E97" t="s">
        <v>108</v>
      </c>
      <c r="F97" t="s"/>
      <c r="G97" t="s"/>
      <c r="H97" t="s"/>
      <c r="I97" t="s"/>
      <c r="J97" t="n">
        <v>0.6124000000000001</v>
      </c>
      <c r="K97" t="n">
        <v>0</v>
      </c>
      <c r="L97" t="n">
        <v>0.75</v>
      </c>
      <c r="M97" t="n">
        <v>0.25</v>
      </c>
    </row>
    <row r="98" spans="1:13">
      <c r="A98" s="1">
        <f>HYPERLINK("http://www.twitter.com/NathanBLawrence/status/1000911332001157121", "1000911332001157121")</f>
        <v/>
      </c>
      <c r="B98" s="2" t="n">
        <v>43248.06055555555</v>
      </c>
      <c r="C98" t="n">
        <v>0</v>
      </c>
      <c r="D98" t="n">
        <v>7817</v>
      </c>
      <c r="E98" t="s">
        <v>109</v>
      </c>
      <c r="F98" t="s"/>
      <c r="G98" t="s"/>
      <c r="H98" t="s"/>
      <c r="I98" t="s"/>
      <c r="J98" t="n">
        <v>-0.25</v>
      </c>
      <c r="K98" t="n">
        <v>0.08</v>
      </c>
      <c r="L98" t="n">
        <v>0.92</v>
      </c>
      <c r="M98" t="n">
        <v>0</v>
      </c>
    </row>
    <row r="99" spans="1:13">
      <c r="A99" s="1">
        <f>HYPERLINK("http://www.twitter.com/NathanBLawrence/status/1000911317815963649", "1000911317815963649")</f>
        <v/>
      </c>
      <c r="B99" s="2" t="n">
        <v>43248.06050925926</v>
      </c>
      <c r="C99" t="n">
        <v>0</v>
      </c>
      <c r="D99" t="n">
        <v>13</v>
      </c>
      <c r="E99" t="s">
        <v>110</v>
      </c>
      <c r="F99" t="s"/>
      <c r="G99" t="s"/>
      <c r="H99" t="s"/>
      <c r="I99" t="s"/>
      <c r="J99" t="n">
        <v>0.6142</v>
      </c>
      <c r="K99" t="n">
        <v>0.098</v>
      </c>
      <c r="L99" t="n">
        <v>0.62</v>
      </c>
      <c r="M99" t="n">
        <v>0.281</v>
      </c>
    </row>
    <row r="100" spans="1:13">
      <c r="A100" s="1">
        <f>HYPERLINK("http://www.twitter.com/NathanBLawrence/status/1000911291786121216", "1000911291786121216")</f>
        <v/>
      </c>
      <c r="B100" s="2" t="n">
        <v>43248.06043981481</v>
      </c>
      <c r="C100" t="n">
        <v>0</v>
      </c>
      <c r="D100" t="n">
        <v>23</v>
      </c>
      <c r="E100" t="s">
        <v>111</v>
      </c>
      <c r="F100">
        <f>HYPERLINK("http://pbs.twimg.com/media/DeO6qIZV4AEviz7.jpg", "http://pbs.twimg.com/media/DeO6qIZV4AEviz7.jpg")</f>
        <v/>
      </c>
      <c r="G100" t="s"/>
      <c r="H100" t="s"/>
      <c r="I100" t="s"/>
      <c r="J100" t="n">
        <v>-0.6114000000000001</v>
      </c>
      <c r="K100" t="n">
        <v>0.148</v>
      </c>
      <c r="L100" t="n">
        <v>0.852</v>
      </c>
      <c r="M100" t="n">
        <v>0</v>
      </c>
    </row>
    <row r="101" spans="1:13">
      <c r="A101" s="1">
        <f>HYPERLINK("http://www.twitter.com/NathanBLawrence/status/1000911272790102017", "1000911272790102017")</f>
        <v/>
      </c>
      <c r="B101" s="2" t="n">
        <v>43248.06039351852</v>
      </c>
      <c r="C101" t="n">
        <v>0</v>
      </c>
      <c r="D101" t="n">
        <v>16</v>
      </c>
      <c r="E101" t="s">
        <v>112</v>
      </c>
      <c r="F101">
        <f>HYPERLINK("http://pbs.twimg.com/media/DeLuvVBVwAAv5I0.jpg", "http://pbs.twimg.com/media/DeLuvVBVwAAv5I0.jpg")</f>
        <v/>
      </c>
      <c r="G101" t="s"/>
      <c r="H101" t="s"/>
      <c r="I101" t="s"/>
      <c r="J101" t="n">
        <v>-0.323</v>
      </c>
      <c r="K101" t="n">
        <v>0.206</v>
      </c>
      <c r="L101" t="n">
        <v>0.706</v>
      </c>
      <c r="M101" t="n">
        <v>0.08799999999999999</v>
      </c>
    </row>
    <row r="102" spans="1:13">
      <c r="A102" s="1">
        <f>HYPERLINK("http://www.twitter.com/NathanBLawrence/status/1000911256340049920", "1000911256340049920")</f>
        <v/>
      </c>
      <c r="B102" s="2" t="n">
        <v>43248.06034722222</v>
      </c>
      <c r="C102" t="n">
        <v>0</v>
      </c>
      <c r="D102" t="n">
        <v>34</v>
      </c>
      <c r="E102" t="s">
        <v>113</v>
      </c>
      <c r="F102">
        <f>HYPERLINK("http://pbs.twimg.com/media/Ddvt5QwV4AALMXz.jpg", "http://pbs.twimg.com/media/Ddvt5QwV4AALMXz.jpg")</f>
        <v/>
      </c>
      <c r="G102" t="s"/>
      <c r="H102" t="s"/>
      <c r="I102" t="s"/>
      <c r="J102" t="n">
        <v>0.8588</v>
      </c>
      <c r="K102" t="n">
        <v>0</v>
      </c>
      <c r="L102" t="n">
        <v>0.642</v>
      </c>
      <c r="M102" t="n">
        <v>0.358</v>
      </c>
    </row>
    <row r="103" spans="1:13">
      <c r="A103" s="1">
        <f>HYPERLINK("http://www.twitter.com/NathanBLawrence/status/1000911243975282690", "1000911243975282690")</f>
        <v/>
      </c>
      <c r="B103" s="2" t="n">
        <v>43248.0603125</v>
      </c>
      <c r="C103" t="n">
        <v>0</v>
      </c>
      <c r="D103" t="n">
        <v>25</v>
      </c>
      <c r="E103" t="s">
        <v>114</v>
      </c>
      <c r="F103" t="s"/>
      <c r="G103" t="s"/>
      <c r="H103" t="s"/>
      <c r="I103" t="s"/>
      <c r="J103" t="n">
        <v>0</v>
      </c>
      <c r="K103" t="n">
        <v>0</v>
      </c>
      <c r="L103" t="n">
        <v>1</v>
      </c>
      <c r="M103" t="n">
        <v>0</v>
      </c>
    </row>
    <row r="104" spans="1:13">
      <c r="A104" s="1">
        <f>HYPERLINK("http://www.twitter.com/NathanBLawrence/status/1000911231493033984", "1000911231493033984")</f>
        <v/>
      </c>
      <c r="B104" s="2" t="n">
        <v>43248.06027777777</v>
      </c>
      <c r="C104" t="n">
        <v>0</v>
      </c>
      <c r="D104" t="n">
        <v>34</v>
      </c>
      <c r="E104" t="s">
        <v>115</v>
      </c>
      <c r="F104">
        <f>HYPERLINK("http://pbs.twimg.com/media/DdrtPbAVAAAW30O.jpg", "http://pbs.twimg.com/media/DdrtPbAVAAAW30O.jpg")</f>
        <v/>
      </c>
      <c r="G104" t="s"/>
      <c r="H104" t="s"/>
      <c r="I104" t="s"/>
      <c r="J104" t="n">
        <v>0.8481</v>
      </c>
      <c r="K104" t="n">
        <v>0</v>
      </c>
      <c r="L104" t="n">
        <v>0.647</v>
      </c>
      <c r="M104" t="n">
        <v>0.353</v>
      </c>
    </row>
    <row r="105" spans="1:13">
      <c r="A105" s="1">
        <f>HYPERLINK("http://www.twitter.com/NathanBLawrence/status/1000911211280719874", "1000911211280719874")</f>
        <v/>
      </c>
      <c r="B105" s="2" t="n">
        <v>43248.06021990741</v>
      </c>
      <c r="C105" t="n">
        <v>0</v>
      </c>
      <c r="D105" t="n">
        <v>6</v>
      </c>
      <c r="E105" t="s">
        <v>116</v>
      </c>
      <c r="F105" t="s"/>
      <c r="G105" t="s"/>
      <c r="H105" t="s"/>
      <c r="I105" t="s"/>
      <c r="J105" t="n">
        <v>-0.5423</v>
      </c>
      <c r="K105" t="n">
        <v>0.149</v>
      </c>
      <c r="L105" t="n">
        <v>0.851</v>
      </c>
      <c r="M105" t="n">
        <v>0</v>
      </c>
    </row>
    <row r="106" spans="1:13">
      <c r="A106" s="1">
        <f>HYPERLINK("http://www.twitter.com/NathanBLawrence/status/1000911162609938434", "1000911162609938434")</f>
        <v/>
      </c>
      <c r="B106" s="2" t="n">
        <v>43248.06008101852</v>
      </c>
      <c r="C106" t="n">
        <v>0</v>
      </c>
      <c r="D106" t="n">
        <v>3925</v>
      </c>
      <c r="E106" t="s">
        <v>117</v>
      </c>
      <c r="F106" t="s"/>
      <c r="G106" t="s"/>
      <c r="H106" t="s"/>
      <c r="I106" t="s"/>
      <c r="J106" t="n">
        <v>0.5266999999999999</v>
      </c>
      <c r="K106" t="n">
        <v>0</v>
      </c>
      <c r="L106" t="n">
        <v>0.871</v>
      </c>
      <c r="M106" t="n">
        <v>0.129</v>
      </c>
    </row>
    <row r="107" spans="1:13">
      <c r="A107" s="1">
        <f>HYPERLINK("http://www.twitter.com/NathanBLawrence/status/1000911106053955585", "1000911106053955585")</f>
        <v/>
      </c>
      <c r="B107" s="2" t="n">
        <v>43248.05993055556</v>
      </c>
      <c r="C107" t="n">
        <v>0</v>
      </c>
      <c r="D107" t="n">
        <v>19</v>
      </c>
      <c r="E107" t="s">
        <v>118</v>
      </c>
      <c r="F107">
        <f>HYPERLINK("http://pbs.twimg.com/media/DeLGS-6W4AEbMpG.jpg", "http://pbs.twimg.com/media/DeLGS-6W4AEbMpG.jpg")</f>
        <v/>
      </c>
      <c r="G107" t="s"/>
      <c r="H107" t="s"/>
      <c r="I107" t="s"/>
      <c r="J107" t="n">
        <v>-0.6597</v>
      </c>
      <c r="K107" t="n">
        <v>0.302</v>
      </c>
      <c r="L107" t="n">
        <v>0.5659999999999999</v>
      </c>
      <c r="M107" t="n">
        <v>0.132</v>
      </c>
    </row>
    <row r="108" spans="1:13">
      <c r="A108" s="1">
        <f>HYPERLINK("http://www.twitter.com/NathanBLawrence/status/1000902241505742850", "1000902241505742850")</f>
        <v/>
      </c>
      <c r="B108" s="2" t="n">
        <v>43248.03546296297</v>
      </c>
      <c r="C108" t="n">
        <v>0</v>
      </c>
      <c r="D108" t="n">
        <v>518</v>
      </c>
      <c r="E108" t="s">
        <v>119</v>
      </c>
      <c r="F108" t="s"/>
      <c r="G108" t="s"/>
      <c r="H108" t="s"/>
      <c r="I108" t="s"/>
      <c r="J108" t="n">
        <v>0.5562</v>
      </c>
      <c r="K108" t="n">
        <v>0</v>
      </c>
      <c r="L108" t="n">
        <v>0.784</v>
      </c>
      <c r="M108" t="n">
        <v>0.216</v>
      </c>
    </row>
    <row r="109" spans="1:13">
      <c r="A109" s="1">
        <f>HYPERLINK("http://www.twitter.com/NathanBLawrence/status/1000889689644175360", "1000889689644175360")</f>
        <v/>
      </c>
      <c r="B109" s="2" t="n">
        <v>43248.00083333333</v>
      </c>
      <c r="C109" t="n">
        <v>0</v>
      </c>
      <c r="D109" t="n">
        <v>8</v>
      </c>
      <c r="E109" t="s">
        <v>120</v>
      </c>
      <c r="F109" t="s"/>
      <c r="G109" t="s"/>
      <c r="H109" t="s"/>
      <c r="I109" t="s"/>
      <c r="J109" t="n">
        <v>-0.3182</v>
      </c>
      <c r="K109" t="n">
        <v>0.135</v>
      </c>
      <c r="L109" t="n">
        <v>0.786</v>
      </c>
      <c r="M109" t="n">
        <v>0.079</v>
      </c>
    </row>
    <row r="110" spans="1:13">
      <c r="A110" s="1">
        <f>HYPERLINK("http://www.twitter.com/NathanBLawrence/status/1000884281860935681", "1000884281860935681")</f>
        <v/>
      </c>
      <c r="B110" s="2" t="n">
        <v>43247.98590277778</v>
      </c>
      <c r="C110" t="n">
        <v>0</v>
      </c>
      <c r="D110" t="n">
        <v>2959</v>
      </c>
      <c r="E110" t="s">
        <v>121</v>
      </c>
      <c r="F110">
        <f>HYPERLINK("https://video.twimg.com/ext_tw_video/998082429213540352/pu/vid/1280x720/qKVDQwNI-NM3DRTq.mp4?tag=3", "https://video.twimg.com/ext_tw_video/998082429213540352/pu/vid/1280x720/qKVDQwNI-NM3DRTq.mp4?tag=3")</f>
        <v/>
      </c>
      <c r="G110" t="s"/>
      <c r="H110" t="s"/>
      <c r="I110" t="s"/>
      <c r="J110" t="n">
        <v>0.0736</v>
      </c>
      <c r="K110" t="n">
        <v>0.166</v>
      </c>
      <c r="L110" t="n">
        <v>0.641</v>
      </c>
      <c r="M110" t="n">
        <v>0.192</v>
      </c>
    </row>
    <row r="111" spans="1:13">
      <c r="A111" s="1">
        <f>HYPERLINK("http://www.twitter.com/NathanBLawrence/status/1000884262248337409", "1000884262248337409")</f>
        <v/>
      </c>
      <c r="B111" s="2" t="n">
        <v>43247.98585648148</v>
      </c>
      <c r="C111" t="n">
        <v>0</v>
      </c>
      <c r="D111" t="n">
        <v>54007</v>
      </c>
      <c r="E111" t="s">
        <v>122</v>
      </c>
      <c r="F111" t="s"/>
      <c r="G111" t="s"/>
      <c r="H111" t="s"/>
      <c r="I111" t="s"/>
      <c r="J111" t="n">
        <v>0.4404</v>
      </c>
      <c r="K111" t="n">
        <v>0.06</v>
      </c>
      <c r="L111" t="n">
        <v>0.803</v>
      </c>
      <c r="M111" t="n">
        <v>0.137</v>
      </c>
    </row>
    <row r="112" spans="1:13">
      <c r="A112" s="1">
        <f>HYPERLINK("http://www.twitter.com/NathanBLawrence/status/1000884248960819201", "1000884248960819201")</f>
        <v/>
      </c>
      <c r="B112" s="2" t="n">
        <v>43247.98582175926</v>
      </c>
      <c r="C112" t="n">
        <v>0</v>
      </c>
      <c r="D112" t="n">
        <v>3999</v>
      </c>
      <c r="E112" t="s">
        <v>123</v>
      </c>
      <c r="F112">
        <f>HYPERLINK("http://pbs.twimg.com/media/DdugsvMVAAENTPN.jpg", "http://pbs.twimg.com/media/DdugsvMVAAENTPN.jpg")</f>
        <v/>
      </c>
      <c r="G112" t="s"/>
      <c r="H112" t="s"/>
      <c r="I112" t="s"/>
      <c r="J112" t="n">
        <v>0.6124000000000001</v>
      </c>
      <c r="K112" t="n">
        <v>0</v>
      </c>
      <c r="L112" t="n">
        <v>0.862</v>
      </c>
      <c r="M112" t="n">
        <v>0.138</v>
      </c>
    </row>
    <row r="113" spans="1:13">
      <c r="A113" s="1">
        <f>HYPERLINK("http://www.twitter.com/NathanBLawrence/status/1000884232942706689", "1000884232942706689")</f>
        <v/>
      </c>
      <c r="B113" s="2" t="n">
        <v>43247.98577546296</v>
      </c>
      <c r="C113" t="n">
        <v>0</v>
      </c>
      <c r="D113" t="n">
        <v>2</v>
      </c>
      <c r="E113" t="s">
        <v>124</v>
      </c>
      <c r="F113" t="s"/>
      <c r="G113" t="s"/>
      <c r="H113" t="s"/>
      <c r="I113" t="s"/>
      <c r="J113" t="n">
        <v>-0.2023</v>
      </c>
      <c r="K113" t="n">
        <v>0.24</v>
      </c>
      <c r="L113" t="n">
        <v>0.514</v>
      </c>
      <c r="M113" t="n">
        <v>0.247</v>
      </c>
    </row>
    <row r="114" spans="1:13">
      <c r="A114" s="1">
        <f>HYPERLINK("http://www.twitter.com/NathanBLawrence/status/1000884194623582208", "1000884194623582208")</f>
        <v/>
      </c>
      <c r="B114" s="2" t="n">
        <v>43247.98567129629</v>
      </c>
      <c r="C114" t="n">
        <v>0</v>
      </c>
      <c r="D114" t="n">
        <v>22</v>
      </c>
      <c r="E114" t="s">
        <v>125</v>
      </c>
      <c r="F114" t="s"/>
      <c r="G114" t="s"/>
      <c r="H114" t="s"/>
      <c r="I114" t="s"/>
      <c r="J114" t="n">
        <v>0.0258</v>
      </c>
      <c r="K114" t="n">
        <v>0.161</v>
      </c>
      <c r="L114" t="n">
        <v>0.673</v>
      </c>
      <c r="M114" t="n">
        <v>0.166</v>
      </c>
    </row>
    <row r="115" spans="1:13">
      <c r="A115" s="1">
        <f>HYPERLINK("http://www.twitter.com/NathanBLawrence/status/1000884175375929344", "1000884175375929344")</f>
        <v/>
      </c>
      <c r="B115" s="2" t="n">
        <v>43247.98561342592</v>
      </c>
      <c r="C115" t="n">
        <v>0</v>
      </c>
      <c r="D115" t="n">
        <v>9239</v>
      </c>
      <c r="E115" t="s">
        <v>126</v>
      </c>
      <c r="F115">
        <f>HYPERLINK("http://pbs.twimg.com/media/DeINZSzWkAAMQEr.jpg", "http://pbs.twimg.com/media/DeINZSzWkAAMQEr.jpg")</f>
        <v/>
      </c>
      <c r="G115" t="s"/>
      <c r="H115" t="s"/>
      <c r="I115" t="s"/>
      <c r="J115" t="n">
        <v>-0.891</v>
      </c>
      <c r="K115" t="n">
        <v>0.35</v>
      </c>
      <c r="L115" t="n">
        <v>0.605</v>
      </c>
      <c r="M115" t="n">
        <v>0.045</v>
      </c>
    </row>
    <row r="116" spans="1:13">
      <c r="A116" s="1">
        <f>HYPERLINK("http://www.twitter.com/NathanBLawrence/status/1000878898442326021", "1000878898442326021")</f>
        <v/>
      </c>
      <c r="B116" s="2" t="n">
        <v>43247.97105324074</v>
      </c>
      <c r="C116" t="n">
        <v>8</v>
      </c>
      <c r="D116" t="n">
        <v>8</v>
      </c>
      <c r="E116" t="s">
        <v>127</v>
      </c>
      <c r="F116" t="s"/>
      <c r="G116" t="s"/>
      <c r="H116" t="s"/>
      <c r="I116" t="s"/>
      <c r="J116" t="n">
        <v>-0.3182</v>
      </c>
      <c r="K116" t="n">
        <v>0.08599999999999999</v>
      </c>
      <c r="L116" t="n">
        <v>0.864</v>
      </c>
      <c r="M116" t="n">
        <v>0.05</v>
      </c>
    </row>
    <row r="117" spans="1:13">
      <c r="A117" s="1">
        <f>HYPERLINK("http://www.twitter.com/NathanBLawrence/status/1000872174314500096", "1000872174314500096")</f>
        <v/>
      </c>
      <c r="B117" s="2" t="n">
        <v>43247.9525</v>
      </c>
      <c r="C117" t="n">
        <v>0</v>
      </c>
      <c r="D117" t="n">
        <v>14</v>
      </c>
      <c r="E117" t="s">
        <v>128</v>
      </c>
      <c r="F117" t="s"/>
      <c r="G117" t="s"/>
      <c r="H117" t="s"/>
      <c r="I117" t="s"/>
      <c r="J117" t="n">
        <v>-0.6027</v>
      </c>
      <c r="K117" t="n">
        <v>0.179</v>
      </c>
      <c r="L117" t="n">
        <v>0.821</v>
      </c>
      <c r="M117" t="n">
        <v>0</v>
      </c>
    </row>
    <row r="118" spans="1:13">
      <c r="A118" s="1">
        <f>HYPERLINK("http://www.twitter.com/NathanBLawrence/status/1000872131725578240", "1000872131725578240")</f>
        <v/>
      </c>
      <c r="B118" s="2" t="n">
        <v>43247.95238425926</v>
      </c>
      <c r="C118" t="n">
        <v>0</v>
      </c>
      <c r="D118" t="n">
        <v>25</v>
      </c>
      <c r="E118" t="s">
        <v>129</v>
      </c>
      <c r="F118">
        <f>HYPERLINK("http://pbs.twimg.com/media/DeOjXSAX0AEMUfT.png", "http://pbs.twimg.com/media/DeOjXSAX0AEMUfT.png")</f>
        <v/>
      </c>
      <c r="G118" t="s"/>
      <c r="H118" t="s"/>
      <c r="I118" t="s"/>
      <c r="J118" t="n">
        <v>0</v>
      </c>
      <c r="K118" t="n">
        <v>0</v>
      </c>
      <c r="L118" t="n">
        <v>1</v>
      </c>
      <c r="M118" t="n">
        <v>0</v>
      </c>
    </row>
    <row r="119" spans="1:13">
      <c r="A119" s="1">
        <f>HYPERLINK("http://www.twitter.com/NathanBLawrence/status/1000871068045897728", "1000871068045897728")</f>
        <v/>
      </c>
      <c r="B119" s="2" t="n">
        <v>43247.94944444444</v>
      </c>
      <c r="C119" t="n">
        <v>0</v>
      </c>
      <c r="D119" t="n">
        <v>17</v>
      </c>
      <c r="E119" t="s">
        <v>130</v>
      </c>
      <c r="F119" t="s"/>
      <c r="G119" t="s"/>
      <c r="H119" t="s"/>
      <c r="I119" t="s"/>
      <c r="J119" t="n">
        <v>0.5513</v>
      </c>
      <c r="K119" t="n">
        <v>0</v>
      </c>
      <c r="L119" t="n">
        <v>0.842</v>
      </c>
      <c r="M119" t="n">
        <v>0.158</v>
      </c>
    </row>
    <row r="120" spans="1:13">
      <c r="A120" s="1">
        <f>HYPERLINK("http://www.twitter.com/NathanBLawrence/status/1000868435679735808", "1000868435679735808")</f>
        <v/>
      </c>
      <c r="B120" s="2" t="n">
        <v>43247.94217592593</v>
      </c>
      <c r="C120" t="n">
        <v>0</v>
      </c>
      <c r="D120" t="n">
        <v>21547</v>
      </c>
      <c r="E120" t="s">
        <v>131</v>
      </c>
      <c r="F120" t="s"/>
      <c r="G120" t="s"/>
      <c r="H120" t="s"/>
      <c r="I120" t="s"/>
      <c r="J120" t="n">
        <v>-0.5423</v>
      </c>
      <c r="K120" t="n">
        <v>0.177</v>
      </c>
      <c r="L120" t="n">
        <v>0.775</v>
      </c>
      <c r="M120" t="n">
        <v>0.048</v>
      </c>
    </row>
    <row r="121" spans="1:13">
      <c r="A121" s="1">
        <f>HYPERLINK("http://www.twitter.com/NathanBLawrence/status/1000868425152057345", "1000868425152057345")</f>
        <v/>
      </c>
      <c r="B121" s="2" t="n">
        <v>43247.94215277778</v>
      </c>
      <c r="C121" t="n">
        <v>0</v>
      </c>
      <c r="D121" t="n">
        <v>12361</v>
      </c>
      <c r="E121" t="s">
        <v>132</v>
      </c>
      <c r="F121" t="s"/>
      <c r="G121" t="s"/>
      <c r="H121" t="s"/>
      <c r="I121" t="s"/>
      <c r="J121" t="n">
        <v>-0.5266999999999999</v>
      </c>
      <c r="K121" t="n">
        <v>0.254</v>
      </c>
      <c r="L121" t="n">
        <v>0.746</v>
      </c>
      <c r="M121" t="n">
        <v>0</v>
      </c>
    </row>
    <row r="122" spans="1:13">
      <c r="A122" s="1">
        <f>HYPERLINK("http://www.twitter.com/NathanBLawrence/status/1000868415542882304", "1000868415542882304")</f>
        <v/>
      </c>
      <c r="B122" s="2" t="n">
        <v>43247.94212962963</v>
      </c>
      <c r="C122" t="n">
        <v>0</v>
      </c>
      <c r="D122" t="n">
        <v>21683</v>
      </c>
      <c r="E122" t="s">
        <v>133</v>
      </c>
      <c r="F122" t="s"/>
      <c r="G122" t="s"/>
      <c r="H122" t="s"/>
      <c r="I122" t="s"/>
      <c r="J122" t="n">
        <v>-0.2748</v>
      </c>
      <c r="K122" t="n">
        <v>0.133</v>
      </c>
      <c r="L122" t="n">
        <v>0.775</v>
      </c>
      <c r="M122" t="n">
        <v>0.092</v>
      </c>
    </row>
    <row r="123" spans="1:13">
      <c r="A123" s="1">
        <f>HYPERLINK("http://www.twitter.com/NathanBLawrence/status/1000868386300194819", "1000868386300194819")</f>
        <v/>
      </c>
      <c r="B123" s="2" t="n">
        <v>43247.94204861111</v>
      </c>
      <c r="C123" t="n">
        <v>0</v>
      </c>
      <c r="D123" t="n">
        <v>2561</v>
      </c>
      <c r="E123" t="s">
        <v>134</v>
      </c>
      <c r="F123">
        <f>HYPERLINK("http://pbs.twimg.com/media/DeONv4oWsAAwhVo.jpg", "http://pbs.twimg.com/media/DeONv4oWsAAwhVo.jpg")</f>
        <v/>
      </c>
      <c r="G123" t="s"/>
      <c r="H123" t="s"/>
      <c r="I123" t="s"/>
      <c r="J123" t="n">
        <v>0.4466</v>
      </c>
      <c r="K123" t="n">
        <v>0</v>
      </c>
      <c r="L123" t="n">
        <v>0.86</v>
      </c>
      <c r="M123" t="n">
        <v>0.14</v>
      </c>
    </row>
    <row r="124" spans="1:13">
      <c r="A124" s="1">
        <f>HYPERLINK("http://www.twitter.com/NathanBLawrence/status/1000868353349771264", "1000868353349771264")</f>
        <v/>
      </c>
      <c r="B124" s="2" t="n">
        <v>43247.94195601852</v>
      </c>
      <c r="C124" t="n">
        <v>0</v>
      </c>
      <c r="D124" t="n">
        <v>0</v>
      </c>
      <c r="E124" t="s">
        <v>135</v>
      </c>
      <c r="F124" t="s"/>
      <c r="G124" t="s"/>
      <c r="H124" t="s"/>
      <c r="I124" t="s"/>
      <c r="J124" t="n">
        <v>-0.5106000000000001</v>
      </c>
      <c r="K124" t="n">
        <v>0.398</v>
      </c>
      <c r="L124" t="n">
        <v>0.602</v>
      </c>
      <c r="M124" t="n">
        <v>0</v>
      </c>
    </row>
    <row r="125" spans="1:13">
      <c r="A125" s="1">
        <f>HYPERLINK("http://www.twitter.com/NathanBLawrence/status/1000868284600930304", "1000868284600930304")</f>
        <v/>
      </c>
      <c r="B125" s="2" t="n">
        <v>43247.94175925926</v>
      </c>
      <c r="C125" t="n">
        <v>0</v>
      </c>
      <c r="D125" t="n">
        <v>260</v>
      </c>
      <c r="E125" t="s">
        <v>136</v>
      </c>
      <c r="F125" t="s"/>
      <c r="G125" t="s"/>
      <c r="H125" t="s"/>
      <c r="I125" t="s"/>
      <c r="J125" t="n">
        <v>0.3818</v>
      </c>
      <c r="K125" t="n">
        <v>0</v>
      </c>
      <c r="L125" t="n">
        <v>0.89</v>
      </c>
      <c r="M125" t="n">
        <v>0.11</v>
      </c>
    </row>
    <row r="126" spans="1:13">
      <c r="A126" s="1">
        <f>HYPERLINK("http://www.twitter.com/NathanBLawrence/status/1000868269333581826", "1000868269333581826")</f>
        <v/>
      </c>
      <c r="B126" s="2" t="n">
        <v>43247.94172453704</v>
      </c>
      <c r="C126" t="n">
        <v>0</v>
      </c>
      <c r="D126" t="n">
        <v>18</v>
      </c>
      <c r="E126" t="s">
        <v>137</v>
      </c>
      <c r="F126">
        <f>HYPERLINK("http://pbs.twimg.com/media/DePHr74X0AI9vTM.jpg", "http://pbs.twimg.com/media/DePHr74X0AI9vTM.jpg")</f>
        <v/>
      </c>
      <c r="G126" t="s"/>
      <c r="H126" t="s"/>
      <c r="I126" t="s"/>
      <c r="J126" t="n">
        <v>0.25</v>
      </c>
      <c r="K126" t="n">
        <v>0.124</v>
      </c>
      <c r="L126" t="n">
        <v>0.677</v>
      </c>
      <c r="M126" t="n">
        <v>0.199</v>
      </c>
    </row>
    <row r="127" spans="1:13">
      <c r="A127" s="1">
        <f>HYPERLINK("http://www.twitter.com/NathanBLawrence/status/1000868237456834560", "1000868237456834560")</f>
        <v/>
      </c>
      <c r="B127" s="2" t="n">
        <v>43247.94163194444</v>
      </c>
      <c r="C127" t="n">
        <v>0</v>
      </c>
      <c r="D127" t="n">
        <v>851</v>
      </c>
      <c r="E127" t="s">
        <v>138</v>
      </c>
      <c r="F127" t="s"/>
      <c r="G127" t="s"/>
      <c r="H127" t="s"/>
      <c r="I127" t="s"/>
      <c r="J127" t="n">
        <v>0</v>
      </c>
      <c r="K127" t="n">
        <v>0.107</v>
      </c>
      <c r="L127" t="n">
        <v>0.75</v>
      </c>
      <c r="M127" t="n">
        <v>0.143</v>
      </c>
    </row>
    <row r="128" spans="1:13">
      <c r="A128" s="1">
        <f>HYPERLINK("http://www.twitter.com/NathanBLawrence/status/1000868197799743490", "1000868197799743490")</f>
        <v/>
      </c>
      <c r="B128" s="2" t="n">
        <v>43247.94152777778</v>
      </c>
      <c r="C128" t="n">
        <v>0</v>
      </c>
      <c r="D128" t="n">
        <v>33699</v>
      </c>
      <c r="E128" t="s">
        <v>139</v>
      </c>
      <c r="F128" t="s"/>
      <c r="G128" t="s"/>
      <c r="H128" t="s"/>
      <c r="I128" t="s"/>
      <c r="J128" t="n">
        <v>0</v>
      </c>
      <c r="K128" t="n">
        <v>0</v>
      </c>
      <c r="L128" t="n">
        <v>1</v>
      </c>
      <c r="M128" t="n">
        <v>0</v>
      </c>
    </row>
    <row r="129" spans="1:13">
      <c r="A129" s="1">
        <f>HYPERLINK("http://www.twitter.com/NathanBLawrence/status/1000868186580045825", "1000868186580045825")</f>
        <v/>
      </c>
      <c r="B129" s="2" t="n">
        <v>43247.94149305556</v>
      </c>
      <c r="C129" t="n">
        <v>0</v>
      </c>
      <c r="D129" t="n">
        <v>2768</v>
      </c>
      <c r="E129" t="s">
        <v>140</v>
      </c>
      <c r="F129" t="s"/>
      <c r="G129" t="s"/>
      <c r="H129" t="s"/>
      <c r="I129" t="s"/>
      <c r="J129" t="n">
        <v>0</v>
      </c>
      <c r="K129" t="n">
        <v>0</v>
      </c>
      <c r="L129" t="n">
        <v>1</v>
      </c>
      <c r="M129" t="n">
        <v>0</v>
      </c>
    </row>
    <row r="130" spans="1:13">
      <c r="A130" s="1">
        <f>HYPERLINK("http://www.twitter.com/NathanBLawrence/status/1000867680897978368", "1000867680897978368")</f>
        <v/>
      </c>
      <c r="B130" s="2" t="n">
        <v>43247.94010416666</v>
      </c>
      <c r="C130" t="n">
        <v>17</v>
      </c>
      <c r="D130" t="n">
        <v>17</v>
      </c>
      <c r="E130" t="s">
        <v>141</v>
      </c>
      <c r="F130" t="s"/>
      <c r="G130" t="s"/>
      <c r="H130" t="s"/>
      <c r="I130" t="s"/>
      <c r="J130" t="n">
        <v>0.7318</v>
      </c>
      <c r="K130" t="n">
        <v>0</v>
      </c>
      <c r="L130" t="n">
        <v>0.834</v>
      </c>
      <c r="M130" t="n">
        <v>0.166</v>
      </c>
    </row>
    <row r="131" spans="1:13">
      <c r="A131" s="1">
        <f>HYPERLINK("http://www.twitter.com/NathanBLawrence/status/1000865666365304832", "1000865666365304832")</f>
        <v/>
      </c>
      <c r="B131" s="2" t="n">
        <v>43247.93453703704</v>
      </c>
      <c r="C131" t="n">
        <v>0</v>
      </c>
      <c r="D131" t="n">
        <v>7</v>
      </c>
      <c r="E131" t="s">
        <v>142</v>
      </c>
      <c r="F131" t="s"/>
      <c r="G131" t="s"/>
      <c r="H131" t="s"/>
      <c r="I131" t="s"/>
      <c r="J131" t="n">
        <v>-0.4767</v>
      </c>
      <c r="K131" t="n">
        <v>0.157</v>
      </c>
      <c r="L131" t="n">
        <v>0.843</v>
      </c>
      <c r="M131" t="n">
        <v>0</v>
      </c>
    </row>
    <row r="132" spans="1:13">
      <c r="A132" s="1">
        <f>HYPERLINK("http://www.twitter.com/NathanBLawrence/status/1000821880419422210", "1000821880419422210")</f>
        <v/>
      </c>
      <c r="B132" s="2" t="n">
        <v>43247.81371527778</v>
      </c>
      <c r="C132" t="n">
        <v>0</v>
      </c>
      <c r="D132" t="n">
        <v>10</v>
      </c>
      <c r="E132" t="s">
        <v>143</v>
      </c>
      <c r="F132" t="s"/>
      <c r="G132" t="s"/>
      <c r="H132" t="s"/>
      <c r="I132" t="s"/>
      <c r="J132" t="n">
        <v>-0.4939</v>
      </c>
      <c r="K132" t="n">
        <v>0.314</v>
      </c>
      <c r="L132" t="n">
        <v>0.6860000000000001</v>
      </c>
      <c r="M132" t="n">
        <v>0</v>
      </c>
    </row>
    <row r="133" spans="1:13">
      <c r="A133" s="1">
        <f>HYPERLINK("http://www.twitter.com/NathanBLawrence/status/1000814690111406080", "1000814690111406080")</f>
        <v/>
      </c>
      <c r="B133" s="2" t="n">
        <v>43247.79387731481</v>
      </c>
      <c r="C133" t="n">
        <v>0</v>
      </c>
      <c r="D133" t="n">
        <v>8</v>
      </c>
      <c r="E133" t="s">
        <v>144</v>
      </c>
      <c r="F133" t="s"/>
      <c r="G133" t="s"/>
      <c r="H133" t="s"/>
      <c r="I133" t="s"/>
      <c r="J133" t="n">
        <v>0.6249</v>
      </c>
      <c r="K133" t="n">
        <v>0.089</v>
      </c>
      <c r="L133" t="n">
        <v>0.656</v>
      </c>
      <c r="M133" t="n">
        <v>0.256</v>
      </c>
    </row>
    <row r="134" spans="1:13">
      <c r="A134" s="1">
        <f>HYPERLINK("http://www.twitter.com/NathanBLawrence/status/1000814672692613120", "1000814672692613120")</f>
        <v/>
      </c>
      <c r="B134" s="2" t="n">
        <v>43247.79381944444</v>
      </c>
      <c r="C134" t="n">
        <v>0</v>
      </c>
      <c r="D134" t="n">
        <v>4</v>
      </c>
      <c r="E134" t="s">
        <v>145</v>
      </c>
      <c r="F134" t="s"/>
      <c r="G134" t="s"/>
      <c r="H134" t="s"/>
      <c r="I134" t="s"/>
      <c r="J134" t="n">
        <v>0.6705</v>
      </c>
      <c r="K134" t="n">
        <v>0</v>
      </c>
      <c r="L134" t="n">
        <v>0.732</v>
      </c>
      <c r="M134" t="n">
        <v>0.268</v>
      </c>
    </row>
    <row r="135" spans="1:13">
      <c r="A135" s="1">
        <f>HYPERLINK("http://www.twitter.com/NathanBLawrence/status/1000814663590989825", "1000814663590989825")</f>
        <v/>
      </c>
      <c r="B135" s="2" t="n">
        <v>43247.7937962963</v>
      </c>
      <c r="C135" t="n">
        <v>0</v>
      </c>
      <c r="D135" t="n">
        <v>3</v>
      </c>
      <c r="E135" t="s">
        <v>146</v>
      </c>
      <c r="F135" t="s"/>
      <c r="G135" t="s"/>
      <c r="H135" t="s"/>
      <c r="I135" t="s"/>
      <c r="J135" t="n">
        <v>0</v>
      </c>
      <c r="K135" t="n">
        <v>0</v>
      </c>
      <c r="L135" t="n">
        <v>1</v>
      </c>
      <c r="M135" t="n">
        <v>0</v>
      </c>
    </row>
    <row r="136" spans="1:13">
      <c r="A136" s="1">
        <f>HYPERLINK("http://www.twitter.com/NathanBLawrence/status/1000814654229221377", "1000814654229221377")</f>
        <v/>
      </c>
      <c r="B136" s="2" t="n">
        <v>43247.79377314815</v>
      </c>
      <c r="C136" t="n">
        <v>0</v>
      </c>
      <c r="D136" t="n">
        <v>6</v>
      </c>
      <c r="E136" t="s">
        <v>147</v>
      </c>
      <c r="F136" t="s"/>
      <c r="G136" t="s"/>
      <c r="H136" t="s"/>
      <c r="I136" t="s"/>
      <c r="J136" t="n">
        <v>-0.7184</v>
      </c>
      <c r="K136" t="n">
        <v>0.294</v>
      </c>
      <c r="L136" t="n">
        <v>0.642</v>
      </c>
      <c r="M136" t="n">
        <v>0.064</v>
      </c>
    </row>
    <row r="137" spans="1:13">
      <c r="A137" s="1">
        <f>HYPERLINK("http://www.twitter.com/NathanBLawrence/status/1000814620041449473", "1000814620041449473")</f>
        <v/>
      </c>
      <c r="B137" s="2" t="n">
        <v>43247.79368055556</v>
      </c>
      <c r="C137" t="n">
        <v>0</v>
      </c>
      <c r="D137" t="n">
        <v>5</v>
      </c>
      <c r="E137" t="s">
        <v>148</v>
      </c>
      <c r="F137" t="s"/>
      <c r="G137" t="s"/>
      <c r="H137" t="s"/>
      <c r="I137" t="s"/>
      <c r="J137" t="n">
        <v>0</v>
      </c>
      <c r="K137" t="n">
        <v>0</v>
      </c>
      <c r="L137" t="n">
        <v>1</v>
      </c>
      <c r="M137" t="n">
        <v>0</v>
      </c>
    </row>
    <row r="138" spans="1:13">
      <c r="A138" s="1">
        <f>HYPERLINK("http://www.twitter.com/NathanBLawrence/status/1000814571400163329", "1000814571400163329")</f>
        <v/>
      </c>
      <c r="B138" s="2" t="n">
        <v>43247.79354166667</v>
      </c>
      <c r="C138" t="n">
        <v>2</v>
      </c>
      <c r="D138" t="n">
        <v>2</v>
      </c>
      <c r="E138" t="s">
        <v>149</v>
      </c>
      <c r="F138" t="s"/>
      <c r="G138" t="s"/>
      <c r="H138" t="s"/>
      <c r="I138" t="s"/>
      <c r="J138" t="n">
        <v>-0.4019</v>
      </c>
      <c r="K138" t="n">
        <v>0.193</v>
      </c>
      <c r="L138" t="n">
        <v>0.665</v>
      </c>
      <c r="M138" t="n">
        <v>0.142</v>
      </c>
    </row>
    <row r="139" spans="1:13">
      <c r="A139" s="1">
        <f>HYPERLINK("http://www.twitter.com/NathanBLawrence/status/1000814355771002880", "1000814355771002880")</f>
        <v/>
      </c>
      <c r="B139" s="2" t="n">
        <v>43247.79295138889</v>
      </c>
      <c r="C139" t="n">
        <v>0</v>
      </c>
      <c r="D139" t="n">
        <v>4</v>
      </c>
      <c r="E139" t="s">
        <v>150</v>
      </c>
      <c r="F139" t="s"/>
      <c r="G139" t="s"/>
      <c r="H139" t="s"/>
      <c r="I139" t="s"/>
      <c r="J139" t="n">
        <v>0</v>
      </c>
      <c r="K139" t="n">
        <v>0</v>
      </c>
      <c r="L139" t="n">
        <v>1</v>
      </c>
      <c r="M139" t="n">
        <v>0</v>
      </c>
    </row>
    <row r="140" spans="1:13">
      <c r="A140" s="1">
        <f>HYPERLINK("http://www.twitter.com/NathanBLawrence/status/1000814295528214528", "1000814295528214528")</f>
        <v/>
      </c>
      <c r="B140" s="2" t="n">
        <v>43247.79277777778</v>
      </c>
      <c r="C140" t="n">
        <v>0</v>
      </c>
      <c r="D140" t="n">
        <v>3</v>
      </c>
      <c r="E140" t="s">
        <v>151</v>
      </c>
      <c r="F140" t="s"/>
      <c r="G140" t="s"/>
      <c r="H140" t="s"/>
      <c r="I140" t="s"/>
      <c r="J140" t="n">
        <v>-0.4767</v>
      </c>
      <c r="K140" t="n">
        <v>0.181</v>
      </c>
      <c r="L140" t="n">
        <v>0.819</v>
      </c>
      <c r="M140" t="n">
        <v>0</v>
      </c>
    </row>
    <row r="141" spans="1:13">
      <c r="A141" s="1">
        <f>HYPERLINK("http://www.twitter.com/NathanBLawrence/status/1000814285637980160", "1000814285637980160")</f>
        <v/>
      </c>
      <c r="B141" s="2" t="n">
        <v>43247.79275462963</v>
      </c>
      <c r="C141" t="n">
        <v>0</v>
      </c>
      <c r="D141" t="n">
        <v>6</v>
      </c>
      <c r="E141" t="s">
        <v>145</v>
      </c>
      <c r="F141" t="s"/>
      <c r="G141" t="s"/>
      <c r="H141" t="s"/>
      <c r="I141" t="s"/>
      <c r="J141" t="n">
        <v>0.6705</v>
      </c>
      <c r="K141" t="n">
        <v>0</v>
      </c>
      <c r="L141" t="n">
        <v>0.732</v>
      </c>
      <c r="M141" t="n">
        <v>0.268</v>
      </c>
    </row>
    <row r="142" spans="1:13">
      <c r="A142" s="1">
        <f>HYPERLINK("http://www.twitter.com/NathanBLawrence/status/1000814254289817600", "1000814254289817600")</f>
        <v/>
      </c>
      <c r="B142" s="2" t="n">
        <v>43247.79267361111</v>
      </c>
      <c r="C142" t="n">
        <v>0</v>
      </c>
      <c r="D142" t="n">
        <v>8</v>
      </c>
      <c r="E142" t="s">
        <v>152</v>
      </c>
      <c r="F142" t="s"/>
      <c r="G142" t="s"/>
      <c r="H142" t="s"/>
      <c r="I142" t="s"/>
      <c r="J142" t="n">
        <v>-0.8555</v>
      </c>
      <c r="K142" t="n">
        <v>0.356</v>
      </c>
      <c r="L142" t="n">
        <v>0.644</v>
      </c>
      <c r="M142" t="n">
        <v>0</v>
      </c>
    </row>
    <row r="143" spans="1:13">
      <c r="A143" s="1">
        <f>HYPERLINK("http://www.twitter.com/NathanBLawrence/status/1000812843472707585", "1000812843472707585")</f>
        <v/>
      </c>
      <c r="B143" s="2" t="n">
        <v>43247.78877314815</v>
      </c>
      <c r="C143" t="n">
        <v>1</v>
      </c>
      <c r="D143" t="n">
        <v>0</v>
      </c>
      <c r="E143" t="s">
        <v>153</v>
      </c>
      <c r="F143" t="s"/>
      <c r="G143" t="s"/>
      <c r="H143" t="s"/>
      <c r="I143" t="s"/>
      <c r="J143" t="n">
        <v>-0.7269</v>
      </c>
      <c r="K143" t="n">
        <v>0.232</v>
      </c>
      <c r="L143" t="n">
        <v>0.674</v>
      </c>
      <c r="M143" t="n">
        <v>0.094</v>
      </c>
    </row>
    <row r="144" spans="1:13">
      <c r="A144" s="1">
        <f>HYPERLINK("http://www.twitter.com/NathanBLawrence/status/1000812179153711104", "1000812179153711104")</f>
        <v/>
      </c>
      <c r="B144" s="2" t="n">
        <v>43247.78694444444</v>
      </c>
      <c r="C144" t="n">
        <v>0</v>
      </c>
      <c r="D144" t="n">
        <v>8738</v>
      </c>
      <c r="E144" t="s">
        <v>154</v>
      </c>
      <c r="F144" t="s"/>
      <c r="G144" t="s"/>
      <c r="H144" t="s"/>
      <c r="I144" t="s"/>
      <c r="J144" t="n">
        <v>-0.34</v>
      </c>
      <c r="K144" t="n">
        <v>0.107</v>
      </c>
      <c r="L144" t="n">
        <v>0.893</v>
      </c>
      <c r="M144" t="n">
        <v>0</v>
      </c>
    </row>
    <row r="145" spans="1:13">
      <c r="A145" s="1">
        <f>HYPERLINK("http://www.twitter.com/NathanBLawrence/status/1000812037679837185", "1000812037679837185")</f>
        <v/>
      </c>
      <c r="B145" s="2" t="n">
        <v>43247.78655092593</v>
      </c>
      <c r="C145" t="n">
        <v>0</v>
      </c>
      <c r="D145" t="n">
        <v>0</v>
      </c>
      <c r="E145" t="s">
        <v>155</v>
      </c>
      <c r="F145" t="s"/>
      <c r="G145" t="s"/>
      <c r="H145" t="s"/>
      <c r="I145" t="s"/>
      <c r="J145" t="n">
        <v>-0.5574</v>
      </c>
      <c r="K145" t="n">
        <v>0.187</v>
      </c>
      <c r="L145" t="n">
        <v>0.731</v>
      </c>
      <c r="M145" t="n">
        <v>0.082</v>
      </c>
    </row>
    <row r="146" spans="1:13">
      <c r="A146" s="1">
        <f>HYPERLINK("http://www.twitter.com/NathanBLawrence/status/1000811731076243457", "1000811731076243457")</f>
        <v/>
      </c>
      <c r="B146" s="2" t="n">
        <v>43247.78570601852</v>
      </c>
      <c r="C146" t="n">
        <v>0</v>
      </c>
      <c r="D146" t="n">
        <v>0</v>
      </c>
      <c r="E146" t="s">
        <v>156</v>
      </c>
      <c r="F146" t="s"/>
      <c r="G146" t="s"/>
      <c r="H146" t="s"/>
      <c r="I146" t="s"/>
      <c r="J146" t="n">
        <v>-0.0772</v>
      </c>
      <c r="K146" t="n">
        <v>0.037</v>
      </c>
      <c r="L146" t="n">
        <v>0.963</v>
      </c>
      <c r="M146" t="n">
        <v>0</v>
      </c>
    </row>
    <row r="147" spans="1:13">
      <c r="A147" s="1">
        <f>HYPERLINK("http://www.twitter.com/NathanBLawrence/status/1000809243690356742", "1000809243690356742")</f>
        <v/>
      </c>
      <c r="B147" s="2" t="n">
        <v>43247.77884259259</v>
      </c>
      <c r="C147" t="n">
        <v>0</v>
      </c>
      <c r="D147" t="n">
        <v>0</v>
      </c>
      <c r="E147" t="s">
        <v>157</v>
      </c>
      <c r="F147" t="s"/>
      <c r="G147" t="s"/>
      <c r="H147" t="s"/>
      <c r="I147" t="s"/>
      <c r="J147" t="n">
        <v>-0.6767</v>
      </c>
      <c r="K147" t="n">
        <v>0.182</v>
      </c>
      <c r="L147" t="n">
        <v>0.8179999999999999</v>
      </c>
      <c r="M147" t="n">
        <v>0</v>
      </c>
    </row>
    <row r="148" spans="1:13">
      <c r="A148" s="1">
        <f>HYPERLINK("http://www.twitter.com/NathanBLawrence/status/1000808997719560192", "1000808997719560192")</f>
        <v/>
      </c>
      <c r="B148" s="2" t="n">
        <v>43247.77815972222</v>
      </c>
      <c r="C148" t="n">
        <v>0</v>
      </c>
      <c r="D148" t="n">
        <v>0</v>
      </c>
      <c r="E148" t="s">
        <v>158</v>
      </c>
      <c r="F148" t="s"/>
      <c r="G148" t="s"/>
      <c r="H148" t="s"/>
      <c r="I148" t="s"/>
      <c r="J148" t="n">
        <v>-0.8774999999999999</v>
      </c>
      <c r="K148" t="n">
        <v>0.272</v>
      </c>
      <c r="L148" t="n">
        <v>0.728</v>
      </c>
      <c r="M148" t="n">
        <v>0</v>
      </c>
    </row>
    <row r="149" spans="1:13">
      <c r="A149" s="1">
        <f>HYPERLINK("http://www.twitter.com/NathanBLawrence/status/1000808018043383809", "1000808018043383809")</f>
        <v/>
      </c>
      <c r="B149" s="2" t="n">
        <v>43247.77546296296</v>
      </c>
      <c r="C149" t="n">
        <v>0</v>
      </c>
      <c r="D149" t="n">
        <v>0</v>
      </c>
      <c r="E149" t="s">
        <v>159</v>
      </c>
      <c r="F149" t="s"/>
      <c r="G149" t="s"/>
      <c r="H149" t="s"/>
      <c r="I149" t="s"/>
      <c r="J149" t="n">
        <v>0.4019</v>
      </c>
      <c r="K149" t="n">
        <v>0</v>
      </c>
      <c r="L149" t="n">
        <v>0.6899999999999999</v>
      </c>
      <c r="M149" t="n">
        <v>0.31</v>
      </c>
    </row>
    <row r="150" spans="1:13">
      <c r="A150" s="1">
        <f>HYPERLINK("http://www.twitter.com/NathanBLawrence/status/1000786219255697415", "1000786219255697415")</f>
        <v/>
      </c>
      <c r="B150" s="2" t="n">
        <v>43247.7153125</v>
      </c>
      <c r="C150" t="n">
        <v>0</v>
      </c>
      <c r="D150" t="n">
        <v>19</v>
      </c>
      <c r="E150" t="s">
        <v>160</v>
      </c>
      <c r="F150" t="s"/>
      <c r="G150" t="s"/>
      <c r="H150" t="s"/>
      <c r="I150" t="s"/>
      <c r="J150" t="n">
        <v>0</v>
      </c>
      <c r="K150" t="n">
        <v>0</v>
      </c>
      <c r="L150" t="n">
        <v>1</v>
      </c>
      <c r="M150" t="n">
        <v>0</v>
      </c>
    </row>
    <row r="151" spans="1:13">
      <c r="A151" s="1">
        <f>HYPERLINK("http://www.twitter.com/NathanBLawrence/status/1000786162456383489", "1000786162456383489")</f>
        <v/>
      </c>
      <c r="B151" s="2" t="n">
        <v>43247.71515046297</v>
      </c>
      <c r="C151" t="n">
        <v>0</v>
      </c>
      <c r="D151" t="n">
        <v>17</v>
      </c>
      <c r="E151" t="s">
        <v>161</v>
      </c>
      <c r="F151">
        <f>HYPERLINK("https://video.twimg.com/ext_tw_video/1000646357214900224/pu/vid/720x1280/YQ58KnLoSAjgkRhu.mp4?tag=3", "https://video.twimg.com/ext_tw_video/1000646357214900224/pu/vid/720x1280/YQ58KnLoSAjgkRhu.mp4?tag=3")</f>
        <v/>
      </c>
      <c r="G151" t="s"/>
      <c r="H151" t="s"/>
      <c r="I151" t="s"/>
      <c r="J151" t="n">
        <v>0.2638</v>
      </c>
      <c r="K151" t="n">
        <v>0.095</v>
      </c>
      <c r="L151" t="n">
        <v>0.774</v>
      </c>
      <c r="M151" t="n">
        <v>0.131</v>
      </c>
    </row>
    <row r="152" spans="1:13">
      <c r="A152" s="1">
        <f>HYPERLINK("http://www.twitter.com/NathanBLawrence/status/1000786134031589377", "1000786134031589377")</f>
        <v/>
      </c>
      <c r="B152" s="2" t="n">
        <v>43247.71506944444</v>
      </c>
      <c r="C152" t="n">
        <v>0</v>
      </c>
      <c r="D152" t="n">
        <v>13</v>
      </c>
      <c r="E152" t="s">
        <v>162</v>
      </c>
      <c r="F152">
        <f>HYPERLINK("http://pbs.twimg.com/media/DeL_HwNVQAAh13k.jpg", "http://pbs.twimg.com/media/DeL_HwNVQAAh13k.jpg")</f>
        <v/>
      </c>
      <c r="G152" t="s"/>
      <c r="H152" t="s"/>
      <c r="I152" t="s"/>
      <c r="J152" t="n">
        <v>0</v>
      </c>
      <c r="K152" t="n">
        <v>0</v>
      </c>
      <c r="L152" t="n">
        <v>1</v>
      </c>
      <c r="M152" t="n">
        <v>0</v>
      </c>
    </row>
    <row r="153" spans="1:13">
      <c r="A153" s="1">
        <f>HYPERLINK("http://www.twitter.com/NathanBLawrence/status/1000786045263339520", "1000786045263339520")</f>
        <v/>
      </c>
      <c r="B153" s="2" t="n">
        <v>43247.71482638889</v>
      </c>
      <c r="C153" t="n">
        <v>0</v>
      </c>
      <c r="D153" t="n">
        <v>11</v>
      </c>
      <c r="E153" t="s">
        <v>163</v>
      </c>
      <c r="F153">
        <f>HYPERLINK("http://pbs.twimg.com/media/DeL45rzWAAIPBCi.jpg", "http://pbs.twimg.com/media/DeL45rzWAAIPBCi.jpg")</f>
        <v/>
      </c>
      <c r="G153" t="s"/>
      <c r="H153" t="s"/>
      <c r="I153" t="s"/>
      <c r="J153" t="n">
        <v>0</v>
      </c>
      <c r="K153" t="n">
        <v>0</v>
      </c>
      <c r="L153" t="n">
        <v>1</v>
      </c>
      <c r="M153" t="n">
        <v>0</v>
      </c>
    </row>
    <row r="154" spans="1:13">
      <c r="A154" s="1">
        <f>HYPERLINK("http://www.twitter.com/NathanBLawrence/status/1000646736589873152", "1000646736589873152")</f>
        <v/>
      </c>
      <c r="B154" s="2" t="n">
        <v>43247.33040509259</v>
      </c>
      <c r="C154" t="n">
        <v>0</v>
      </c>
      <c r="D154" t="n">
        <v>13</v>
      </c>
      <c r="E154" t="s">
        <v>164</v>
      </c>
      <c r="F154">
        <f>HYPERLINK("http://pbs.twimg.com/media/DeLJlzHWAAER3MY.jpg", "http://pbs.twimg.com/media/DeLJlzHWAAER3MY.jpg")</f>
        <v/>
      </c>
      <c r="G154" t="s"/>
      <c r="H154" t="s"/>
      <c r="I154" t="s"/>
      <c r="J154" t="n">
        <v>-0.296</v>
      </c>
      <c r="K154" t="n">
        <v>0.159</v>
      </c>
      <c r="L154" t="n">
        <v>0.729</v>
      </c>
      <c r="M154" t="n">
        <v>0.113</v>
      </c>
    </row>
    <row r="155" spans="1:13">
      <c r="A155" s="1">
        <f>HYPERLINK("http://www.twitter.com/NathanBLawrence/status/1000635853591515137", "1000635853591515137")</f>
        <v/>
      </c>
      <c r="B155" s="2" t="n">
        <v>43247.30038194444</v>
      </c>
      <c r="C155" t="n">
        <v>0</v>
      </c>
      <c r="D155" t="n">
        <v>9</v>
      </c>
      <c r="E155" t="s">
        <v>165</v>
      </c>
      <c r="F155" t="s"/>
      <c r="G155" t="s"/>
      <c r="H155" t="s"/>
      <c r="I155" t="s"/>
      <c r="J155" t="n">
        <v>0.54</v>
      </c>
      <c r="K155" t="n">
        <v>0</v>
      </c>
      <c r="L155" t="n">
        <v>0.845</v>
      </c>
      <c r="M155" t="n">
        <v>0.155</v>
      </c>
    </row>
    <row r="156" spans="1:13">
      <c r="A156" s="1">
        <f>HYPERLINK("http://www.twitter.com/NathanBLawrence/status/1000635834520035328", "1000635834520035328")</f>
        <v/>
      </c>
      <c r="B156" s="2" t="n">
        <v>43247.30032407407</v>
      </c>
      <c r="C156" t="n">
        <v>0</v>
      </c>
      <c r="D156" t="n">
        <v>5</v>
      </c>
      <c r="E156" t="s">
        <v>166</v>
      </c>
      <c r="F156" t="s"/>
      <c r="G156" t="s"/>
      <c r="H156" t="s"/>
      <c r="I156" t="s"/>
      <c r="J156" t="n">
        <v>0</v>
      </c>
      <c r="K156" t="n">
        <v>0</v>
      </c>
      <c r="L156" t="n">
        <v>1</v>
      </c>
      <c r="M156" t="n">
        <v>0</v>
      </c>
    </row>
    <row r="157" spans="1:13">
      <c r="A157" s="1">
        <f>HYPERLINK("http://www.twitter.com/NathanBLawrence/status/1000635792396619776", "1000635792396619776")</f>
        <v/>
      </c>
      <c r="B157" s="2" t="n">
        <v>43247.30020833333</v>
      </c>
      <c r="C157" t="n">
        <v>0</v>
      </c>
      <c r="D157" t="n">
        <v>12</v>
      </c>
      <c r="E157" t="s">
        <v>167</v>
      </c>
      <c r="F157" t="s"/>
      <c r="G157" t="s"/>
      <c r="H157" t="s"/>
      <c r="I157" t="s"/>
      <c r="J157" t="n">
        <v>-0.1695</v>
      </c>
      <c r="K157" t="n">
        <v>0.077</v>
      </c>
      <c r="L157" t="n">
        <v>0.923</v>
      </c>
      <c r="M157" t="n">
        <v>0</v>
      </c>
    </row>
    <row r="158" spans="1:13">
      <c r="A158" s="1">
        <f>HYPERLINK("http://www.twitter.com/NathanBLawrence/status/1000635747035222016", "1000635747035222016")</f>
        <v/>
      </c>
      <c r="B158" s="2" t="n">
        <v>43247.30008101852</v>
      </c>
      <c r="C158" t="n">
        <v>11</v>
      </c>
      <c r="D158" t="n">
        <v>11</v>
      </c>
      <c r="E158" t="s">
        <v>168</v>
      </c>
      <c r="F158">
        <f>HYPERLINK("http://pbs.twimg.com/media/DeL45rzWAAIPBCi.jpg", "http://pbs.twimg.com/media/DeL45rzWAAIPBCi.jpg")</f>
        <v/>
      </c>
      <c r="G158" t="s"/>
      <c r="H158" t="s"/>
      <c r="I158" t="s"/>
      <c r="J158" t="n">
        <v>-0.4137</v>
      </c>
      <c r="K158" t="n">
        <v>0.06</v>
      </c>
      <c r="L158" t="n">
        <v>0.9399999999999999</v>
      </c>
      <c r="M158" t="n">
        <v>0</v>
      </c>
    </row>
    <row r="159" spans="1:13">
      <c r="A159" s="1">
        <f>HYPERLINK("http://www.twitter.com/NathanBLawrence/status/1000633828350808064", "1000633828350808064")</f>
        <v/>
      </c>
      <c r="B159" s="2" t="n">
        <v>43247.29479166667</v>
      </c>
      <c r="C159" t="n">
        <v>0</v>
      </c>
      <c r="D159" t="n">
        <v>4</v>
      </c>
      <c r="E159" t="s">
        <v>169</v>
      </c>
      <c r="F159" t="s"/>
      <c r="G159" t="s"/>
      <c r="H159" t="s"/>
      <c r="I159" t="s"/>
      <c r="J159" t="n">
        <v>-0.9370000000000001</v>
      </c>
      <c r="K159" t="n">
        <v>0.431</v>
      </c>
      <c r="L159" t="n">
        <v>0.569</v>
      </c>
      <c r="M159" t="n">
        <v>0</v>
      </c>
    </row>
    <row r="160" spans="1:13">
      <c r="A160" s="1">
        <f>HYPERLINK("http://www.twitter.com/NathanBLawrence/status/1000633813133864960", "1000633813133864960")</f>
        <v/>
      </c>
      <c r="B160" s="2" t="n">
        <v>43247.29474537037</v>
      </c>
      <c r="C160" t="n">
        <v>0</v>
      </c>
      <c r="D160" t="n">
        <v>7</v>
      </c>
      <c r="E160" t="s">
        <v>170</v>
      </c>
      <c r="F160" t="s"/>
      <c r="G160" t="s"/>
      <c r="H160" t="s"/>
      <c r="I160" t="s"/>
      <c r="J160" t="n">
        <v>-0.5411</v>
      </c>
      <c r="K160" t="n">
        <v>0.268</v>
      </c>
      <c r="L160" t="n">
        <v>0.617</v>
      </c>
      <c r="M160" t="n">
        <v>0.115</v>
      </c>
    </row>
    <row r="161" spans="1:13">
      <c r="A161" s="1">
        <f>HYPERLINK("http://www.twitter.com/NathanBLawrence/status/1000633769001353216", "1000633769001353216")</f>
        <v/>
      </c>
      <c r="B161" s="2" t="n">
        <v>43247.29462962963</v>
      </c>
      <c r="C161" t="n">
        <v>0</v>
      </c>
      <c r="D161" t="n">
        <v>9</v>
      </c>
      <c r="E161" t="s">
        <v>171</v>
      </c>
      <c r="F161" t="s"/>
      <c r="G161" t="s"/>
      <c r="H161" t="s"/>
      <c r="I161" t="s"/>
      <c r="J161" t="n">
        <v>0.0772</v>
      </c>
      <c r="K161" t="n">
        <v>0</v>
      </c>
      <c r="L161" t="n">
        <v>0.92</v>
      </c>
      <c r="M161" t="n">
        <v>0.08</v>
      </c>
    </row>
    <row r="162" spans="1:13">
      <c r="A162" s="1">
        <f>HYPERLINK("http://www.twitter.com/NathanBLawrence/status/1000633762194055169", "1000633762194055169")</f>
        <v/>
      </c>
      <c r="B162" s="2" t="n">
        <v>43247.29460648148</v>
      </c>
      <c r="C162" t="n">
        <v>0</v>
      </c>
      <c r="D162" t="n">
        <v>10</v>
      </c>
      <c r="E162" t="s">
        <v>172</v>
      </c>
      <c r="F162" t="s"/>
      <c r="G162" t="s"/>
      <c r="H162" t="s"/>
      <c r="I162" t="s"/>
      <c r="J162" t="n">
        <v>0.3612</v>
      </c>
      <c r="K162" t="n">
        <v>0</v>
      </c>
      <c r="L162" t="n">
        <v>0.865</v>
      </c>
      <c r="M162" t="n">
        <v>0.135</v>
      </c>
    </row>
    <row r="163" spans="1:13">
      <c r="A163" s="1">
        <f>HYPERLINK("http://www.twitter.com/NathanBLawrence/status/1000633626973868032", "1000633626973868032")</f>
        <v/>
      </c>
      <c r="B163" s="2" t="n">
        <v>43247.29423611111</v>
      </c>
      <c r="C163" t="n">
        <v>0</v>
      </c>
      <c r="D163" t="n">
        <v>6</v>
      </c>
      <c r="E163" t="s">
        <v>173</v>
      </c>
      <c r="F163">
        <f>HYPERLINK("http://pbs.twimg.com/media/DeJDaZnX0AE4Hs8.jpg", "http://pbs.twimg.com/media/DeJDaZnX0AE4Hs8.jpg")</f>
        <v/>
      </c>
      <c r="G163" t="s"/>
      <c r="H163" t="s"/>
      <c r="I163" t="s"/>
      <c r="J163" t="n">
        <v>-0.4019</v>
      </c>
      <c r="K163" t="n">
        <v>0.119</v>
      </c>
      <c r="L163" t="n">
        <v>0.881</v>
      </c>
      <c r="M163" t="n">
        <v>0</v>
      </c>
    </row>
    <row r="164" spans="1:13">
      <c r="A164" s="1">
        <f>HYPERLINK("http://www.twitter.com/NathanBLawrence/status/1000633612096688129", "1000633612096688129")</f>
        <v/>
      </c>
      <c r="B164" s="2" t="n">
        <v>43247.29418981481</v>
      </c>
      <c r="C164" t="n">
        <v>0</v>
      </c>
      <c r="D164" t="n">
        <v>7</v>
      </c>
      <c r="E164" t="s">
        <v>174</v>
      </c>
      <c r="F164">
        <f>HYPERLINK("http://pbs.twimg.com/media/DeJEIeRXUAE1BLW.jpg", "http://pbs.twimg.com/media/DeJEIeRXUAE1BLW.jpg")</f>
        <v/>
      </c>
      <c r="G164" t="s"/>
      <c r="H164" t="s"/>
      <c r="I164" t="s"/>
      <c r="J164" t="n">
        <v>0.3818</v>
      </c>
      <c r="K164" t="n">
        <v>0</v>
      </c>
      <c r="L164" t="n">
        <v>0.843</v>
      </c>
      <c r="M164" t="n">
        <v>0.157</v>
      </c>
    </row>
    <row r="165" spans="1:13">
      <c r="A165" s="1">
        <f>HYPERLINK("http://www.twitter.com/NathanBLawrence/status/1000633592257634304", "1000633592257634304")</f>
        <v/>
      </c>
      <c r="B165" s="2" t="n">
        <v>43247.29413194444</v>
      </c>
      <c r="C165" t="n">
        <v>0</v>
      </c>
      <c r="D165" t="n">
        <v>5</v>
      </c>
      <c r="E165" t="s">
        <v>175</v>
      </c>
      <c r="F165" t="s"/>
      <c r="G165" t="s"/>
      <c r="H165" t="s"/>
      <c r="I165" t="s"/>
      <c r="J165" t="n">
        <v>0</v>
      </c>
      <c r="K165" t="n">
        <v>0</v>
      </c>
      <c r="L165" t="n">
        <v>1</v>
      </c>
      <c r="M165" t="n">
        <v>0</v>
      </c>
    </row>
    <row r="166" spans="1:13">
      <c r="A166" s="1">
        <f>HYPERLINK("http://www.twitter.com/NathanBLawrence/status/1000633541112270848", "1000633541112270848")</f>
        <v/>
      </c>
      <c r="B166" s="2" t="n">
        <v>43247.29399305556</v>
      </c>
      <c r="C166" t="n">
        <v>0</v>
      </c>
      <c r="D166" t="n">
        <v>7</v>
      </c>
      <c r="E166" t="s">
        <v>175</v>
      </c>
      <c r="F166" t="s"/>
      <c r="G166" t="s"/>
      <c r="H166" t="s"/>
      <c r="I166" t="s"/>
      <c r="J166" t="n">
        <v>0</v>
      </c>
      <c r="K166" t="n">
        <v>0</v>
      </c>
      <c r="L166" t="n">
        <v>1</v>
      </c>
      <c r="M166" t="n">
        <v>0</v>
      </c>
    </row>
    <row r="167" spans="1:13">
      <c r="A167" s="1">
        <f>HYPERLINK("http://www.twitter.com/NathanBLawrence/status/1000633490927489024", "1000633490927489024")</f>
        <v/>
      </c>
      <c r="B167" s="2" t="n">
        <v>43247.29385416667</v>
      </c>
      <c r="C167" t="n">
        <v>0</v>
      </c>
      <c r="D167" t="n">
        <v>6</v>
      </c>
      <c r="E167" t="s">
        <v>176</v>
      </c>
      <c r="F167" t="s"/>
      <c r="G167" t="s"/>
      <c r="H167" t="s"/>
      <c r="I167" t="s"/>
      <c r="J167" t="n">
        <v>-0.2732</v>
      </c>
      <c r="K167" t="n">
        <v>0.095</v>
      </c>
      <c r="L167" t="n">
        <v>0.905</v>
      </c>
      <c r="M167" t="n">
        <v>0</v>
      </c>
    </row>
    <row r="168" spans="1:13">
      <c r="A168" s="1">
        <f>HYPERLINK("http://www.twitter.com/NathanBLawrence/status/1000633480668237824", "1000633480668237824")</f>
        <v/>
      </c>
      <c r="B168" s="2" t="n">
        <v>43247.29383101852</v>
      </c>
      <c r="C168" t="n">
        <v>0</v>
      </c>
      <c r="D168" t="n">
        <v>6</v>
      </c>
      <c r="E168" t="s">
        <v>177</v>
      </c>
      <c r="F168">
        <f>HYPERLINK("http://pbs.twimg.com/media/DeJedlmVQAAlYkB.jpg", "http://pbs.twimg.com/media/DeJedlmVQAAlYkB.jpg")</f>
        <v/>
      </c>
      <c r="G168" t="s"/>
      <c r="H168" t="s"/>
      <c r="I168" t="s"/>
      <c r="J168" t="n">
        <v>0.5266999999999999</v>
      </c>
      <c r="K168" t="n">
        <v>0.076</v>
      </c>
      <c r="L168" t="n">
        <v>0.729</v>
      </c>
      <c r="M168" t="n">
        <v>0.194</v>
      </c>
    </row>
    <row r="169" spans="1:13">
      <c r="A169" s="1">
        <f>HYPERLINK("http://www.twitter.com/NathanBLawrence/status/1000633418819031040", "1000633418819031040")</f>
        <v/>
      </c>
      <c r="B169" s="2" t="n">
        <v>43247.2936574074</v>
      </c>
      <c r="C169" t="n">
        <v>0</v>
      </c>
      <c r="D169" t="n">
        <v>5</v>
      </c>
      <c r="E169" t="s">
        <v>175</v>
      </c>
      <c r="F169" t="s"/>
      <c r="G169" t="s"/>
      <c r="H169" t="s"/>
      <c r="I169" t="s"/>
      <c r="J169" t="n">
        <v>0</v>
      </c>
      <c r="K169" t="n">
        <v>0</v>
      </c>
      <c r="L169" t="n">
        <v>1</v>
      </c>
      <c r="M169" t="n">
        <v>0</v>
      </c>
    </row>
    <row r="170" spans="1:13">
      <c r="A170" s="1">
        <f>HYPERLINK("http://www.twitter.com/NathanBLawrence/status/1000633296584429568", "1000633296584429568")</f>
        <v/>
      </c>
      <c r="B170" s="2" t="n">
        <v>43247.29332175926</v>
      </c>
      <c r="C170" t="n">
        <v>0</v>
      </c>
      <c r="D170" t="n">
        <v>2</v>
      </c>
      <c r="E170" t="s">
        <v>178</v>
      </c>
      <c r="F170" t="s"/>
      <c r="G170" t="s"/>
      <c r="H170" t="s"/>
      <c r="I170" t="s"/>
      <c r="J170" t="n">
        <v>0.2023</v>
      </c>
      <c r="K170" t="n">
        <v>0.073</v>
      </c>
      <c r="L170" t="n">
        <v>0.762</v>
      </c>
      <c r="M170" t="n">
        <v>0.166</v>
      </c>
    </row>
    <row r="171" spans="1:13">
      <c r="A171" s="1">
        <f>HYPERLINK("http://www.twitter.com/NathanBLawrence/status/1000633181220016129", "1000633181220016129")</f>
        <v/>
      </c>
      <c r="B171" s="2" t="n">
        <v>43247.29299768519</v>
      </c>
      <c r="C171" t="n">
        <v>0</v>
      </c>
      <c r="D171" t="n">
        <v>8</v>
      </c>
      <c r="E171" t="s">
        <v>179</v>
      </c>
      <c r="F171" t="s"/>
      <c r="G171" t="s"/>
      <c r="H171" t="s"/>
      <c r="I171" t="s"/>
      <c r="J171" t="n">
        <v>0</v>
      </c>
      <c r="K171" t="n">
        <v>0</v>
      </c>
      <c r="L171" t="n">
        <v>1</v>
      </c>
      <c r="M171" t="n">
        <v>0</v>
      </c>
    </row>
    <row r="172" spans="1:13">
      <c r="A172" s="1">
        <f>HYPERLINK("http://www.twitter.com/NathanBLawrence/status/1000633166741241856", "1000633166741241856")</f>
        <v/>
      </c>
      <c r="B172" s="2" t="n">
        <v>43247.29296296297</v>
      </c>
      <c r="C172" t="n">
        <v>0</v>
      </c>
      <c r="D172" t="n">
        <v>3</v>
      </c>
      <c r="E172" t="s">
        <v>180</v>
      </c>
      <c r="F172" t="s"/>
      <c r="G172" t="s"/>
      <c r="H172" t="s"/>
      <c r="I172" t="s"/>
      <c r="J172" t="n">
        <v>-0.296</v>
      </c>
      <c r="K172" t="n">
        <v>0.144</v>
      </c>
      <c r="L172" t="n">
        <v>0.758</v>
      </c>
      <c r="M172" t="n">
        <v>0.098</v>
      </c>
    </row>
    <row r="173" spans="1:13">
      <c r="A173" s="1">
        <f>HYPERLINK("http://www.twitter.com/NathanBLawrence/status/1000632899341824000", "1000632899341824000")</f>
        <v/>
      </c>
      <c r="B173" s="2" t="n">
        <v>43247.29222222222</v>
      </c>
      <c r="C173" t="n">
        <v>0</v>
      </c>
      <c r="D173" t="n">
        <v>7</v>
      </c>
      <c r="E173" t="s">
        <v>181</v>
      </c>
      <c r="F173">
        <f>HYPERLINK("http://pbs.twimg.com/media/DeJGJXsWkAYNzNU.jpg", "http://pbs.twimg.com/media/DeJGJXsWkAYNzNU.jpg")</f>
        <v/>
      </c>
      <c r="G173" t="s"/>
      <c r="H173" t="s"/>
      <c r="I173" t="s"/>
      <c r="J173" t="n">
        <v>0.4919</v>
      </c>
      <c r="K173" t="n">
        <v>0</v>
      </c>
      <c r="L173" t="n">
        <v>0.802</v>
      </c>
      <c r="M173" t="n">
        <v>0.198</v>
      </c>
    </row>
    <row r="174" spans="1:13">
      <c r="A174" s="1">
        <f>HYPERLINK("http://www.twitter.com/NathanBLawrence/status/1000632877707612165", "1000632877707612165")</f>
        <v/>
      </c>
      <c r="B174" s="2" t="n">
        <v>43247.29216435185</v>
      </c>
      <c r="C174" t="n">
        <v>0</v>
      </c>
      <c r="D174" t="n">
        <v>6</v>
      </c>
      <c r="E174" t="s">
        <v>182</v>
      </c>
      <c r="F174">
        <f>HYPERLINK("http://pbs.twimg.com/media/DeKvtl1VAAEwnMP.jpg", "http://pbs.twimg.com/media/DeKvtl1VAAEwnMP.jpg")</f>
        <v/>
      </c>
      <c r="G174" t="s"/>
      <c r="H174" t="s"/>
      <c r="I174" t="s"/>
      <c r="J174" t="n">
        <v>0.5242</v>
      </c>
      <c r="K174" t="n">
        <v>0.082</v>
      </c>
      <c r="L174" t="n">
        <v>0.743</v>
      </c>
      <c r="M174" t="n">
        <v>0.175</v>
      </c>
    </row>
    <row r="175" spans="1:13">
      <c r="A175" s="1">
        <f>HYPERLINK("http://www.twitter.com/NathanBLawrence/status/1000632799471206400", "1000632799471206400")</f>
        <v/>
      </c>
      <c r="B175" s="2" t="n">
        <v>43247.29194444444</v>
      </c>
      <c r="C175" t="n">
        <v>0</v>
      </c>
      <c r="D175" t="n">
        <v>13</v>
      </c>
      <c r="E175" t="s">
        <v>145</v>
      </c>
      <c r="F175" t="s"/>
      <c r="G175" t="s"/>
      <c r="H175" t="s"/>
      <c r="I175" t="s"/>
      <c r="J175" t="n">
        <v>0.6705</v>
      </c>
      <c r="K175" t="n">
        <v>0</v>
      </c>
      <c r="L175" t="n">
        <v>0.732</v>
      </c>
      <c r="M175" t="n">
        <v>0.268</v>
      </c>
    </row>
    <row r="176" spans="1:13">
      <c r="A176" s="1">
        <f>HYPERLINK("http://www.twitter.com/NathanBLawrence/status/1000632774154473472", "1000632774154473472")</f>
        <v/>
      </c>
      <c r="B176" s="2" t="n">
        <v>43247.291875</v>
      </c>
      <c r="C176" t="n">
        <v>0</v>
      </c>
      <c r="D176" t="n">
        <v>8</v>
      </c>
      <c r="E176" t="s">
        <v>183</v>
      </c>
      <c r="F176" t="s"/>
      <c r="G176" t="s"/>
      <c r="H176" t="s"/>
      <c r="I176" t="s"/>
      <c r="J176" t="n">
        <v>0</v>
      </c>
      <c r="K176" t="n">
        <v>0</v>
      </c>
      <c r="L176" t="n">
        <v>1</v>
      </c>
      <c r="M176" t="n">
        <v>0</v>
      </c>
    </row>
    <row r="177" spans="1:13">
      <c r="A177" s="1">
        <f>HYPERLINK("http://www.twitter.com/NathanBLawrence/status/1000632672073539584", "1000632672073539584")</f>
        <v/>
      </c>
      <c r="B177" s="2" t="n">
        <v>43247.29159722223</v>
      </c>
      <c r="C177" t="n">
        <v>0</v>
      </c>
      <c r="D177" t="n">
        <v>10</v>
      </c>
      <c r="E177" t="s">
        <v>184</v>
      </c>
      <c r="F177">
        <f>HYPERLINK("http://pbs.twimg.com/media/DeJ_4GxVAAAKfLQ.jpg", "http://pbs.twimg.com/media/DeJ_4GxVAAAKfLQ.jpg")</f>
        <v/>
      </c>
      <c r="G177" t="s"/>
      <c r="H177" t="s"/>
      <c r="I177" t="s"/>
      <c r="J177" t="n">
        <v>0.5994</v>
      </c>
      <c r="K177" t="n">
        <v>0.101</v>
      </c>
      <c r="L177" t="n">
        <v>0.662</v>
      </c>
      <c r="M177" t="n">
        <v>0.237</v>
      </c>
    </row>
    <row r="178" spans="1:13">
      <c r="A178" s="1">
        <f>HYPERLINK("http://www.twitter.com/NathanBLawrence/status/1000576583130927104", "1000576583130927104")</f>
        <v/>
      </c>
      <c r="B178" s="2" t="n">
        <v>43247.13681712963</v>
      </c>
      <c r="C178" t="n">
        <v>5</v>
      </c>
      <c r="D178" t="n">
        <v>1</v>
      </c>
      <c r="E178" t="s">
        <v>185</v>
      </c>
      <c r="F178" t="s"/>
      <c r="G178" t="s"/>
      <c r="H178" t="s"/>
      <c r="I178" t="s"/>
      <c r="J178" t="n">
        <v>0.7065</v>
      </c>
      <c r="K178" t="n">
        <v>0</v>
      </c>
      <c r="L178" t="n">
        <v>0.847</v>
      </c>
      <c r="M178" t="n">
        <v>0.153</v>
      </c>
    </row>
    <row r="179" spans="1:13">
      <c r="A179" s="1">
        <f>HYPERLINK("http://www.twitter.com/NathanBLawrence/status/1000507220520587265", "1000507220520587265")</f>
        <v/>
      </c>
      <c r="B179" s="2" t="n">
        <v>43246.94541666667</v>
      </c>
      <c r="C179" t="n">
        <v>9</v>
      </c>
      <c r="D179" t="n">
        <v>7</v>
      </c>
      <c r="E179" t="s">
        <v>186</v>
      </c>
      <c r="F179" t="s"/>
      <c r="G179" t="s"/>
      <c r="H179" t="s"/>
      <c r="I179" t="s"/>
      <c r="J179" t="n">
        <v>-0.6767</v>
      </c>
      <c r="K179" t="n">
        <v>0.144</v>
      </c>
      <c r="L179" t="n">
        <v>0.793</v>
      </c>
      <c r="M179" t="n">
        <v>0.063</v>
      </c>
    </row>
    <row r="180" spans="1:13">
      <c r="A180" s="1">
        <f>HYPERLINK("http://www.twitter.com/NathanBLawrence/status/1000506287065624582", "1000506287065624582")</f>
        <v/>
      </c>
      <c r="B180" s="2" t="n">
        <v>43246.94284722222</v>
      </c>
      <c r="C180" t="n">
        <v>12</v>
      </c>
      <c r="D180" t="n">
        <v>8</v>
      </c>
      <c r="E180" t="s">
        <v>187</v>
      </c>
      <c r="F180" t="s"/>
      <c r="G180" t="s"/>
      <c r="H180" t="s"/>
      <c r="I180" t="s"/>
      <c r="J180" t="n">
        <v>-0.6966</v>
      </c>
      <c r="K180" t="n">
        <v>0.145</v>
      </c>
      <c r="L180" t="n">
        <v>0.855</v>
      </c>
      <c r="M180" t="n">
        <v>0</v>
      </c>
    </row>
    <row r="181" spans="1:13">
      <c r="A181" s="1">
        <f>HYPERLINK("http://www.twitter.com/NathanBLawrence/status/1000505917950124032", "1000505917950124032")</f>
        <v/>
      </c>
      <c r="B181" s="2" t="n">
        <v>43246.94181712963</v>
      </c>
      <c r="C181" t="n">
        <v>4</v>
      </c>
      <c r="D181" t="n">
        <v>3</v>
      </c>
      <c r="E181" t="s">
        <v>188</v>
      </c>
      <c r="F181" t="s"/>
      <c r="G181" t="s"/>
      <c r="H181" t="s"/>
      <c r="I181" t="s"/>
      <c r="J181" t="n">
        <v>-0.7003</v>
      </c>
      <c r="K181" t="n">
        <v>0.177</v>
      </c>
      <c r="L181" t="n">
        <v>0.823</v>
      </c>
      <c r="M181" t="n">
        <v>0</v>
      </c>
    </row>
    <row r="182" spans="1:13">
      <c r="A182" s="1">
        <f>HYPERLINK("http://www.twitter.com/NathanBLawrence/status/1000505484506431489", "1000505484506431489")</f>
        <v/>
      </c>
      <c r="B182" s="2" t="n">
        <v>43246.940625</v>
      </c>
      <c r="C182" t="n">
        <v>1</v>
      </c>
      <c r="D182" t="n">
        <v>0</v>
      </c>
      <c r="E182" t="s">
        <v>189</v>
      </c>
      <c r="F182" t="s"/>
      <c r="G182" t="s"/>
      <c r="H182" t="s"/>
      <c r="I182" t="s"/>
      <c r="J182" t="n">
        <v>-0.6705</v>
      </c>
      <c r="K182" t="n">
        <v>0.268</v>
      </c>
      <c r="L182" t="n">
        <v>0.732</v>
      </c>
      <c r="M182" t="n">
        <v>0</v>
      </c>
    </row>
    <row r="183" spans="1:13">
      <c r="A183" s="1">
        <f>HYPERLINK("http://www.twitter.com/NathanBLawrence/status/1000489697288884224", "1000489697288884224")</f>
        <v/>
      </c>
      <c r="B183" s="2" t="n">
        <v>43246.89706018518</v>
      </c>
      <c r="C183" t="n">
        <v>0</v>
      </c>
      <c r="D183" t="n">
        <v>97</v>
      </c>
      <c r="E183" t="s">
        <v>190</v>
      </c>
      <c r="F183" t="s"/>
      <c r="G183" t="s"/>
      <c r="H183" t="s"/>
      <c r="I183" t="s"/>
      <c r="J183" t="n">
        <v>0</v>
      </c>
      <c r="K183" t="n">
        <v>0</v>
      </c>
      <c r="L183" t="n">
        <v>1</v>
      </c>
      <c r="M183" t="n">
        <v>0</v>
      </c>
    </row>
    <row r="184" spans="1:13">
      <c r="A184" s="1">
        <f>HYPERLINK("http://www.twitter.com/NathanBLawrence/status/1000489463301230592", "1000489463301230592")</f>
        <v/>
      </c>
      <c r="B184" s="2" t="n">
        <v>43246.89641203704</v>
      </c>
      <c r="C184" t="n">
        <v>1</v>
      </c>
      <c r="D184" t="n">
        <v>1</v>
      </c>
      <c r="E184" t="s">
        <v>191</v>
      </c>
      <c r="F184" t="s"/>
      <c r="G184" t="s"/>
      <c r="H184" t="s"/>
      <c r="I184" t="s"/>
      <c r="J184" t="n">
        <v>0.3818</v>
      </c>
      <c r="K184" t="n">
        <v>0</v>
      </c>
      <c r="L184" t="n">
        <v>0.865</v>
      </c>
      <c r="M184" t="n">
        <v>0.135</v>
      </c>
    </row>
    <row r="185" spans="1:13">
      <c r="A185" s="1">
        <f>HYPERLINK("http://www.twitter.com/NathanBLawrence/status/1000489412298530816", "1000489412298530816")</f>
        <v/>
      </c>
      <c r="B185" s="2" t="n">
        <v>43246.89627314815</v>
      </c>
      <c r="C185" t="n">
        <v>1</v>
      </c>
      <c r="D185" t="n">
        <v>1</v>
      </c>
      <c r="E185" t="s">
        <v>192</v>
      </c>
      <c r="F185" t="s"/>
      <c r="G185" t="s"/>
      <c r="H185" t="s"/>
      <c r="I185" t="s"/>
      <c r="J185" t="n">
        <v>-0.4364</v>
      </c>
      <c r="K185" t="n">
        <v>0.093</v>
      </c>
      <c r="L185" t="n">
        <v>0.829</v>
      </c>
      <c r="M185" t="n">
        <v>0.078</v>
      </c>
    </row>
    <row r="186" spans="1:13">
      <c r="A186" s="1">
        <f>HYPERLINK("http://www.twitter.com/NathanBLawrence/status/1000488492680515585", "1000488492680515585")</f>
        <v/>
      </c>
      <c r="B186" s="2" t="n">
        <v>43246.89373842593</v>
      </c>
      <c r="C186" t="n">
        <v>1</v>
      </c>
      <c r="D186" t="n">
        <v>1</v>
      </c>
      <c r="E186" t="s">
        <v>193</v>
      </c>
      <c r="F186" t="s"/>
      <c r="G186" t="s"/>
      <c r="H186" t="s"/>
      <c r="I186" t="s"/>
      <c r="J186" t="n">
        <v>-0.5719</v>
      </c>
      <c r="K186" t="n">
        <v>0.121</v>
      </c>
      <c r="L186" t="n">
        <v>0.879</v>
      </c>
      <c r="M186" t="n">
        <v>0</v>
      </c>
    </row>
    <row r="187" spans="1:13">
      <c r="A187" s="1">
        <f>HYPERLINK("http://www.twitter.com/NathanBLawrence/status/1000487460131008512", "1000487460131008512")</f>
        <v/>
      </c>
      <c r="B187" s="2" t="n">
        <v>43246.8908912037</v>
      </c>
      <c r="C187" t="n">
        <v>6</v>
      </c>
      <c r="D187" t="n">
        <v>5</v>
      </c>
      <c r="E187" t="s">
        <v>194</v>
      </c>
      <c r="F187" t="s"/>
      <c r="G187" t="s"/>
      <c r="H187" t="s"/>
      <c r="I187" t="s"/>
      <c r="J187" t="n">
        <v>0.6597</v>
      </c>
      <c r="K187" t="n">
        <v>0.044</v>
      </c>
      <c r="L187" t="n">
        <v>0.801</v>
      </c>
      <c r="M187" t="n">
        <v>0.156</v>
      </c>
    </row>
    <row r="188" spans="1:13">
      <c r="A188" s="1">
        <f>HYPERLINK("http://www.twitter.com/NathanBLawrence/status/1000484036295512064", "1000484036295512064")</f>
        <v/>
      </c>
      <c r="B188" s="2" t="n">
        <v>43246.88144675926</v>
      </c>
      <c r="C188" t="n">
        <v>0</v>
      </c>
      <c r="D188" t="n">
        <v>703</v>
      </c>
      <c r="E188" t="s">
        <v>195</v>
      </c>
      <c r="F188">
        <f>HYPERLINK("https://video.twimg.com/ext_tw_video/1000121094450368512/pu/vid/1280x720/GcEMXV8PdtXlk-en.mp4?tag=3", "https://video.twimg.com/ext_tw_video/1000121094450368512/pu/vid/1280x720/GcEMXV8PdtXlk-en.mp4?tag=3")</f>
        <v/>
      </c>
      <c r="G188" t="s"/>
      <c r="H188" t="s"/>
      <c r="I188" t="s"/>
      <c r="J188" t="n">
        <v>-0.5399</v>
      </c>
      <c r="K188" t="n">
        <v>0.17</v>
      </c>
      <c r="L188" t="n">
        <v>0.83</v>
      </c>
      <c r="M188" t="n">
        <v>0</v>
      </c>
    </row>
    <row r="189" spans="1:13">
      <c r="A189" s="1">
        <f>HYPERLINK("http://www.twitter.com/NathanBLawrence/status/1000483840958353413", "1000483840958353413")</f>
        <v/>
      </c>
      <c r="B189" s="2" t="n">
        <v>43246.88090277778</v>
      </c>
      <c r="C189" t="n">
        <v>0</v>
      </c>
      <c r="D189" t="n">
        <v>95</v>
      </c>
      <c r="E189" t="s">
        <v>196</v>
      </c>
      <c r="F189" t="s"/>
      <c r="G189" t="s"/>
      <c r="H189" t="s"/>
      <c r="I189" t="s"/>
      <c r="J189" t="n">
        <v>-0.6167</v>
      </c>
      <c r="K189" t="n">
        <v>0.16</v>
      </c>
      <c r="L189" t="n">
        <v>0.783</v>
      </c>
      <c r="M189" t="n">
        <v>0.057</v>
      </c>
    </row>
    <row r="190" spans="1:13">
      <c r="A190" s="1">
        <f>HYPERLINK("http://www.twitter.com/NathanBLawrence/status/1000483813032591360", "1000483813032591360")</f>
        <v/>
      </c>
      <c r="B190" s="2" t="n">
        <v>43246.88082175926</v>
      </c>
      <c r="C190" t="n">
        <v>0</v>
      </c>
      <c r="D190" t="n">
        <v>2</v>
      </c>
      <c r="E190" t="s">
        <v>197</v>
      </c>
      <c r="F190" t="s"/>
      <c r="G190" t="s"/>
      <c r="H190" t="s"/>
      <c r="I190" t="s"/>
      <c r="J190" t="n">
        <v>0</v>
      </c>
      <c r="K190" t="n">
        <v>0</v>
      </c>
      <c r="L190" t="n">
        <v>1</v>
      </c>
      <c r="M190" t="n">
        <v>0</v>
      </c>
    </row>
    <row r="191" spans="1:13">
      <c r="A191" s="1">
        <f>HYPERLINK("http://www.twitter.com/NathanBLawrence/status/1000483781189537792", "1000483781189537792")</f>
        <v/>
      </c>
      <c r="B191" s="2" t="n">
        <v>43246.88074074074</v>
      </c>
      <c r="C191" t="n">
        <v>0</v>
      </c>
      <c r="D191" t="n">
        <v>50</v>
      </c>
      <c r="E191" t="s">
        <v>198</v>
      </c>
      <c r="F191">
        <f>HYPERLINK("http://pbs.twimg.com/media/DeJpb8OX0AEm5f7.jpg", "http://pbs.twimg.com/media/DeJpb8OX0AEm5f7.jpg")</f>
        <v/>
      </c>
      <c r="G191" t="s"/>
      <c r="H191" t="s"/>
      <c r="I191" t="s"/>
      <c r="J191" t="n">
        <v>-0.3535</v>
      </c>
      <c r="K191" t="n">
        <v>0.127</v>
      </c>
      <c r="L191" t="n">
        <v>0.873</v>
      </c>
      <c r="M191" t="n">
        <v>0</v>
      </c>
    </row>
    <row r="192" spans="1:13">
      <c r="A192" s="1">
        <f>HYPERLINK("http://www.twitter.com/NathanBLawrence/status/1000483673177718789", "1000483673177718789")</f>
        <v/>
      </c>
      <c r="B192" s="2" t="n">
        <v>43246.88043981481</v>
      </c>
      <c r="C192" t="n">
        <v>2</v>
      </c>
      <c r="D192" t="n">
        <v>1</v>
      </c>
      <c r="E192" t="s">
        <v>199</v>
      </c>
      <c r="F192" t="s"/>
      <c r="G192" t="s"/>
      <c r="H192" t="s"/>
      <c r="I192" t="s"/>
      <c r="J192" t="n">
        <v>-0.1779</v>
      </c>
      <c r="K192" t="n">
        <v>0.121</v>
      </c>
      <c r="L192" t="n">
        <v>0.783</v>
      </c>
      <c r="M192" t="n">
        <v>0.096</v>
      </c>
    </row>
    <row r="193" spans="1:13">
      <c r="A193" s="1">
        <f>HYPERLINK("http://www.twitter.com/NathanBLawrence/status/1000483597504122881", "1000483597504122881")</f>
        <v/>
      </c>
      <c r="B193" s="2" t="n">
        <v>43246.88023148148</v>
      </c>
      <c r="C193" t="n">
        <v>3</v>
      </c>
      <c r="D193" t="n">
        <v>1</v>
      </c>
      <c r="E193" t="s">
        <v>200</v>
      </c>
      <c r="F193" t="s"/>
      <c r="G193" t="s"/>
      <c r="H193" t="s"/>
      <c r="I193" t="s"/>
      <c r="J193" t="n">
        <v>0.5574</v>
      </c>
      <c r="K193" t="n">
        <v>0.048</v>
      </c>
      <c r="L193" t="n">
        <v>0.836</v>
      </c>
      <c r="M193" t="n">
        <v>0.116</v>
      </c>
    </row>
    <row r="194" spans="1:13">
      <c r="A194" s="1">
        <f>HYPERLINK("http://www.twitter.com/NathanBLawrence/status/1000483153214046212", "1000483153214046212")</f>
        <v/>
      </c>
      <c r="B194" s="2" t="n">
        <v>43246.87900462963</v>
      </c>
      <c r="C194" t="n">
        <v>4</v>
      </c>
      <c r="D194" t="n">
        <v>1</v>
      </c>
      <c r="E194" t="s">
        <v>201</v>
      </c>
      <c r="F194" t="s"/>
      <c r="G194" t="s"/>
      <c r="H194" t="s"/>
      <c r="I194" t="s"/>
      <c r="J194" t="n">
        <v>-0.8847</v>
      </c>
      <c r="K194" t="n">
        <v>0.126</v>
      </c>
      <c r="L194" t="n">
        <v>0.874</v>
      </c>
      <c r="M194" t="n">
        <v>0</v>
      </c>
    </row>
    <row r="195" spans="1:13">
      <c r="A195" s="1">
        <f>HYPERLINK("http://www.twitter.com/NathanBLawrence/status/1000482846736310272", "1000482846736310272")</f>
        <v/>
      </c>
      <c r="B195" s="2" t="n">
        <v>43246.87815972222</v>
      </c>
      <c r="C195" t="n">
        <v>2</v>
      </c>
      <c r="D195" t="n">
        <v>1</v>
      </c>
      <c r="E195" t="s">
        <v>202</v>
      </c>
      <c r="F195" t="s"/>
      <c r="G195" t="s"/>
      <c r="H195" t="s"/>
      <c r="I195" t="s"/>
      <c r="J195" t="n">
        <v>-0.8892</v>
      </c>
      <c r="K195" t="n">
        <v>0.211</v>
      </c>
      <c r="L195" t="n">
        <v>0.789</v>
      </c>
      <c r="M195" t="n">
        <v>0</v>
      </c>
    </row>
    <row r="196" spans="1:13">
      <c r="A196" s="1">
        <f>HYPERLINK("http://www.twitter.com/NathanBLawrence/status/1000481659257581569", "1000481659257581569")</f>
        <v/>
      </c>
      <c r="B196" s="2" t="n">
        <v>43246.87488425926</v>
      </c>
      <c r="C196" t="n">
        <v>2</v>
      </c>
      <c r="D196" t="n">
        <v>1</v>
      </c>
      <c r="E196" t="s">
        <v>203</v>
      </c>
      <c r="F196" t="s"/>
      <c r="G196" t="s"/>
      <c r="H196" t="s"/>
      <c r="I196" t="s"/>
      <c r="J196" t="n">
        <v>-0.481</v>
      </c>
      <c r="K196" t="n">
        <v>0.08699999999999999</v>
      </c>
      <c r="L196" t="n">
        <v>0.913</v>
      </c>
      <c r="M196" t="n">
        <v>0</v>
      </c>
    </row>
    <row r="197" spans="1:13">
      <c r="A197" s="1">
        <f>HYPERLINK("http://www.twitter.com/NathanBLawrence/status/1000481535684947971", "1000481535684947971")</f>
        <v/>
      </c>
      <c r="B197" s="2" t="n">
        <v>43246.87453703704</v>
      </c>
      <c r="C197" t="n">
        <v>2</v>
      </c>
      <c r="D197" t="n">
        <v>1</v>
      </c>
      <c r="E197" t="s">
        <v>204</v>
      </c>
      <c r="F197" t="s"/>
      <c r="G197" t="s"/>
      <c r="H197" t="s"/>
      <c r="I197" t="s"/>
      <c r="J197" t="n">
        <v>-0.6901</v>
      </c>
      <c r="K197" t="n">
        <v>0.143</v>
      </c>
      <c r="L197" t="n">
        <v>0.75</v>
      </c>
      <c r="M197" t="n">
        <v>0.107</v>
      </c>
    </row>
    <row r="198" spans="1:13">
      <c r="A198" s="1">
        <f>HYPERLINK("http://www.twitter.com/NathanBLawrence/status/1000481136638857216", "1000481136638857216")</f>
        <v/>
      </c>
      <c r="B198" s="2" t="n">
        <v>43246.8734375</v>
      </c>
      <c r="C198" t="n">
        <v>2</v>
      </c>
      <c r="D198" t="n">
        <v>1</v>
      </c>
      <c r="E198" t="s">
        <v>205</v>
      </c>
      <c r="F198" t="s"/>
      <c r="G198" t="s"/>
      <c r="H198" t="s"/>
      <c r="I198" t="s"/>
      <c r="J198" t="n">
        <v>-0.9395</v>
      </c>
      <c r="K198" t="n">
        <v>0.253</v>
      </c>
      <c r="L198" t="n">
        <v>0.718</v>
      </c>
      <c r="M198" t="n">
        <v>0.029</v>
      </c>
    </row>
    <row r="199" spans="1:13">
      <c r="A199" s="1">
        <f>HYPERLINK("http://www.twitter.com/NathanBLawrence/status/1000480819239182341", "1000480819239182341")</f>
        <v/>
      </c>
      <c r="B199" s="2" t="n">
        <v>43246.87255787037</v>
      </c>
      <c r="C199" t="n">
        <v>2</v>
      </c>
      <c r="D199" t="n">
        <v>1</v>
      </c>
      <c r="E199" t="s">
        <v>206</v>
      </c>
      <c r="F199" t="s"/>
      <c r="G199" t="s"/>
      <c r="H199" t="s"/>
      <c r="I199" t="s"/>
      <c r="J199" t="n">
        <v>-0.7066</v>
      </c>
      <c r="K199" t="n">
        <v>0.126</v>
      </c>
      <c r="L199" t="n">
        <v>0.786</v>
      </c>
      <c r="M199" t="n">
        <v>0.08799999999999999</v>
      </c>
    </row>
    <row r="200" spans="1:13">
      <c r="A200" s="1">
        <f>HYPERLINK("http://www.twitter.com/NathanBLawrence/status/1000480189284016129", "1000480189284016129")</f>
        <v/>
      </c>
      <c r="B200" s="2" t="n">
        <v>43246.87082175926</v>
      </c>
      <c r="C200" t="n">
        <v>2</v>
      </c>
      <c r="D200" t="n">
        <v>1</v>
      </c>
      <c r="E200" t="s">
        <v>207</v>
      </c>
      <c r="F200" t="s"/>
      <c r="G200" t="s"/>
      <c r="H200" t="s"/>
      <c r="I200" t="s"/>
      <c r="J200" t="n">
        <v>0.3071</v>
      </c>
      <c r="K200" t="n">
        <v>0.028</v>
      </c>
      <c r="L200" t="n">
        <v>0.894</v>
      </c>
      <c r="M200" t="n">
        <v>0.078</v>
      </c>
    </row>
    <row r="201" spans="1:13">
      <c r="A201" s="1">
        <f>HYPERLINK("http://www.twitter.com/NathanBLawrence/status/1000479751432220672", "1000479751432220672")</f>
        <v/>
      </c>
      <c r="B201" s="2" t="n">
        <v>43246.86961805556</v>
      </c>
      <c r="C201" t="n">
        <v>2</v>
      </c>
      <c r="D201" t="n">
        <v>1</v>
      </c>
      <c r="E201" t="s">
        <v>208</v>
      </c>
      <c r="F201" t="s"/>
      <c r="G201" t="s"/>
      <c r="H201" t="s"/>
      <c r="I201" t="s"/>
      <c r="J201" t="n">
        <v>0.128</v>
      </c>
      <c r="K201" t="n">
        <v>0.041</v>
      </c>
      <c r="L201" t="n">
        <v>0.871</v>
      </c>
      <c r="M201" t="n">
        <v>0.08799999999999999</v>
      </c>
    </row>
    <row r="202" spans="1:13">
      <c r="A202" s="1">
        <f>HYPERLINK("http://www.twitter.com/NathanBLawrence/status/1000479461249372161", "1000479461249372161")</f>
        <v/>
      </c>
      <c r="B202" s="2" t="n">
        <v>43246.86881944445</v>
      </c>
      <c r="C202" t="n">
        <v>2</v>
      </c>
      <c r="D202" t="n">
        <v>1</v>
      </c>
      <c r="E202" t="s">
        <v>209</v>
      </c>
      <c r="F202" t="s"/>
      <c r="G202" t="s"/>
      <c r="H202" t="s"/>
      <c r="I202" t="s"/>
      <c r="J202" t="n">
        <v>0.34</v>
      </c>
      <c r="K202" t="n">
        <v>0.037</v>
      </c>
      <c r="L202" t="n">
        <v>0.88</v>
      </c>
      <c r="M202" t="n">
        <v>0.082</v>
      </c>
    </row>
    <row r="203" spans="1:13">
      <c r="A203" s="1">
        <f>HYPERLINK("http://www.twitter.com/NathanBLawrence/status/1000479340067422210", "1000479340067422210")</f>
        <v/>
      </c>
      <c r="B203" s="2" t="n">
        <v>43246.86848379629</v>
      </c>
      <c r="C203" t="n">
        <v>3</v>
      </c>
      <c r="D203" t="n">
        <v>1</v>
      </c>
      <c r="E203" t="s">
        <v>210</v>
      </c>
      <c r="F203" t="s"/>
      <c r="G203" t="s"/>
      <c r="H203" t="s"/>
      <c r="I203" t="s"/>
      <c r="J203" t="n">
        <v>0.2023</v>
      </c>
      <c r="K203" t="n">
        <v>0.043</v>
      </c>
      <c r="L203" t="n">
        <v>0.898</v>
      </c>
      <c r="M203" t="n">
        <v>0.059</v>
      </c>
    </row>
    <row r="204" spans="1:13">
      <c r="A204" s="1">
        <f>HYPERLINK("http://www.twitter.com/NathanBLawrence/status/1000476644174417928", "1000476644174417928")</f>
        <v/>
      </c>
      <c r="B204" s="2" t="n">
        <v>43246.86104166666</v>
      </c>
      <c r="C204" t="n">
        <v>2</v>
      </c>
      <c r="D204" t="n">
        <v>1</v>
      </c>
      <c r="E204" t="s">
        <v>211</v>
      </c>
      <c r="F204" t="s"/>
      <c r="G204" t="s"/>
      <c r="H204" t="s"/>
      <c r="I204" t="s"/>
      <c r="J204" t="n">
        <v>0.2815</v>
      </c>
      <c r="K204" t="n">
        <v>0.042</v>
      </c>
      <c r="L204" t="n">
        <v>0.898</v>
      </c>
      <c r="M204" t="n">
        <v>0.06</v>
      </c>
    </row>
    <row r="205" spans="1:13">
      <c r="A205" s="1">
        <f>HYPERLINK("http://www.twitter.com/NathanBLawrence/status/1000476243287072770", "1000476243287072770")</f>
        <v/>
      </c>
      <c r="B205" s="2" t="n">
        <v>43246.85994212963</v>
      </c>
      <c r="C205" t="n">
        <v>2</v>
      </c>
      <c r="D205" t="n">
        <v>1</v>
      </c>
      <c r="E205" t="s">
        <v>212</v>
      </c>
      <c r="F205" t="s"/>
      <c r="G205" t="s"/>
      <c r="H205" t="s"/>
      <c r="I205" t="s"/>
      <c r="J205" t="n">
        <v>0.2732</v>
      </c>
      <c r="K205" t="n">
        <v>0.037</v>
      </c>
      <c r="L205" t="n">
        <v>0.908</v>
      </c>
      <c r="M205" t="n">
        <v>0.055</v>
      </c>
    </row>
    <row r="206" spans="1:13">
      <c r="A206" s="1">
        <f>HYPERLINK("http://www.twitter.com/NathanBLawrence/status/1000472174719848448", "1000472174719848448")</f>
        <v/>
      </c>
      <c r="B206" s="2" t="n">
        <v>43246.8487037037</v>
      </c>
      <c r="C206" t="n">
        <v>4</v>
      </c>
      <c r="D206" t="n">
        <v>1</v>
      </c>
      <c r="E206" t="s">
        <v>213</v>
      </c>
      <c r="F206" t="s"/>
      <c r="G206" t="s"/>
      <c r="H206" t="s"/>
      <c r="I206" t="s"/>
      <c r="J206" t="n">
        <v>-0.8439</v>
      </c>
      <c r="K206" t="n">
        <v>0.165</v>
      </c>
      <c r="L206" t="n">
        <v>0.835</v>
      </c>
      <c r="M206" t="n">
        <v>0</v>
      </c>
    </row>
    <row r="207" spans="1:13">
      <c r="A207" s="1">
        <f>HYPERLINK("http://www.twitter.com/NathanBLawrence/status/1000471667171262464", "1000471667171262464")</f>
        <v/>
      </c>
      <c r="B207" s="2" t="n">
        <v>43246.84730324074</v>
      </c>
      <c r="C207" t="n">
        <v>4</v>
      </c>
      <c r="D207" t="n">
        <v>1</v>
      </c>
      <c r="E207" t="s">
        <v>214</v>
      </c>
      <c r="F207" t="s"/>
      <c r="G207" t="s"/>
      <c r="H207" t="s"/>
      <c r="I207" t="s"/>
      <c r="J207" t="n">
        <v>-0.128</v>
      </c>
      <c r="K207" t="n">
        <v>0.044</v>
      </c>
      <c r="L207" t="n">
        <v>0.92</v>
      </c>
      <c r="M207" t="n">
        <v>0.035</v>
      </c>
    </row>
    <row r="208" spans="1:13">
      <c r="A208" s="1">
        <f>HYPERLINK("http://www.twitter.com/NathanBLawrence/status/1000468039689736193", "1000468039689736193")</f>
        <v/>
      </c>
      <c r="B208" s="2" t="n">
        <v>43246.83730324074</v>
      </c>
      <c r="C208" t="n">
        <v>3</v>
      </c>
      <c r="D208" t="n">
        <v>1</v>
      </c>
      <c r="E208" t="s">
        <v>215</v>
      </c>
      <c r="F208" t="s"/>
      <c r="G208" t="s"/>
      <c r="H208" t="s"/>
      <c r="I208" t="s"/>
      <c r="J208" t="n">
        <v>-0.2263</v>
      </c>
      <c r="K208" t="n">
        <v>0.044</v>
      </c>
      <c r="L208" t="n">
        <v>0.926</v>
      </c>
      <c r="M208" t="n">
        <v>0.03</v>
      </c>
    </row>
    <row r="209" spans="1:13">
      <c r="A209" s="1">
        <f>HYPERLINK("http://www.twitter.com/NathanBLawrence/status/1000467374028488704", "1000467374028488704")</f>
        <v/>
      </c>
      <c r="B209" s="2" t="n">
        <v>43246.83546296296</v>
      </c>
      <c r="C209" t="n">
        <v>5</v>
      </c>
      <c r="D209" t="n">
        <v>3</v>
      </c>
      <c r="E209" t="s">
        <v>216</v>
      </c>
      <c r="F209" t="s"/>
      <c r="G209" t="s"/>
      <c r="H209" t="s"/>
      <c r="I209" t="s"/>
      <c r="J209" t="n">
        <v>0</v>
      </c>
      <c r="K209" t="n">
        <v>0</v>
      </c>
      <c r="L209" t="n">
        <v>1</v>
      </c>
      <c r="M209" t="n">
        <v>0</v>
      </c>
    </row>
    <row r="210" spans="1:13">
      <c r="A210" s="1">
        <f>HYPERLINK("http://www.twitter.com/NathanBLawrence/status/1000467238049271808", "1000467238049271808")</f>
        <v/>
      </c>
      <c r="B210" s="2" t="n">
        <v>43246.83508101852</v>
      </c>
      <c r="C210" t="n">
        <v>4</v>
      </c>
      <c r="D210" t="n">
        <v>2</v>
      </c>
      <c r="E210" t="s">
        <v>217</v>
      </c>
      <c r="F210" t="s"/>
      <c r="G210" t="s"/>
      <c r="H210" t="s"/>
      <c r="I210" t="s"/>
      <c r="J210" t="n">
        <v>0</v>
      </c>
      <c r="K210" t="n">
        <v>0.038</v>
      </c>
      <c r="L210" t="n">
        <v>0.908</v>
      </c>
      <c r="M210" t="n">
        <v>0.055</v>
      </c>
    </row>
    <row r="211" spans="1:13">
      <c r="A211" s="1">
        <f>HYPERLINK("http://www.twitter.com/NathanBLawrence/status/1000466831524683777", "1000466831524683777")</f>
        <v/>
      </c>
      <c r="B211" s="2" t="n">
        <v>43246.83396990741</v>
      </c>
      <c r="C211" t="n">
        <v>1</v>
      </c>
      <c r="D211" t="n">
        <v>1</v>
      </c>
      <c r="E211" t="s">
        <v>218</v>
      </c>
      <c r="F211" t="s"/>
      <c r="G211" t="s"/>
      <c r="H211" t="s"/>
      <c r="I211" t="s"/>
      <c r="J211" t="n">
        <v>-0.4606</v>
      </c>
      <c r="K211" t="n">
        <v>0.065</v>
      </c>
      <c r="L211" t="n">
        <v>0.916</v>
      </c>
      <c r="M211" t="n">
        <v>0.02</v>
      </c>
    </row>
    <row r="212" spans="1:13">
      <c r="A212" s="1">
        <f>HYPERLINK("http://www.twitter.com/NathanBLawrence/status/1000454144367513600", "1000454144367513600")</f>
        <v/>
      </c>
      <c r="B212" s="2" t="n">
        <v>43246.79895833333</v>
      </c>
      <c r="C212" t="n">
        <v>10</v>
      </c>
      <c r="D212" t="n">
        <v>7</v>
      </c>
      <c r="E212" t="s">
        <v>219</v>
      </c>
      <c r="F212" t="s"/>
      <c r="G212" t="s"/>
      <c r="H212" t="s"/>
      <c r="I212" t="s"/>
      <c r="J212" t="n">
        <v>0.8126</v>
      </c>
      <c r="K212" t="n">
        <v>0</v>
      </c>
      <c r="L212" t="n">
        <v>0.847</v>
      </c>
      <c r="M212" t="n">
        <v>0.153</v>
      </c>
    </row>
    <row r="213" spans="1:13">
      <c r="A213" s="1">
        <f>HYPERLINK("http://www.twitter.com/NathanBLawrence/status/1000453746248339456", "1000453746248339456")</f>
        <v/>
      </c>
      <c r="B213" s="2" t="n">
        <v>43246.79785879629</v>
      </c>
      <c r="C213" t="n">
        <v>2</v>
      </c>
      <c r="D213" t="n">
        <v>1</v>
      </c>
      <c r="E213" t="s">
        <v>220</v>
      </c>
      <c r="F213" t="s"/>
      <c r="G213" t="s"/>
      <c r="H213" t="s"/>
      <c r="I213" t="s"/>
      <c r="J213" t="n">
        <v>-0.7003</v>
      </c>
      <c r="K213" t="n">
        <v>0.141</v>
      </c>
      <c r="L213" t="n">
        <v>0.797</v>
      </c>
      <c r="M213" t="n">
        <v>0.062</v>
      </c>
    </row>
    <row r="214" spans="1:13">
      <c r="A214" s="1">
        <f>HYPERLINK("http://www.twitter.com/NathanBLawrence/status/1000453282991656960", "1000453282991656960")</f>
        <v/>
      </c>
      <c r="B214" s="2" t="n">
        <v>43246.79657407408</v>
      </c>
      <c r="C214" t="n">
        <v>2</v>
      </c>
      <c r="D214" t="n">
        <v>1</v>
      </c>
      <c r="E214" t="s">
        <v>221</v>
      </c>
      <c r="F214" t="s"/>
      <c r="G214" t="s"/>
      <c r="H214" t="s"/>
      <c r="I214" t="s"/>
      <c r="J214" t="n">
        <v>-0.7003</v>
      </c>
      <c r="K214" t="n">
        <v>0.122</v>
      </c>
      <c r="L214" t="n">
        <v>0.838</v>
      </c>
      <c r="M214" t="n">
        <v>0.04</v>
      </c>
    </row>
    <row r="215" spans="1:13">
      <c r="A215" s="1">
        <f>HYPERLINK("http://www.twitter.com/NathanBLawrence/status/1000452837841784832", "1000452837841784832")</f>
        <v/>
      </c>
      <c r="B215" s="2" t="n">
        <v>43246.79534722222</v>
      </c>
      <c r="C215" t="n">
        <v>9</v>
      </c>
      <c r="D215" t="n">
        <v>5</v>
      </c>
      <c r="E215" t="s">
        <v>222</v>
      </c>
      <c r="F215" t="s"/>
      <c r="G215" t="s"/>
      <c r="H215" t="s"/>
      <c r="I215" t="s"/>
      <c r="J215" t="n">
        <v>-0.9754</v>
      </c>
      <c r="K215" t="n">
        <v>0.326</v>
      </c>
      <c r="L215" t="n">
        <v>0.651</v>
      </c>
      <c r="M215" t="n">
        <v>0.024</v>
      </c>
    </row>
    <row r="216" spans="1:13">
      <c r="A216" s="1">
        <f>HYPERLINK("http://www.twitter.com/NathanBLawrence/status/1000435727950405632", "1000435727950405632")</f>
        <v/>
      </c>
      <c r="B216" s="2" t="n">
        <v>43246.74813657408</v>
      </c>
      <c r="C216" t="n">
        <v>3</v>
      </c>
      <c r="D216" t="n">
        <v>1</v>
      </c>
      <c r="E216" t="s">
        <v>223</v>
      </c>
      <c r="F216" t="s"/>
      <c r="G216" t="s"/>
      <c r="H216" t="s"/>
      <c r="I216" t="s"/>
      <c r="J216" t="n">
        <v>0.1027</v>
      </c>
      <c r="K216" t="n">
        <v>0.062</v>
      </c>
      <c r="L216" t="n">
        <v>0.866</v>
      </c>
      <c r="M216" t="n">
        <v>0.07199999999999999</v>
      </c>
    </row>
    <row r="217" spans="1:13">
      <c r="A217" s="1">
        <f>HYPERLINK("http://www.twitter.com/NathanBLawrence/status/1000435582458310656", "1000435582458310656")</f>
        <v/>
      </c>
      <c r="B217" s="2" t="n">
        <v>43246.74773148148</v>
      </c>
      <c r="C217" t="n">
        <v>3</v>
      </c>
      <c r="D217" t="n">
        <v>1</v>
      </c>
      <c r="E217" t="s">
        <v>224</v>
      </c>
      <c r="F217" t="s"/>
      <c r="G217" t="s"/>
      <c r="H217" t="s"/>
      <c r="I217" t="s"/>
      <c r="J217" t="n">
        <v>-0.296</v>
      </c>
      <c r="K217" t="n">
        <v>0.034</v>
      </c>
      <c r="L217" t="n">
        <v>0.966</v>
      </c>
      <c r="M217" t="n">
        <v>0</v>
      </c>
    </row>
    <row r="218" spans="1:13">
      <c r="A218" s="1">
        <f>HYPERLINK("http://www.twitter.com/NathanBLawrence/status/1000435318821150720", "1000435318821150720")</f>
        <v/>
      </c>
      <c r="B218" s="2" t="n">
        <v>43246.74700231481</v>
      </c>
      <c r="C218" t="n">
        <v>4</v>
      </c>
      <c r="D218" t="n">
        <v>2</v>
      </c>
      <c r="E218" t="s">
        <v>225</v>
      </c>
      <c r="F218" t="s"/>
      <c r="G218" t="s"/>
      <c r="H218" t="s"/>
      <c r="I218" t="s"/>
      <c r="J218" t="n">
        <v>0.25</v>
      </c>
      <c r="K218" t="n">
        <v>0.021</v>
      </c>
      <c r="L218" t="n">
        <v>0.9429999999999999</v>
      </c>
      <c r="M218" t="n">
        <v>0.036</v>
      </c>
    </row>
    <row r="219" spans="1:13">
      <c r="A219" s="1">
        <f>HYPERLINK("http://www.twitter.com/NathanBLawrence/status/1000408199034482688", "1000408199034482688")</f>
        <v/>
      </c>
      <c r="B219" s="2" t="n">
        <v>43246.67216435185</v>
      </c>
      <c r="C219" t="n">
        <v>0</v>
      </c>
      <c r="D219" t="n">
        <v>9</v>
      </c>
      <c r="E219" t="s">
        <v>226</v>
      </c>
      <c r="F219" t="s"/>
      <c r="G219" t="s"/>
      <c r="H219" t="s"/>
      <c r="I219" t="s"/>
      <c r="J219" t="n">
        <v>0</v>
      </c>
      <c r="K219" t="n">
        <v>0</v>
      </c>
      <c r="L219" t="n">
        <v>1</v>
      </c>
      <c r="M219" t="n">
        <v>0</v>
      </c>
    </row>
    <row r="220" spans="1:13">
      <c r="A220" s="1">
        <f>HYPERLINK("http://www.twitter.com/NathanBLawrence/status/1000408168437108736", "1000408168437108736")</f>
        <v/>
      </c>
      <c r="B220" s="2" t="n">
        <v>43246.67208333333</v>
      </c>
      <c r="C220" t="n">
        <v>0</v>
      </c>
      <c r="D220" t="n">
        <v>8</v>
      </c>
      <c r="E220" t="s">
        <v>227</v>
      </c>
      <c r="F220" t="s"/>
      <c r="G220" t="s"/>
      <c r="H220" t="s"/>
      <c r="I220" t="s"/>
      <c r="J220" t="n">
        <v>0</v>
      </c>
      <c r="K220" t="n">
        <v>0</v>
      </c>
      <c r="L220" t="n">
        <v>1</v>
      </c>
      <c r="M220" t="n">
        <v>0</v>
      </c>
    </row>
    <row r="221" spans="1:13">
      <c r="A221" s="1">
        <f>HYPERLINK("http://www.twitter.com/NathanBLawrence/status/1000408143426408448", "1000408143426408448")</f>
        <v/>
      </c>
      <c r="B221" s="2" t="n">
        <v>43246.67201388889</v>
      </c>
      <c r="C221" t="n">
        <v>0</v>
      </c>
      <c r="D221" t="n">
        <v>8</v>
      </c>
      <c r="E221" t="s">
        <v>228</v>
      </c>
      <c r="F221">
        <f>HYPERLINK("http://pbs.twimg.com/media/DeEVUPqVwAAPCcK.jpg", "http://pbs.twimg.com/media/DeEVUPqVwAAPCcK.jpg")</f>
        <v/>
      </c>
      <c r="G221" t="s"/>
      <c r="H221" t="s"/>
      <c r="I221" t="s"/>
      <c r="J221" t="n">
        <v>0.7717000000000001</v>
      </c>
      <c r="K221" t="n">
        <v>0.049</v>
      </c>
      <c r="L221" t="n">
        <v>0.667</v>
      </c>
      <c r="M221" t="n">
        <v>0.284</v>
      </c>
    </row>
    <row r="222" spans="1:13">
      <c r="A222" s="1">
        <f>HYPERLINK("http://www.twitter.com/NathanBLawrence/status/1000408099197456385", "1000408099197456385")</f>
        <v/>
      </c>
      <c r="B222" s="2" t="n">
        <v>43246.67189814815</v>
      </c>
      <c r="C222" t="n">
        <v>0</v>
      </c>
      <c r="D222" t="n">
        <v>7</v>
      </c>
      <c r="E222" t="s">
        <v>229</v>
      </c>
      <c r="F222" t="s"/>
      <c r="G222" t="s"/>
      <c r="H222" t="s"/>
      <c r="I222" t="s"/>
      <c r="J222" t="n">
        <v>-0.8074</v>
      </c>
      <c r="K222" t="n">
        <v>0.404</v>
      </c>
      <c r="L222" t="n">
        <v>0.43</v>
      </c>
      <c r="M222" t="n">
        <v>0.166</v>
      </c>
    </row>
    <row r="223" spans="1:13">
      <c r="A223" s="1">
        <f>HYPERLINK("http://www.twitter.com/NathanBLawrence/status/1000408077907251200", "1000408077907251200")</f>
        <v/>
      </c>
      <c r="B223" s="2" t="n">
        <v>43246.67184027778</v>
      </c>
      <c r="C223" t="n">
        <v>0</v>
      </c>
      <c r="D223" t="n">
        <v>7</v>
      </c>
      <c r="E223" t="s">
        <v>230</v>
      </c>
      <c r="F223" t="s"/>
      <c r="G223" t="s"/>
      <c r="H223" t="s"/>
      <c r="I223" t="s"/>
      <c r="J223" t="n">
        <v>0.34</v>
      </c>
      <c r="K223" t="n">
        <v>0</v>
      </c>
      <c r="L223" t="n">
        <v>0.897</v>
      </c>
      <c r="M223" t="n">
        <v>0.103</v>
      </c>
    </row>
    <row r="224" spans="1:13">
      <c r="A224" s="1">
        <f>HYPERLINK("http://www.twitter.com/NathanBLawrence/status/1000285368573407232", "1000285368573407232")</f>
        <v/>
      </c>
      <c r="B224" s="2" t="n">
        <v>43246.33321759259</v>
      </c>
      <c r="C224" t="n">
        <v>0</v>
      </c>
      <c r="D224" t="n">
        <v>5</v>
      </c>
      <c r="E224" t="s">
        <v>231</v>
      </c>
      <c r="F224" t="s"/>
      <c r="G224" t="s"/>
      <c r="H224" t="s"/>
      <c r="I224" t="s"/>
      <c r="J224" t="n">
        <v>-0.1531</v>
      </c>
      <c r="K224" t="n">
        <v>0.112</v>
      </c>
      <c r="L224" t="n">
        <v>0.804</v>
      </c>
      <c r="M224" t="n">
        <v>0.08500000000000001</v>
      </c>
    </row>
    <row r="225" spans="1:13">
      <c r="A225" s="1">
        <f>HYPERLINK("http://www.twitter.com/NathanBLawrence/status/1000285289439481856", "1000285289439481856")</f>
        <v/>
      </c>
      <c r="B225" s="2" t="n">
        <v>43246.33300925926</v>
      </c>
      <c r="C225" t="n">
        <v>0</v>
      </c>
      <c r="D225" t="n">
        <v>8</v>
      </c>
      <c r="E225" t="s">
        <v>232</v>
      </c>
      <c r="F225" t="s"/>
      <c r="G225" t="s"/>
      <c r="H225" t="s"/>
      <c r="I225" t="s"/>
      <c r="J225" t="n">
        <v>0</v>
      </c>
      <c r="K225" t="n">
        <v>0</v>
      </c>
      <c r="L225" t="n">
        <v>1</v>
      </c>
      <c r="M225" t="n">
        <v>0</v>
      </c>
    </row>
    <row r="226" spans="1:13">
      <c r="A226" s="1">
        <f>HYPERLINK("http://www.twitter.com/NathanBLawrence/status/1000285270728683521", "1000285270728683521")</f>
        <v/>
      </c>
      <c r="B226" s="2" t="n">
        <v>43246.33295138889</v>
      </c>
      <c r="C226" t="n">
        <v>0</v>
      </c>
      <c r="D226" t="n">
        <v>5</v>
      </c>
      <c r="E226" t="s">
        <v>233</v>
      </c>
      <c r="F226" t="s"/>
      <c r="G226" t="s"/>
      <c r="H226" t="s"/>
      <c r="I226" t="s"/>
      <c r="J226" t="n">
        <v>0</v>
      </c>
      <c r="K226" t="n">
        <v>0</v>
      </c>
      <c r="L226" t="n">
        <v>1</v>
      </c>
      <c r="M226" t="n">
        <v>0</v>
      </c>
    </row>
    <row r="227" spans="1:13">
      <c r="A227" s="1">
        <f>HYPERLINK("http://www.twitter.com/NathanBLawrence/status/1000285234481463298", "1000285234481463298")</f>
        <v/>
      </c>
      <c r="B227" s="2" t="n">
        <v>43246.33284722222</v>
      </c>
      <c r="C227" t="n">
        <v>0</v>
      </c>
      <c r="D227" t="n">
        <v>6</v>
      </c>
      <c r="E227" t="s">
        <v>234</v>
      </c>
      <c r="F227" t="s"/>
      <c r="G227" t="s"/>
      <c r="H227" t="s"/>
      <c r="I227" t="s"/>
      <c r="J227" t="n">
        <v>-0.5994</v>
      </c>
      <c r="K227" t="n">
        <v>0.189</v>
      </c>
      <c r="L227" t="n">
        <v>0.8110000000000001</v>
      </c>
      <c r="M227" t="n">
        <v>0</v>
      </c>
    </row>
    <row r="228" spans="1:13">
      <c r="A228" s="1">
        <f>HYPERLINK("http://www.twitter.com/NathanBLawrence/status/1000285200260194304", "1000285200260194304")</f>
        <v/>
      </c>
      <c r="B228" s="2" t="n">
        <v>43246.33275462963</v>
      </c>
      <c r="C228" t="n">
        <v>0</v>
      </c>
      <c r="D228" t="n">
        <v>7</v>
      </c>
      <c r="E228" t="s">
        <v>235</v>
      </c>
      <c r="F228" t="s"/>
      <c r="G228" t="s"/>
      <c r="H228" t="s"/>
      <c r="I228" t="s"/>
      <c r="J228" t="n">
        <v>0</v>
      </c>
      <c r="K228" t="n">
        <v>0</v>
      </c>
      <c r="L228" t="n">
        <v>1</v>
      </c>
      <c r="M228" t="n">
        <v>0</v>
      </c>
    </row>
    <row r="229" spans="1:13">
      <c r="A229" s="1">
        <f>HYPERLINK("http://www.twitter.com/NathanBLawrence/status/1000285066881327104", "1000285066881327104")</f>
        <v/>
      </c>
      <c r="B229" s="2" t="n">
        <v>43246.33238425926</v>
      </c>
      <c r="C229" t="n">
        <v>0</v>
      </c>
      <c r="D229" t="n">
        <v>8</v>
      </c>
      <c r="E229" t="s">
        <v>236</v>
      </c>
      <c r="F229" t="s"/>
      <c r="G229" t="s"/>
      <c r="H229" t="s"/>
      <c r="I229" t="s"/>
      <c r="J229" t="n">
        <v>0.4019</v>
      </c>
      <c r="K229" t="n">
        <v>0</v>
      </c>
      <c r="L229" t="n">
        <v>0.87</v>
      </c>
      <c r="M229" t="n">
        <v>0.13</v>
      </c>
    </row>
    <row r="230" spans="1:13">
      <c r="A230" s="1">
        <f>HYPERLINK("http://www.twitter.com/NathanBLawrence/status/1000284608179601408", "1000284608179601408")</f>
        <v/>
      </c>
      <c r="B230" s="2" t="n">
        <v>43246.33112268519</v>
      </c>
      <c r="C230" t="n">
        <v>0</v>
      </c>
      <c r="D230" t="n">
        <v>11</v>
      </c>
      <c r="E230" t="s">
        <v>237</v>
      </c>
      <c r="F230">
        <f>HYPERLINK("http://pbs.twimg.com/media/DeEWGC7XUAAJaN2.jpg", "http://pbs.twimg.com/media/DeEWGC7XUAAJaN2.jpg")</f>
        <v/>
      </c>
      <c r="G230" t="s"/>
      <c r="H230" t="s"/>
      <c r="I230" t="s"/>
      <c r="J230" t="n">
        <v>0.4404</v>
      </c>
      <c r="K230" t="n">
        <v>0</v>
      </c>
      <c r="L230" t="n">
        <v>0.861</v>
      </c>
      <c r="M230" t="n">
        <v>0.139</v>
      </c>
    </row>
    <row r="231" spans="1:13">
      <c r="A231" s="1">
        <f>HYPERLINK("http://www.twitter.com/NathanBLawrence/status/1000284121875255296", "1000284121875255296")</f>
        <v/>
      </c>
      <c r="B231" s="2" t="n">
        <v>43246.32978009259</v>
      </c>
      <c r="C231" t="n">
        <v>0</v>
      </c>
      <c r="D231" t="n">
        <v>13</v>
      </c>
      <c r="E231" t="s">
        <v>238</v>
      </c>
      <c r="F231">
        <f>HYPERLINK("http://pbs.twimg.com/media/DeFym4KXcAAh2C1.jpg", "http://pbs.twimg.com/media/DeFym4KXcAAh2C1.jpg")</f>
        <v/>
      </c>
      <c r="G231">
        <f>HYPERLINK("http://pbs.twimg.com/media/DeFym4LWkAUflb3.jpg", "http://pbs.twimg.com/media/DeFym4LWkAUflb3.jpg")</f>
        <v/>
      </c>
      <c r="H231" t="s"/>
      <c r="I231" t="s"/>
      <c r="J231" t="n">
        <v>0</v>
      </c>
      <c r="K231" t="n">
        <v>0</v>
      </c>
      <c r="L231" t="n">
        <v>1</v>
      </c>
      <c r="M231" t="n">
        <v>0</v>
      </c>
    </row>
    <row r="232" spans="1:13">
      <c r="A232" s="1">
        <f>HYPERLINK("http://www.twitter.com/NathanBLawrence/status/1000273004495073281", "1000273004495073281")</f>
        <v/>
      </c>
      <c r="B232" s="2" t="n">
        <v>43246.29910879629</v>
      </c>
      <c r="C232" t="n">
        <v>0</v>
      </c>
      <c r="D232" t="n">
        <v>5</v>
      </c>
      <c r="E232" t="s">
        <v>239</v>
      </c>
      <c r="F232" t="s"/>
      <c r="G232" t="s"/>
      <c r="H232" t="s"/>
      <c r="I232" t="s"/>
      <c r="J232" t="n">
        <v>0.4404</v>
      </c>
      <c r="K232" t="n">
        <v>0</v>
      </c>
      <c r="L232" t="n">
        <v>0.879</v>
      </c>
      <c r="M232" t="n">
        <v>0.121</v>
      </c>
    </row>
    <row r="233" spans="1:13">
      <c r="A233" s="1">
        <f>HYPERLINK("http://www.twitter.com/NathanBLawrence/status/1000272980059049984", "1000272980059049984")</f>
        <v/>
      </c>
      <c r="B233" s="2" t="n">
        <v>43246.29903935185</v>
      </c>
      <c r="C233" t="n">
        <v>0</v>
      </c>
      <c r="D233" t="n">
        <v>25610</v>
      </c>
      <c r="E233" t="s">
        <v>240</v>
      </c>
      <c r="F233" t="s"/>
      <c r="G233" t="s"/>
      <c r="H233" t="s"/>
      <c r="I233" t="s"/>
      <c r="J233" t="n">
        <v>-0.1531</v>
      </c>
      <c r="K233" t="n">
        <v>0.08500000000000001</v>
      </c>
      <c r="L233" t="n">
        <v>0.855</v>
      </c>
      <c r="M233" t="n">
        <v>0.06</v>
      </c>
    </row>
    <row r="234" spans="1:13">
      <c r="A234" s="1">
        <f>HYPERLINK("http://www.twitter.com/NathanBLawrence/status/1000266847764262912", "1000266847764262912")</f>
        <v/>
      </c>
      <c r="B234" s="2" t="n">
        <v>43246.28211805555</v>
      </c>
      <c r="C234" t="n">
        <v>0</v>
      </c>
      <c r="D234" t="n">
        <v>31908</v>
      </c>
      <c r="E234" t="s">
        <v>241</v>
      </c>
      <c r="F234" t="s"/>
      <c r="G234" t="s"/>
      <c r="H234" t="s"/>
      <c r="I234" t="s"/>
      <c r="J234" t="n">
        <v>0.0772</v>
      </c>
      <c r="K234" t="n">
        <v>0.098</v>
      </c>
      <c r="L234" t="n">
        <v>0.792</v>
      </c>
      <c r="M234" t="n">
        <v>0.109</v>
      </c>
    </row>
    <row r="235" spans="1:13">
      <c r="A235" s="1">
        <f>HYPERLINK("http://www.twitter.com/NathanBLawrence/status/1000266246250729472", "1000266246250729472")</f>
        <v/>
      </c>
      <c r="B235" s="2" t="n">
        <v>43246.28045138889</v>
      </c>
      <c r="C235" t="n">
        <v>7</v>
      </c>
      <c r="D235" t="n">
        <v>5</v>
      </c>
      <c r="E235" t="s">
        <v>242</v>
      </c>
      <c r="F235" t="s"/>
      <c r="G235" t="s"/>
      <c r="H235" t="s"/>
      <c r="I235" t="s"/>
      <c r="J235" t="n">
        <v>0.4404</v>
      </c>
      <c r="K235" t="n">
        <v>0</v>
      </c>
      <c r="L235" t="n">
        <v>0.879</v>
      </c>
      <c r="M235" t="n">
        <v>0.121</v>
      </c>
    </row>
    <row r="236" spans="1:13">
      <c r="A236" s="1">
        <f>HYPERLINK("http://www.twitter.com/NathanBLawrence/status/1000265853462548480", "1000265853462548480")</f>
        <v/>
      </c>
      <c r="B236" s="2" t="n">
        <v>43246.279375</v>
      </c>
      <c r="C236" t="n">
        <v>9</v>
      </c>
      <c r="D236" t="n">
        <v>7</v>
      </c>
      <c r="E236" t="s">
        <v>243</v>
      </c>
      <c r="F236" t="s"/>
      <c r="G236" t="s"/>
      <c r="H236" t="s"/>
      <c r="I236" t="s"/>
      <c r="J236" t="n">
        <v>0</v>
      </c>
      <c r="K236" t="n">
        <v>0</v>
      </c>
      <c r="L236" t="n">
        <v>1</v>
      </c>
      <c r="M236" t="n">
        <v>0</v>
      </c>
    </row>
    <row r="237" spans="1:13">
      <c r="A237" s="1">
        <f>HYPERLINK("http://www.twitter.com/NathanBLawrence/status/1000265396304404480", "1000265396304404480")</f>
        <v/>
      </c>
      <c r="B237" s="2" t="n">
        <v>43246.27811342593</v>
      </c>
      <c r="C237" t="n">
        <v>7</v>
      </c>
      <c r="D237" t="n">
        <v>4</v>
      </c>
      <c r="E237" t="s">
        <v>244</v>
      </c>
      <c r="F237" t="s"/>
      <c r="G237" t="s"/>
      <c r="H237" t="s"/>
      <c r="I237" t="s"/>
      <c r="J237" t="n">
        <v>-0.7998</v>
      </c>
      <c r="K237" t="n">
        <v>0.14</v>
      </c>
      <c r="L237" t="n">
        <v>0.837</v>
      </c>
      <c r="M237" t="n">
        <v>0.023</v>
      </c>
    </row>
    <row r="238" spans="1:13">
      <c r="A238" s="1">
        <f>HYPERLINK("http://www.twitter.com/NathanBLawrence/status/1000264598749089792", "1000264598749089792")</f>
        <v/>
      </c>
      <c r="B238" s="2" t="n">
        <v>43246.27591435185</v>
      </c>
      <c r="C238" t="n">
        <v>8</v>
      </c>
      <c r="D238" t="n">
        <v>6</v>
      </c>
      <c r="E238" t="s">
        <v>245</v>
      </c>
      <c r="F238" t="s"/>
      <c r="G238" t="s"/>
      <c r="H238" t="s"/>
      <c r="I238" t="s"/>
      <c r="J238" t="n">
        <v>-0.7269</v>
      </c>
      <c r="K238" t="n">
        <v>0.168</v>
      </c>
      <c r="L238" t="n">
        <v>0.788</v>
      </c>
      <c r="M238" t="n">
        <v>0.044</v>
      </c>
    </row>
    <row r="239" spans="1:13">
      <c r="A239" s="1">
        <f>HYPERLINK("http://www.twitter.com/NathanBLawrence/status/1000264153993547776", "1000264153993547776")</f>
        <v/>
      </c>
      <c r="B239" s="2" t="n">
        <v>43246.27467592592</v>
      </c>
      <c r="C239" t="n">
        <v>1</v>
      </c>
      <c r="D239" t="n">
        <v>0</v>
      </c>
      <c r="E239" t="s">
        <v>246</v>
      </c>
      <c r="F239" t="s"/>
      <c r="G239" t="s"/>
      <c r="H239" t="s"/>
      <c r="I239" t="s"/>
      <c r="J239" t="n">
        <v>-0.8666</v>
      </c>
      <c r="K239" t="n">
        <v>0.307</v>
      </c>
      <c r="L239" t="n">
        <v>0.6929999999999999</v>
      </c>
      <c r="M239" t="n">
        <v>0</v>
      </c>
    </row>
    <row r="240" spans="1:13">
      <c r="A240" s="1">
        <f>HYPERLINK("http://www.twitter.com/NathanBLawrence/status/1000263551389519873", "1000263551389519873")</f>
        <v/>
      </c>
      <c r="B240" s="2" t="n">
        <v>43246.27302083333</v>
      </c>
      <c r="C240" t="n">
        <v>1</v>
      </c>
      <c r="D240" t="n">
        <v>1</v>
      </c>
      <c r="E240" t="s">
        <v>247</v>
      </c>
      <c r="F240" t="s"/>
      <c r="G240" t="s"/>
      <c r="H240" t="s"/>
      <c r="I240" t="s"/>
      <c r="J240" t="n">
        <v>-0.0202</v>
      </c>
      <c r="K240" t="n">
        <v>0.153</v>
      </c>
      <c r="L240" t="n">
        <v>0.697</v>
      </c>
      <c r="M240" t="n">
        <v>0.149</v>
      </c>
    </row>
    <row r="241" spans="1:13">
      <c r="A241" s="1">
        <f>HYPERLINK("http://www.twitter.com/NathanBLawrence/status/1000263282933018624", "1000263282933018624")</f>
        <v/>
      </c>
      <c r="B241" s="2" t="n">
        <v>43246.27228009259</v>
      </c>
      <c r="C241" t="n">
        <v>9</v>
      </c>
      <c r="D241" t="n">
        <v>5</v>
      </c>
      <c r="E241" t="s">
        <v>248</v>
      </c>
      <c r="F241" t="s"/>
      <c r="G241" t="s"/>
      <c r="H241" t="s"/>
      <c r="I241" t="s"/>
      <c r="J241" t="n">
        <v>0</v>
      </c>
      <c r="K241" t="n">
        <v>0</v>
      </c>
      <c r="L241" t="n">
        <v>1</v>
      </c>
      <c r="M241" t="n">
        <v>0</v>
      </c>
    </row>
    <row r="242" spans="1:13">
      <c r="A242" s="1">
        <f>HYPERLINK("http://www.twitter.com/NathanBLawrence/status/1000263199344746496", "1000263199344746496")</f>
        <v/>
      </c>
      <c r="B242" s="2" t="n">
        <v>43246.27204861111</v>
      </c>
      <c r="C242" t="n">
        <v>14</v>
      </c>
      <c r="D242" t="n">
        <v>8</v>
      </c>
      <c r="E242" t="s">
        <v>249</v>
      </c>
      <c r="F242" t="s"/>
      <c r="G242" t="s"/>
      <c r="H242" t="s"/>
      <c r="I242" t="s"/>
      <c r="J242" t="n">
        <v>0</v>
      </c>
      <c r="K242" t="n">
        <v>0</v>
      </c>
      <c r="L242" t="n">
        <v>1</v>
      </c>
      <c r="M242" t="n">
        <v>0</v>
      </c>
    </row>
    <row r="243" spans="1:13">
      <c r="A243" s="1">
        <f>HYPERLINK("http://www.twitter.com/NathanBLawrence/status/1000232644960014337", "1000232644960014337")</f>
        <v/>
      </c>
      <c r="B243" s="2" t="n">
        <v>43246.18773148148</v>
      </c>
      <c r="C243" t="n">
        <v>0</v>
      </c>
      <c r="D243" t="n">
        <v>17</v>
      </c>
      <c r="E243" t="s">
        <v>250</v>
      </c>
      <c r="F243">
        <f>HYPERLINK("https://video.twimg.com/ext_tw_video/1000223166386655235/pu/vid/1280x720/TzdF6aJbQREn87E-.mp4?tag=3", "https://video.twimg.com/ext_tw_video/1000223166386655235/pu/vid/1280x720/TzdF6aJbQREn87E-.mp4?tag=3")</f>
        <v/>
      </c>
      <c r="G243" t="s"/>
      <c r="H243" t="s"/>
      <c r="I243" t="s"/>
      <c r="J243" t="n">
        <v>0</v>
      </c>
      <c r="K243" t="n">
        <v>0</v>
      </c>
      <c r="L243" t="n">
        <v>1</v>
      </c>
      <c r="M243" t="n">
        <v>0</v>
      </c>
    </row>
    <row r="244" spans="1:13">
      <c r="A244" s="1">
        <f>HYPERLINK("http://www.twitter.com/NathanBLawrence/status/1000195993437130752", "1000195993437130752")</f>
        <v/>
      </c>
      <c r="B244" s="2" t="n">
        <v>43246.08659722222</v>
      </c>
      <c r="C244" t="n">
        <v>0</v>
      </c>
      <c r="D244" t="n">
        <v>3</v>
      </c>
      <c r="E244" t="s">
        <v>251</v>
      </c>
      <c r="F244" t="s"/>
      <c r="G244" t="s"/>
      <c r="H244" t="s"/>
      <c r="I244" t="s"/>
      <c r="J244" t="n">
        <v>0.5859</v>
      </c>
      <c r="K244" t="n">
        <v>0.07000000000000001</v>
      </c>
      <c r="L244" t="n">
        <v>0.7</v>
      </c>
      <c r="M244" t="n">
        <v>0.23</v>
      </c>
    </row>
    <row r="245" spans="1:13">
      <c r="A245" s="1">
        <f>HYPERLINK("http://www.twitter.com/NathanBLawrence/status/1000195864982376452", "1000195864982376452")</f>
        <v/>
      </c>
      <c r="B245" s="2" t="n">
        <v>43246.08623842592</v>
      </c>
      <c r="C245" t="n">
        <v>1</v>
      </c>
      <c r="D245" t="n">
        <v>0</v>
      </c>
      <c r="E245" t="s">
        <v>252</v>
      </c>
      <c r="F245" t="s"/>
      <c r="G245" t="s"/>
      <c r="H245" t="s"/>
      <c r="I245" t="s"/>
      <c r="J245" t="n">
        <v>0.0772</v>
      </c>
      <c r="K245" t="n">
        <v>0.08500000000000001</v>
      </c>
      <c r="L245" t="n">
        <v>0.82</v>
      </c>
      <c r="M245" t="n">
        <v>0.095</v>
      </c>
    </row>
    <row r="246" spans="1:13">
      <c r="A246" s="1">
        <f>HYPERLINK("http://www.twitter.com/NathanBLawrence/status/1000174761853571073", "1000174761853571073")</f>
        <v/>
      </c>
      <c r="B246" s="2" t="n">
        <v>43246.02800925926</v>
      </c>
      <c r="C246" t="n">
        <v>0</v>
      </c>
      <c r="D246" t="n">
        <v>8</v>
      </c>
      <c r="E246" t="s">
        <v>253</v>
      </c>
      <c r="F246">
        <f>HYPERLINK("http://pbs.twimg.com/media/DeE1gHxVMAAIm8i.jpg", "http://pbs.twimg.com/media/DeE1gHxVMAAIm8i.jpg")</f>
        <v/>
      </c>
      <c r="G246" t="s"/>
      <c r="H246" t="s"/>
      <c r="I246" t="s"/>
      <c r="J246" t="n">
        <v>0.2732</v>
      </c>
      <c r="K246" t="n">
        <v>0.07000000000000001</v>
      </c>
      <c r="L246" t="n">
        <v>0.804</v>
      </c>
      <c r="M246" t="n">
        <v>0.126</v>
      </c>
    </row>
    <row r="247" spans="1:13">
      <c r="A247" s="1">
        <f>HYPERLINK("http://www.twitter.com/NathanBLawrence/status/1000174739523100672", "1000174739523100672")</f>
        <v/>
      </c>
      <c r="B247" s="2" t="n">
        <v>43246.02793981481</v>
      </c>
      <c r="C247" t="n">
        <v>0</v>
      </c>
      <c r="D247" t="n">
        <v>10</v>
      </c>
      <c r="E247" t="s">
        <v>254</v>
      </c>
      <c r="F247" t="s"/>
      <c r="G247" t="s"/>
      <c r="H247" t="s"/>
      <c r="I247" t="s"/>
      <c r="J247" t="n">
        <v>-0.755</v>
      </c>
      <c r="K247" t="n">
        <v>0.219</v>
      </c>
      <c r="L247" t="n">
        <v>0.781</v>
      </c>
      <c r="M247" t="n">
        <v>0</v>
      </c>
    </row>
    <row r="248" spans="1:13">
      <c r="A248" s="1">
        <f>HYPERLINK("http://www.twitter.com/NathanBLawrence/status/1000163274200178688", "1000163274200178688")</f>
        <v/>
      </c>
      <c r="B248" s="2" t="n">
        <v>43245.99630787037</v>
      </c>
      <c r="C248" t="n">
        <v>2</v>
      </c>
      <c r="D248" t="n">
        <v>1</v>
      </c>
      <c r="E248" t="s">
        <v>255</v>
      </c>
      <c r="F248" t="s"/>
      <c r="G248" t="s"/>
      <c r="H248" t="s"/>
      <c r="I248" t="s"/>
      <c r="J248" t="n">
        <v>0.1779</v>
      </c>
      <c r="K248" t="n">
        <v>0.104</v>
      </c>
      <c r="L248" t="n">
        <v>0.776</v>
      </c>
      <c r="M248" t="n">
        <v>0.12</v>
      </c>
    </row>
    <row r="249" spans="1:13">
      <c r="A249" s="1">
        <f>HYPERLINK("http://www.twitter.com/NathanBLawrence/status/1000138398231859200", "1000138398231859200")</f>
        <v/>
      </c>
      <c r="B249" s="2" t="n">
        <v>43245.92766203704</v>
      </c>
      <c r="C249" t="n">
        <v>0</v>
      </c>
      <c r="D249" t="n">
        <v>0</v>
      </c>
      <c r="E249" t="s">
        <v>256</v>
      </c>
      <c r="F249" t="s"/>
      <c r="G249" t="s"/>
      <c r="H249" t="s"/>
      <c r="I249" t="s"/>
      <c r="J249" t="n">
        <v>-0.6249</v>
      </c>
      <c r="K249" t="n">
        <v>0.23</v>
      </c>
      <c r="L249" t="n">
        <v>0.678</v>
      </c>
      <c r="M249" t="n">
        <v>0.092</v>
      </c>
    </row>
    <row r="250" spans="1:13">
      <c r="A250" s="1">
        <f>HYPERLINK("http://www.twitter.com/NathanBLawrence/status/1000137045287849984", "1000137045287849984")</f>
        <v/>
      </c>
      <c r="B250" s="2" t="n">
        <v>43245.92392361111</v>
      </c>
      <c r="C250" t="n">
        <v>4</v>
      </c>
      <c r="D250" t="n">
        <v>2</v>
      </c>
      <c r="E250" t="s">
        <v>257</v>
      </c>
      <c r="F250" t="s"/>
      <c r="G250" t="s"/>
      <c r="H250" t="s"/>
      <c r="I250" t="s"/>
      <c r="J250" t="n">
        <v>-0.1027</v>
      </c>
      <c r="K250" t="n">
        <v>0.104</v>
      </c>
      <c r="L250" t="n">
        <v>0.805</v>
      </c>
      <c r="M250" t="n">
        <v>0.091</v>
      </c>
    </row>
    <row r="251" spans="1:13">
      <c r="A251" s="1">
        <f>HYPERLINK("http://www.twitter.com/NathanBLawrence/status/1000136078207135746", "1000136078207135746")</f>
        <v/>
      </c>
      <c r="B251" s="2" t="n">
        <v>43245.92126157408</v>
      </c>
      <c r="C251" t="n">
        <v>0</v>
      </c>
      <c r="D251" t="n">
        <v>40</v>
      </c>
      <c r="E251" t="s">
        <v>258</v>
      </c>
      <c r="F251">
        <f>HYPERLINK("http://pbs.twimg.com/media/DeD_gr6W0AA7Lra.jpg", "http://pbs.twimg.com/media/DeD_gr6W0AA7Lra.jpg")</f>
        <v/>
      </c>
      <c r="G251">
        <f>HYPERLINK("http://pbs.twimg.com/media/DeD_gr_W0AApCZf.jpg", "http://pbs.twimg.com/media/DeD_gr_W0AApCZf.jpg")</f>
        <v/>
      </c>
      <c r="H251">
        <f>HYPERLINK("http://pbs.twimg.com/media/DeD_gr4WkAUODDD.jpg", "http://pbs.twimg.com/media/DeD_gr4WkAUODDD.jpg")</f>
        <v/>
      </c>
      <c r="I251" t="s"/>
      <c r="J251" t="n">
        <v>0.7351</v>
      </c>
      <c r="K251" t="n">
        <v>0</v>
      </c>
      <c r="L251" t="n">
        <v>0.733</v>
      </c>
      <c r="M251" t="n">
        <v>0.267</v>
      </c>
    </row>
    <row r="252" spans="1:13">
      <c r="A252" s="1">
        <f>HYPERLINK("http://www.twitter.com/NathanBLawrence/status/1000133821021515776", "1000133821021515776")</f>
        <v/>
      </c>
      <c r="B252" s="2" t="n">
        <v>43245.91503472222</v>
      </c>
      <c r="C252" t="n">
        <v>0</v>
      </c>
      <c r="D252" t="n">
        <v>8</v>
      </c>
      <c r="E252" t="s">
        <v>259</v>
      </c>
      <c r="F252" t="s"/>
      <c r="G252" t="s"/>
      <c r="H252" t="s"/>
      <c r="I252" t="s"/>
      <c r="J252" t="n">
        <v>0.0772</v>
      </c>
      <c r="K252" t="n">
        <v>0</v>
      </c>
      <c r="L252" t="n">
        <v>0.909</v>
      </c>
      <c r="M252" t="n">
        <v>0.091</v>
      </c>
    </row>
    <row r="253" spans="1:13">
      <c r="A253" s="1">
        <f>HYPERLINK("http://www.twitter.com/NathanBLawrence/status/1000131631234125824", "1000131631234125824")</f>
        <v/>
      </c>
      <c r="B253" s="2" t="n">
        <v>43245.90899305556</v>
      </c>
      <c r="C253" t="n">
        <v>0</v>
      </c>
      <c r="D253" t="n">
        <v>15</v>
      </c>
      <c r="E253" t="s">
        <v>260</v>
      </c>
      <c r="F253" t="s"/>
      <c r="G253" t="s"/>
      <c r="H253" t="s"/>
      <c r="I253" t="s"/>
      <c r="J253" t="n">
        <v>0.3595</v>
      </c>
      <c r="K253" t="n">
        <v>0.051</v>
      </c>
      <c r="L253" t="n">
        <v>0.843</v>
      </c>
      <c r="M253" t="n">
        <v>0.106</v>
      </c>
    </row>
    <row r="254" spans="1:13">
      <c r="A254" s="1">
        <f>HYPERLINK("http://www.twitter.com/NathanBLawrence/status/1000129181454426113", "1000129181454426113")</f>
        <v/>
      </c>
      <c r="B254" s="2" t="n">
        <v>43245.9022337963</v>
      </c>
      <c r="C254" t="n">
        <v>0</v>
      </c>
      <c r="D254" t="n">
        <v>11</v>
      </c>
      <c r="E254" t="s">
        <v>261</v>
      </c>
      <c r="F254" t="s"/>
      <c r="G254" t="s"/>
      <c r="H254" t="s"/>
      <c r="I254" t="s"/>
      <c r="J254" t="n">
        <v>-0.4588</v>
      </c>
      <c r="K254" t="n">
        <v>0.13</v>
      </c>
      <c r="L254" t="n">
        <v>0.87</v>
      </c>
      <c r="M254" t="n">
        <v>0</v>
      </c>
    </row>
    <row r="255" spans="1:13">
      <c r="A255" s="1">
        <f>HYPERLINK("http://www.twitter.com/NathanBLawrence/status/1000129170196844544", "1000129170196844544")</f>
        <v/>
      </c>
      <c r="B255" s="2" t="n">
        <v>43245.90219907407</v>
      </c>
      <c r="C255" t="n">
        <v>0</v>
      </c>
      <c r="D255" t="n">
        <v>18</v>
      </c>
      <c r="E255" t="s">
        <v>262</v>
      </c>
      <c r="F255">
        <f>HYPERLINK("http://pbs.twimg.com/media/DeEq2v_WsAATCAV.jpg", "http://pbs.twimg.com/media/DeEq2v_WsAATCAV.jpg")</f>
        <v/>
      </c>
      <c r="G255" t="s"/>
      <c r="H255" t="s"/>
      <c r="I255" t="s"/>
      <c r="J255" t="n">
        <v>-0.4402</v>
      </c>
      <c r="K255" t="n">
        <v>0.157</v>
      </c>
      <c r="L255" t="n">
        <v>0.843</v>
      </c>
      <c r="M255" t="n">
        <v>0</v>
      </c>
    </row>
    <row r="256" spans="1:13">
      <c r="A256" s="1">
        <f>HYPERLINK("http://www.twitter.com/NathanBLawrence/status/1000129155328102401", "1000129155328102401")</f>
        <v/>
      </c>
      <c r="B256" s="2" t="n">
        <v>43245.90215277778</v>
      </c>
      <c r="C256" t="n">
        <v>0</v>
      </c>
      <c r="D256" t="n">
        <v>30</v>
      </c>
      <c r="E256" t="s">
        <v>263</v>
      </c>
      <c r="F256">
        <f>HYPERLINK("http://pbs.twimg.com/media/DeEo5rjVQAAVxrs.jpg", "http://pbs.twimg.com/media/DeEo5rjVQAAVxrs.jpg")</f>
        <v/>
      </c>
      <c r="G256" t="s"/>
      <c r="H256" t="s"/>
      <c r="I256" t="s"/>
      <c r="J256" t="n">
        <v>0.2385</v>
      </c>
      <c r="K256" t="n">
        <v>0.081</v>
      </c>
      <c r="L256" t="n">
        <v>0.802</v>
      </c>
      <c r="M256" t="n">
        <v>0.116</v>
      </c>
    </row>
    <row r="257" spans="1:13">
      <c r="A257" s="1">
        <f>HYPERLINK("http://www.twitter.com/NathanBLawrence/status/1000101383985606660", "1000101383985606660")</f>
        <v/>
      </c>
      <c r="B257" s="2" t="n">
        <v>43245.82552083334</v>
      </c>
      <c r="C257" t="n">
        <v>0</v>
      </c>
      <c r="D257" t="n">
        <v>451</v>
      </c>
      <c r="E257" t="s">
        <v>264</v>
      </c>
      <c r="F257" t="s"/>
      <c r="G257" t="s"/>
      <c r="H257" t="s"/>
      <c r="I257" t="s"/>
      <c r="J257" t="n">
        <v>-0.839</v>
      </c>
      <c r="K257" t="n">
        <v>0.571</v>
      </c>
      <c r="L257" t="n">
        <v>0.429</v>
      </c>
      <c r="M257" t="n">
        <v>0</v>
      </c>
    </row>
    <row r="258" spans="1:13">
      <c r="A258" s="1">
        <f>HYPERLINK("http://www.twitter.com/NathanBLawrence/status/1000101355430862849", "1000101355430862849")</f>
        <v/>
      </c>
      <c r="B258" s="2" t="n">
        <v>43245.82543981481</v>
      </c>
      <c r="C258" t="n">
        <v>0</v>
      </c>
      <c r="D258" t="n">
        <v>1049</v>
      </c>
      <c r="E258" t="s">
        <v>265</v>
      </c>
      <c r="F258">
        <f>HYPERLINK("https://video.twimg.com/amplify_video/999794954695159808/vid/1280x720/1O0p32VHX3HFXv4n.mp4?tag=2", "https://video.twimg.com/amplify_video/999794954695159808/vid/1280x720/1O0p32VHX3HFXv4n.mp4?tag=2")</f>
        <v/>
      </c>
      <c r="G258" t="s"/>
      <c r="H258" t="s"/>
      <c r="I258" t="s"/>
      <c r="J258" t="n">
        <v>-0.0762</v>
      </c>
      <c r="K258" t="n">
        <v>0.053</v>
      </c>
      <c r="L258" t="n">
        <v>0.947</v>
      </c>
      <c r="M258" t="n">
        <v>0</v>
      </c>
    </row>
    <row r="259" spans="1:13">
      <c r="A259" s="1">
        <f>HYPERLINK("http://www.twitter.com/NathanBLawrence/status/1000101307846463488", "1000101307846463488")</f>
        <v/>
      </c>
      <c r="B259" s="2" t="n">
        <v>43245.8253125</v>
      </c>
      <c r="C259" t="n">
        <v>0</v>
      </c>
      <c r="D259" t="n">
        <v>6434</v>
      </c>
      <c r="E259" t="s">
        <v>266</v>
      </c>
      <c r="F259" t="s"/>
      <c r="G259" t="s"/>
      <c r="H259" t="s"/>
      <c r="I259" t="s"/>
      <c r="J259" t="n">
        <v>-0.7823</v>
      </c>
      <c r="K259" t="n">
        <v>0.407</v>
      </c>
      <c r="L259" t="n">
        <v>0.593</v>
      </c>
      <c r="M259" t="n">
        <v>0</v>
      </c>
    </row>
    <row r="260" spans="1:13">
      <c r="A260" s="1">
        <f>HYPERLINK("http://www.twitter.com/NathanBLawrence/status/1000101288733020161", "1000101288733020161")</f>
        <v/>
      </c>
      <c r="B260" s="2" t="n">
        <v>43245.82525462963</v>
      </c>
      <c r="C260" t="n">
        <v>0</v>
      </c>
      <c r="D260" t="n">
        <v>771</v>
      </c>
      <c r="E260" t="s">
        <v>267</v>
      </c>
      <c r="F260" t="s"/>
      <c r="G260" t="s"/>
      <c r="H260" t="s"/>
      <c r="I260" t="s"/>
      <c r="J260" t="n">
        <v>-0.765</v>
      </c>
      <c r="K260" t="n">
        <v>0.409</v>
      </c>
      <c r="L260" t="n">
        <v>0.591</v>
      </c>
      <c r="M260" t="n">
        <v>0</v>
      </c>
    </row>
    <row r="261" spans="1:13">
      <c r="A261" s="1">
        <f>HYPERLINK("http://www.twitter.com/NathanBLawrence/status/1000101269548171264", "1000101269548171264")</f>
        <v/>
      </c>
      <c r="B261" s="2" t="n">
        <v>43245.82520833334</v>
      </c>
      <c r="C261" t="n">
        <v>0</v>
      </c>
      <c r="D261" t="n">
        <v>669</v>
      </c>
      <c r="E261" t="s">
        <v>268</v>
      </c>
      <c r="F261">
        <f>HYPERLINK("https://video.twimg.com/amplify_video/999846155474235392/vid/1280x720/H0_RKg7jydbioKQB.mp4?tag=2", "https://video.twimg.com/amplify_video/999846155474235392/vid/1280x720/H0_RKg7jydbioKQB.mp4?tag=2")</f>
        <v/>
      </c>
      <c r="G261" t="s"/>
      <c r="H261" t="s"/>
      <c r="I261" t="s"/>
      <c r="J261" t="n">
        <v>-0.4404</v>
      </c>
      <c r="K261" t="n">
        <v>0.18</v>
      </c>
      <c r="L261" t="n">
        <v>0.674</v>
      </c>
      <c r="M261" t="n">
        <v>0.146</v>
      </c>
    </row>
    <row r="262" spans="1:13">
      <c r="A262" s="1">
        <f>HYPERLINK("http://www.twitter.com/NathanBLawrence/status/1000101229924581376", "1000101229924581376")</f>
        <v/>
      </c>
      <c r="B262" s="2" t="n">
        <v>43245.82509259259</v>
      </c>
      <c r="C262" t="n">
        <v>0</v>
      </c>
      <c r="D262" t="n">
        <v>658</v>
      </c>
      <c r="E262" t="s">
        <v>269</v>
      </c>
      <c r="F262" t="s"/>
      <c r="G262" t="s"/>
      <c r="H262" t="s"/>
      <c r="I262" t="s"/>
      <c r="J262" t="n">
        <v>0.5719</v>
      </c>
      <c r="K262" t="n">
        <v>0</v>
      </c>
      <c r="L262" t="n">
        <v>0.748</v>
      </c>
      <c r="M262" t="n">
        <v>0.252</v>
      </c>
    </row>
    <row r="263" spans="1:13">
      <c r="A263" s="1">
        <f>HYPERLINK("http://www.twitter.com/NathanBLawrence/status/1000101213730492418", "1000101213730492418")</f>
        <v/>
      </c>
      <c r="B263" s="2" t="n">
        <v>43245.8250462963</v>
      </c>
      <c r="C263" t="n">
        <v>0</v>
      </c>
      <c r="D263" t="n">
        <v>1036</v>
      </c>
      <c r="E263" t="s">
        <v>270</v>
      </c>
      <c r="F263">
        <f>HYPERLINK("http://pbs.twimg.com/media/Dd_BlTGWkAE7CzC.jpg", "http://pbs.twimg.com/media/Dd_BlTGWkAE7CzC.jpg")</f>
        <v/>
      </c>
      <c r="G263">
        <f>HYPERLINK("http://pbs.twimg.com/media/Dd_BrdwW0AUaIzd.jpg", "http://pbs.twimg.com/media/Dd_BrdwW0AUaIzd.jpg")</f>
        <v/>
      </c>
      <c r="H263" t="s"/>
      <c r="I263" t="s"/>
      <c r="J263" t="n">
        <v>0</v>
      </c>
      <c r="K263" t="n">
        <v>0</v>
      </c>
      <c r="L263" t="n">
        <v>1</v>
      </c>
      <c r="M263" t="n">
        <v>0</v>
      </c>
    </row>
    <row r="264" spans="1:13">
      <c r="A264" s="1">
        <f>HYPERLINK("http://www.twitter.com/NathanBLawrence/status/1000101156931166208", "1000101156931166208")</f>
        <v/>
      </c>
      <c r="B264" s="2" t="n">
        <v>43245.82489583334</v>
      </c>
      <c r="C264" t="n">
        <v>0</v>
      </c>
      <c r="D264" t="n">
        <v>609</v>
      </c>
      <c r="E264" t="s">
        <v>271</v>
      </c>
      <c r="F264" t="s"/>
      <c r="G264" t="s"/>
      <c r="H264" t="s"/>
      <c r="I264" t="s"/>
      <c r="J264" t="n">
        <v>0.4767</v>
      </c>
      <c r="K264" t="n">
        <v>0</v>
      </c>
      <c r="L264" t="n">
        <v>0.659</v>
      </c>
      <c r="M264" t="n">
        <v>0.341</v>
      </c>
    </row>
    <row r="265" spans="1:13">
      <c r="A265" s="1">
        <f>HYPERLINK("http://www.twitter.com/NathanBLawrence/status/1000101142775435264", "1000101142775435264")</f>
        <v/>
      </c>
      <c r="B265" s="2" t="n">
        <v>43245.82486111111</v>
      </c>
      <c r="C265" t="n">
        <v>0</v>
      </c>
      <c r="D265" t="n">
        <v>577</v>
      </c>
      <c r="E265" t="s">
        <v>272</v>
      </c>
      <c r="F265" t="s"/>
      <c r="G265" t="s"/>
      <c r="H265" t="s"/>
      <c r="I265" t="s"/>
      <c r="J265" t="n">
        <v>0.4753</v>
      </c>
      <c r="K265" t="n">
        <v>0</v>
      </c>
      <c r="L265" t="n">
        <v>0.694</v>
      </c>
      <c r="M265" t="n">
        <v>0.306</v>
      </c>
    </row>
    <row r="266" spans="1:13">
      <c r="A266" s="1">
        <f>HYPERLINK("http://www.twitter.com/NathanBLawrence/status/1000101130507051008", "1000101130507051008")</f>
        <v/>
      </c>
      <c r="B266" s="2" t="n">
        <v>43245.82482638889</v>
      </c>
      <c r="C266" t="n">
        <v>0</v>
      </c>
      <c r="D266" t="n">
        <v>1999</v>
      </c>
      <c r="E266" t="s">
        <v>273</v>
      </c>
      <c r="F266" t="s"/>
      <c r="G266" t="s"/>
      <c r="H266" t="s"/>
      <c r="I266" t="s"/>
      <c r="J266" t="n">
        <v>-0.5106000000000001</v>
      </c>
      <c r="K266" t="n">
        <v>0.212</v>
      </c>
      <c r="L266" t="n">
        <v>0.788</v>
      </c>
      <c r="M266" t="n">
        <v>0</v>
      </c>
    </row>
    <row r="267" spans="1:13">
      <c r="A267" s="1">
        <f>HYPERLINK("http://www.twitter.com/NathanBLawrence/status/1000101099448209408", "1000101099448209408")</f>
        <v/>
      </c>
      <c r="B267" s="2" t="n">
        <v>43245.8247337963</v>
      </c>
      <c r="C267" t="n">
        <v>0</v>
      </c>
      <c r="D267" t="n">
        <v>587</v>
      </c>
      <c r="E267" t="s">
        <v>274</v>
      </c>
      <c r="F267" t="s"/>
      <c r="G267" t="s"/>
      <c r="H267" t="s"/>
      <c r="I267" t="s"/>
      <c r="J267" t="n">
        <v>-0.25</v>
      </c>
      <c r="K267" t="n">
        <v>0.083</v>
      </c>
      <c r="L267" t="n">
        <v>0.917</v>
      </c>
      <c r="M267" t="n">
        <v>0</v>
      </c>
    </row>
    <row r="268" spans="1:13">
      <c r="A268" s="1">
        <f>HYPERLINK("http://www.twitter.com/NathanBLawrence/status/1000101077864386560", "1000101077864386560")</f>
        <v/>
      </c>
      <c r="B268" s="2" t="n">
        <v>43245.82467592593</v>
      </c>
      <c r="C268" t="n">
        <v>0</v>
      </c>
      <c r="D268" t="n">
        <v>423</v>
      </c>
      <c r="E268" t="s">
        <v>275</v>
      </c>
      <c r="F268" t="s"/>
      <c r="G268" t="s"/>
      <c r="H268" t="s"/>
      <c r="I268" t="s"/>
      <c r="J268" t="n">
        <v>-0.1363</v>
      </c>
      <c r="K268" t="n">
        <v>0.08599999999999999</v>
      </c>
      <c r="L268" t="n">
        <v>0.848</v>
      </c>
      <c r="M268" t="n">
        <v>0.066</v>
      </c>
    </row>
    <row r="269" spans="1:13">
      <c r="A269" s="1">
        <f>HYPERLINK("http://www.twitter.com/NathanBLawrence/status/1000101049141735425", "1000101049141735425")</f>
        <v/>
      </c>
      <c r="B269" s="2" t="n">
        <v>43245.8245949074</v>
      </c>
      <c r="C269" t="n">
        <v>0</v>
      </c>
      <c r="D269" t="n">
        <v>9277</v>
      </c>
      <c r="E269" t="s">
        <v>276</v>
      </c>
      <c r="F269" t="s"/>
      <c r="G269" t="s"/>
      <c r="H269" t="s"/>
      <c r="I269" t="s"/>
      <c r="J269" t="n">
        <v>-0.2235</v>
      </c>
      <c r="K269" t="n">
        <v>0.07000000000000001</v>
      </c>
      <c r="L269" t="n">
        <v>0.93</v>
      </c>
      <c r="M269" t="n">
        <v>0</v>
      </c>
    </row>
    <row r="270" spans="1:13">
      <c r="A270" s="1">
        <f>HYPERLINK("http://www.twitter.com/NathanBLawrence/status/1000101025901154304", "1000101025901154304")</f>
        <v/>
      </c>
      <c r="B270" s="2" t="n">
        <v>43245.82453703704</v>
      </c>
      <c r="C270" t="n">
        <v>1</v>
      </c>
      <c r="D270" t="n">
        <v>0</v>
      </c>
      <c r="E270" t="s">
        <v>277</v>
      </c>
      <c r="F270" t="s"/>
      <c r="G270" t="s"/>
      <c r="H270" t="s"/>
      <c r="I270" t="s"/>
      <c r="J270" t="n">
        <v>-0.7783</v>
      </c>
      <c r="K270" t="n">
        <v>0.286</v>
      </c>
      <c r="L270" t="n">
        <v>0.714</v>
      </c>
      <c r="M270" t="n">
        <v>0</v>
      </c>
    </row>
    <row r="271" spans="1:13">
      <c r="A271" s="1">
        <f>HYPERLINK("http://www.twitter.com/NathanBLawrence/status/1000100648006967298", "1000100648006967298")</f>
        <v/>
      </c>
      <c r="B271" s="2" t="n">
        <v>43245.82349537037</v>
      </c>
      <c r="C271" t="n">
        <v>0</v>
      </c>
      <c r="D271" t="n">
        <v>12310</v>
      </c>
      <c r="E271" t="s">
        <v>278</v>
      </c>
      <c r="F271" t="s"/>
      <c r="G271" t="s"/>
      <c r="H271" t="s"/>
      <c r="I271" t="s"/>
      <c r="J271" t="n">
        <v>0</v>
      </c>
      <c r="K271" t="n">
        <v>0</v>
      </c>
      <c r="L271" t="n">
        <v>1</v>
      </c>
      <c r="M271" t="n">
        <v>0</v>
      </c>
    </row>
    <row r="272" spans="1:13">
      <c r="A272" s="1">
        <f>HYPERLINK("http://www.twitter.com/NathanBLawrence/status/1000100635952451584", "1000100635952451584")</f>
        <v/>
      </c>
      <c r="B272" s="2" t="n">
        <v>43245.82346064815</v>
      </c>
      <c r="C272" t="n">
        <v>0</v>
      </c>
      <c r="D272" t="n">
        <v>182</v>
      </c>
      <c r="E272" t="s">
        <v>279</v>
      </c>
      <c r="F272" t="s"/>
      <c r="G272" t="s"/>
      <c r="H272" t="s"/>
      <c r="I272" t="s"/>
      <c r="J272" t="n">
        <v>0</v>
      </c>
      <c r="K272" t="n">
        <v>0</v>
      </c>
      <c r="L272" t="n">
        <v>1</v>
      </c>
      <c r="M272" t="n">
        <v>0</v>
      </c>
    </row>
    <row r="273" spans="1:13">
      <c r="A273" s="1">
        <f>HYPERLINK("http://www.twitter.com/NathanBLawrence/status/1000100611839414272", "1000100611839414272")</f>
        <v/>
      </c>
      <c r="B273" s="2" t="n">
        <v>43245.8233912037</v>
      </c>
      <c r="C273" t="n">
        <v>0</v>
      </c>
      <c r="D273" t="n">
        <v>0</v>
      </c>
      <c r="E273" t="s">
        <v>280</v>
      </c>
      <c r="F273" t="s"/>
      <c r="G273" t="s"/>
      <c r="H273" t="s"/>
      <c r="I273" t="s"/>
      <c r="J273" t="n">
        <v>-0.5606</v>
      </c>
      <c r="K273" t="n">
        <v>0.19</v>
      </c>
      <c r="L273" t="n">
        <v>0.6830000000000001</v>
      </c>
      <c r="M273" t="n">
        <v>0.127</v>
      </c>
    </row>
    <row r="274" spans="1:13">
      <c r="A274" s="1">
        <f>HYPERLINK("http://www.twitter.com/NathanBLawrence/status/1000100177959686144", "1000100177959686144")</f>
        <v/>
      </c>
      <c r="B274" s="2" t="n">
        <v>43245.82219907407</v>
      </c>
      <c r="C274" t="n">
        <v>0</v>
      </c>
      <c r="D274" t="n">
        <v>34</v>
      </c>
      <c r="E274" t="s">
        <v>281</v>
      </c>
      <c r="F274">
        <f>HYPERLINK("http://pbs.twimg.com/media/DeDs8v4W4AAqgF2.jpg", "http://pbs.twimg.com/media/DeDs8v4W4AAqgF2.jpg")</f>
        <v/>
      </c>
      <c r="G274">
        <f>HYPERLINK("http://pbs.twimg.com/media/DeDs8v5X4AAEe0S.jpg", "http://pbs.twimg.com/media/DeDs8v5X4AAEe0S.jpg")</f>
        <v/>
      </c>
      <c r="H274">
        <f>HYPERLINK("http://pbs.twimg.com/media/DeDs8v2W0AYxRXA.jpg", "http://pbs.twimg.com/media/DeDs8v2W0AYxRXA.jpg")</f>
        <v/>
      </c>
      <c r="I274" t="s"/>
      <c r="J274" t="n">
        <v>0</v>
      </c>
      <c r="K274" t="n">
        <v>0</v>
      </c>
      <c r="L274" t="n">
        <v>1</v>
      </c>
      <c r="M274" t="n">
        <v>0</v>
      </c>
    </row>
    <row r="275" spans="1:13">
      <c r="A275" s="1">
        <f>HYPERLINK("http://www.twitter.com/NathanBLawrence/status/1000100143469875200", "1000100143469875200")</f>
        <v/>
      </c>
      <c r="B275" s="2" t="n">
        <v>43245.82209490741</v>
      </c>
      <c r="C275" t="n">
        <v>0</v>
      </c>
      <c r="D275" t="n">
        <v>665</v>
      </c>
      <c r="E275" t="s">
        <v>282</v>
      </c>
      <c r="F275" t="s"/>
      <c r="G275" t="s"/>
      <c r="H275" t="s"/>
      <c r="I275" t="s"/>
      <c r="J275" t="n">
        <v>-0.9042</v>
      </c>
      <c r="K275" t="n">
        <v>0.449</v>
      </c>
      <c r="L275" t="n">
        <v>0.551</v>
      </c>
      <c r="M275" t="n">
        <v>0</v>
      </c>
    </row>
    <row r="276" spans="1:13">
      <c r="A276" s="1">
        <f>HYPERLINK("http://www.twitter.com/NathanBLawrence/status/1000100132111699969", "1000100132111699969")</f>
        <v/>
      </c>
      <c r="B276" s="2" t="n">
        <v>43245.82207175926</v>
      </c>
      <c r="C276" t="n">
        <v>0</v>
      </c>
      <c r="D276" t="n">
        <v>1027</v>
      </c>
      <c r="E276" t="s">
        <v>283</v>
      </c>
      <c r="F276" t="s"/>
      <c r="G276" t="s"/>
      <c r="H276" t="s"/>
      <c r="I276" t="s"/>
      <c r="J276" t="n">
        <v>0</v>
      </c>
      <c r="K276" t="n">
        <v>0</v>
      </c>
      <c r="L276" t="n">
        <v>1</v>
      </c>
      <c r="M276" t="n">
        <v>0</v>
      </c>
    </row>
    <row r="277" spans="1:13">
      <c r="A277" s="1">
        <f>HYPERLINK("http://www.twitter.com/NathanBLawrence/status/1000100116991180800", "1000100116991180800")</f>
        <v/>
      </c>
      <c r="B277" s="2" t="n">
        <v>43245.82202546296</v>
      </c>
      <c r="C277" t="n">
        <v>0</v>
      </c>
      <c r="D277" t="n">
        <v>218</v>
      </c>
      <c r="E277" t="s">
        <v>284</v>
      </c>
      <c r="F277" t="s"/>
      <c r="G277" t="s"/>
      <c r="H277" t="s"/>
      <c r="I277" t="s"/>
      <c r="J277" t="n">
        <v>0</v>
      </c>
      <c r="K277" t="n">
        <v>0</v>
      </c>
      <c r="L277" t="n">
        <v>1</v>
      </c>
      <c r="M277" t="n">
        <v>0</v>
      </c>
    </row>
    <row r="278" spans="1:13">
      <c r="A278" s="1">
        <f>HYPERLINK("http://www.twitter.com/NathanBLawrence/status/1000100092630663168", "1000100092630663168")</f>
        <v/>
      </c>
      <c r="B278" s="2" t="n">
        <v>43245.82195601852</v>
      </c>
      <c r="C278" t="n">
        <v>0</v>
      </c>
      <c r="D278" t="n">
        <v>296</v>
      </c>
      <c r="E278" t="s">
        <v>285</v>
      </c>
      <c r="F278">
        <f>HYPERLINK("http://pbs.twimg.com/media/DeEDSqUWAAAiElt.jpg", "http://pbs.twimg.com/media/DeEDSqUWAAAiElt.jpg")</f>
        <v/>
      </c>
      <c r="G278" t="s"/>
      <c r="H278" t="s"/>
      <c r="I278" t="s"/>
      <c r="J278" t="n">
        <v>0</v>
      </c>
      <c r="K278" t="n">
        <v>0</v>
      </c>
      <c r="L278" t="n">
        <v>1</v>
      </c>
      <c r="M278" t="n">
        <v>0</v>
      </c>
    </row>
    <row r="279" spans="1:13">
      <c r="A279" s="1">
        <f>HYPERLINK("http://www.twitter.com/NathanBLawrence/status/1000100079083184128", "1000100079083184128")</f>
        <v/>
      </c>
      <c r="B279" s="2" t="n">
        <v>43245.82192129629</v>
      </c>
      <c r="C279" t="n">
        <v>0</v>
      </c>
      <c r="D279" t="n">
        <v>664</v>
      </c>
      <c r="E279" t="s">
        <v>286</v>
      </c>
      <c r="F279" t="s"/>
      <c r="G279" t="s"/>
      <c r="H279" t="s"/>
      <c r="I279" t="s"/>
      <c r="J279" t="n">
        <v>0.7003</v>
      </c>
      <c r="K279" t="n">
        <v>0</v>
      </c>
      <c r="L279" t="n">
        <v>0.764</v>
      </c>
      <c r="M279" t="n">
        <v>0.236</v>
      </c>
    </row>
    <row r="280" spans="1:13">
      <c r="A280" s="1">
        <f>HYPERLINK("http://www.twitter.com/NathanBLawrence/status/1000100067863334913", "1000100067863334913")</f>
        <v/>
      </c>
      <c r="B280" s="2" t="n">
        <v>43245.82188657407</v>
      </c>
      <c r="C280" t="n">
        <v>0</v>
      </c>
      <c r="D280" t="n">
        <v>587</v>
      </c>
      <c r="E280" t="s">
        <v>287</v>
      </c>
      <c r="F280" t="s"/>
      <c r="G280" t="s"/>
      <c r="H280" t="s"/>
      <c r="I280" t="s"/>
      <c r="J280" t="n">
        <v>-0.7983</v>
      </c>
      <c r="K280" t="n">
        <v>0.289</v>
      </c>
      <c r="L280" t="n">
        <v>0.711</v>
      </c>
      <c r="M280" t="n">
        <v>0</v>
      </c>
    </row>
    <row r="281" spans="1:13">
      <c r="A281" s="1">
        <f>HYPERLINK("http://www.twitter.com/NathanBLawrence/status/1000099813923450880", "1000099813923450880")</f>
        <v/>
      </c>
      <c r="B281" s="2" t="n">
        <v>43245.82119212963</v>
      </c>
      <c r="C281" t="n">
        <v>17</v>
      </c>
      <c r="D281" t="n">
        <v>15</v>
      </c>
      <c r="E281" t="s">
        <v>288</v>
      </c>
      <c r="F281" t="s"/>
      <c r="G281" t="s"/>
      <c r="H281" t="s"/>
      <c r="I281" t="s"/>
      <c r="J281" t="n">
        <v>-0.5229</v>
      </c>
      <c r="K281" t="n">
        <v>0.133</v>
      </c>
      <c r="L281" t="n">
        <v>0.8179999999999999</v>
      </c>
      <c r="M281" t="n">
        <v>0.049</v>
      </c>
    </row>
    <row r="282" spans="1:13">
      <c r="A282" s="1">
        <f>HYPERLINK("http://www.twitter.com/NathanBLawrence/status/1000098708288090116", "1000098708288090116")</f>
        <v/>
      </c>
      <c r="B282" s="2" t="n">
        <v>43245.81813657407</v>
      </c>
      <c r="C282" t="n">
        <v>0</v>
      </c>
      <c r="D282" t="n">
        <v>7</v>
      </c>
      <c r="E282" t="s">
        <v>289</v>
      </c>
      <c r="F282">
        <f>HYPERLINK("http://pbs.twimg.com/media/DeEI67rU0AABUEu.jpg", "http://pbs.twimg.com/media/DeEI67rU0AABUEu.jpg")</f>
        <v/>
      </c>
      <c r="G282" t="s"/>
      <c r="H282" t="s"/>
      <c r="I282" t="s"/>
      <c r="J282" t="n">
        <v>0.9098000000000001</v>
      </c>
      <c r="K282" t="n">
        <v>0</v>
      </c>
      <c r="L282" t="n">
        <v>0.59</v>
      </c>
      <c r="M282" t="n">
        <v>0.41</v>
      </c>
    </row>
    <row r="283" spans="1:13">
      <c r="A283" s="1">
        <f>HYPERLINK("http://www.twitter.com/NathanBLawrence/status/1000089299105312768", "1000089299105312768")</f>
        <v/>
      </c>
      <c r="B283" s="2" t="n">
        <v>43245.79217592593</v>
      </c>
      <c r="C283" t="n">
        <v>0</v>
      </c>
      <c r="D283" t="n">
        <v>2964</v>
      </c>
      <c r="E283" t="s">
        <v>290</v>
      </c>
      <c r="F283" t="s"/>
      <c r="G283" t="s"/>
      <c r="H283" t="s"/>
      <c r="I283" t="s"/>
      <c r="J283" t="n">
        <v>-0.25</v>
      </c>
      <c r="K283" t="n">
        <v>0.1</v>
      </c>
      <c r="L283" t="n">
        <v>0.9</v>
      </c>
      <c r="M283" t="n">
        <v>0</v>
      </c>
    </row>
    <row r="284" spans="1:13">
      <c r="A284" s="1">
        <f>HYPERLINK("http://www.twitter.com/NathanBLawrence/status/1000089282466508800", "1000089282466508800")</f>
        <v/>
      </c>
      <c r="B284" s="2" t="n">
        <v>43245.79212962963</v>
      </c>
      <c r="C284" t="n">
        <v>0</v>
      </c>
      <c r="D284" t="n">
        <v>5717</v>
      </c>
      <c r="E284" t="s">
        <v>291</v>
      </c>
      <c r="F284" t="s"/>
      <c r="G284" t="s"/>
      <c r="H284" t="s"/>
      <c r="I284" t="s"/>
      <c r="J284" t="n">
        <v>0.3818</v>
      </c>
      <c r="K284" t="n">
        <v>0</v>
      </c>
      <c r="L284" t="n">
        <v>0.885</v>
      </c>
      <c r="M284" t="n">
        <v>0.115</v>
      </c>
    </row>
    <row r="285" spans="1:13">
      <c r="A285" s="1">
        <f>HYPERLINK("http://www.twitter.com/NathanBLawrence/status/1000089256658907136", "1000089256658907136")</f>
        <v/>
      </c>
      <c r="B285" s="2" t="n">
        <v>43245.79206018519</v>
      </c>
      <c r="C285" t="n">
        <v>0</v>
      </c>
      <c r="D285" t="n">
        <v>3518</v>
      </c>
      <c r="E285" t="s">
        <v>292</v>
      </c>
      <c r="F285" t="s"/>
      <c r="G285" t="s"/>
      <c r="H285" t="s"/>
      <c r="I285" t="s"/>
      <c r="J285" t="n">
        <v>-0.5106000000000001</v>
      </c>
      <c r="K285" t="n">
        <v>0.136</v>
      </c>
      <c r="L285" t="n">
        <v>0.864</v>
      </c>
      <c r="M285" t="n">
        <v>0</v>
      </c>
    </row>
    <row r="286" spans="1:13">
      <c r="A286" s="1">
        <f>HYPERLINK("http://www.twitter.com/NathanBLawrence/status/1000089169010585602", "1000089169010585602")</f>
        <v/>
      </c>
      <c r="B286" s="2" t="n">
        <v>43245.79181712963</v>
      </c>
      <c r="C286" t="n">
        <v>0</v>
      </c>
      <c r="D286" t="n">
        <v>2227</v>
      </c>
      <c r="E286" t="s">
        <v>293</v>
      </c>
      <c r="F286" t="s"/>
      <c r="G286" t="s"/>
      <c r="H286" t="s"/>
      <c r="I286" t="s"/>
      <c r="J286" t="n">
        <v>0.4019</v>
      </c>
      <c r="K286" t="n">
        <v>0</v>
      </c>
      <c r="L286" t="n">
        <v>0.863</v>
      </c>
      <c r="M286" t="n">
        <v>0.137</v>
      </c>
    </row>
    <row r="287" spans="1:13">
      <c r="A287" s="1">
        <f>HYPERLINK("http://www.twitter.com/NathanBLawrence/status/999960945349877760", "999960945349877760")</f>
        <v/>
      </c>
      <c r="B287" s="2" t="n">
        <v>43245.43798611111</v>
      </c>
      <c r="C287" t="n">
        <v>0</v>
      </c>
      <c r="D287" t="n">
        <v>8</v>
      </c>
      <c r="E287" t="s">
        <v>294</v>
      </c>
      <c r="F287" t="s"/>
      <c r="G287" t="s"/>
      <c r="H287" t="s"/>
      <c r="I287" t="s"/>
      <c r="J287" t="n">
        <v>-0.5859</v>
      </c>
      <c r="K287" t="n">
        <v>0.194</v>
      </c>
      <c r="L287" t="n">
        <v>0.806</v>
      </c>
      <c r="M287" t="n">
        <v>0</v>
      </c>
    </row>
    <row r="288" spans="1:13">
      <c r="A288" s="1">
        <f>HYPERLINK("http://www.twitter.com/NathanBLawrence/status/999960923707191296", "999960923707191296")</f>
        <v/>
      </c>
      <c r="B288" s="2" t="n">
        <v>43245.43792824074</v>
      </c>
      <c r="C288" t="n">
        <v>0</v>
      </c>
      <c r="D288" t="n">
        <v>10</v>
      </c>
      <c r="E288" t="s">
        <v>295</v>
      </c>
      <c r="F288" t="s"/>
      <c r="G288" t="s"/>
      <c r="H288" t="s"/>
      <c r="I288" t="s"/>
      <c r="J288" t="n">
        <v>-0.25</v>
      </c>
      <c r="K288" t="n">
        <v>0.08699999999999999</v>
      </c>
      <c r="L288" t="n">
        <v>0.913</v>
      </c>
      <c r="M288" t="n">
        <v>0</v>
      </c>
    </row>
    <row r="289" spans="1:13">
      <c r="A289" s="1">
        <f>HYPERLINK("http://www.twitter.com/NathanBLawrence/status/999883872497090561", "999883872497090561")</f>
        <v/>
      </c>
      <c r="B289" s="2" t="n">
        <v>43245.22530092593</v>
      </c>
      <c r="C289" t="n">
        <v>0</v>
      </c>
      <c r="D289" t="n">
        <v>0</v>
      </c>
      <c r="E289" t="s">
        <v>296</v>
      </c>
      <c r="F289" t="s"/>
      <c r="G289" t="s"/>
      <c r="H289" t="s"/>
      <c r="I289" t="s"/>
      <c r="J289" t="n">
        <v>0</v>
      </c>
      <c r="K289" t="n">
        <v>0</v>
      </c>
      <c r="L289" t="n">
        <v>1</v>
      </c>
      <c r="M289" t="n">
        <v>0</v>
      </c>
    </row>
    <row r="290" spans="1:13">
      <c r="A290" s="1">
        <f>HYPERLINK("http://www.twitter.com/NathanBLawrence/status/999883655840333824", "999883655840333824")</f>
        <v/>
      </c>
      <c r="B290" s="2" t="n">
        <v>43245.22471064814</v>
      </c>
      <c r="C290" t="n">
        <v>0</v>
      </c>
      <c r="D290" t="n">
        <v>77</v>
      </c>
      <c r="E290" t="s">
        <v>297</v>
      </c>
      <c r="F290" t="s"/>
      <c r="G290" t="s"/>
      <c r="H290" t="s"/>
      <c r="I290" t="s"/>
      <c r="J290" t="n">
        <v>0</v>
      </c>
      <c r="K290" t="n">
        <v>0</v>
      </c>
      <c r="L290" t="n">
        <v>1</v>
      </c>
      <c r="M290" t="n">
        <v>0</v>
      </c>
    </row>
    <row r="291" spans="1:13">
      <c r="A291" s="1">
        <f>HYPERLINK("http://www.twitter.com/NathanBLawrence/status/999883600769134597", "999883600769134597")</f>
        <v/>
      </c>
      <c r="B291" s="2" t="n">
        <v>43245.22456018518</v>
      </c>
      <c r="C291" t="n">
        <v>0</v>
      </c>
      <c r="D291" t="n">
        <v>394</v>
      </c>
      <c r="E291" t="s">
        <v>298</v>
      </c>
      <c r="F291" t="s"/>
      <c r="G291" t="s"/>
      <c r="H291" t="s"/>
      <c r="I291" t="s"/>
      <c r="J291" t="n">
        <v>0</v>
      </c>
      <c r="K291" t="n">
        <v>0</v>
      </c>
      <c r="L291" t="n">
        <v>1</v>
      </c>
      <c r="M291" t="n">
        <v>0</v>
      </c>
    </row>
    <row r="292" spans="1:13">
      <c r="A292" s="1">
        <f>HYPERLINK("http://www.twitter.com/NathanBLawrence/status/999883580049317888", "999883580049317888")</f>
        <v/>
      </c>
      <c r="B292" s="2" t="n">
        <v>43245.22450231481</v>
      </c>
      <c r="C292" t="n">
        <v>0</v>
      </c>
      <c r="D292" t="n">
        <v>261</v>
      </c>
      <c r="E292" t="s">
        <v>299</v>
      </c>
      <c r="F292" t="s"/>
      <c r="G292" t="s"/>
      <c r="H292" t="s"/>
      <c r="I292" t="s"/>
      <c r="J292" t="n">
        <v>0.0624</v>
      </c>
      <c r="K292" t="n">
        <v>0.127</v>
      </c>
      <c r="L292" t="n">
        <v>0.732</v>
      </c>
      <c r="M292" t="n">
        <v>0.141</v>
      </c>
    </row>
    <row r="293" spans="1:13">
      <c r="A293" s="1">
        <f>HYPERLINK("http://www.twitter.com/NathanBLawrence/status/999883561292333057", "999883561292333057")</f>
        <v/>
      </c>
      <c r="B293" s="2" t="n">
        <v>43245.22444444444</v>
      </c>
      <c r="C293" t="n">
        <v>0</v>
      </c>
      <c r="D293" t="n">
        <v>198</v>
      </c>
      <c r="E293" t="s">
        <v>300</v>
      </c>
      <c r="F293" t="s"/>
      <c r="G293" t="s"/>
      <c r="H293" t="s"/>
      <c r="I293" t="s"/>
      <c r="J293" t="n">
        <v>0.4767</v>
      </c>
      <c r="K293" t="n">
        <v>0</v>
      </c>
      <c r="L293" t="n">
        <v>0.846</v>
      </c>
      <c r="M293" t="n">
        <v>0.154</v>
      </c>
    </row>
    <row r="294" spans="1:13">
      <c r="A294" s="1">
        <f>HYPERLINK("http://www.twitter.com/NathanBLawrence/status/999883528882929664", "999883528882929664")</f>
        <v/>
      </c>
      <c r="B294" s="2" t="n">
        <v>43245.22435185185</v>
      </c>
      <c r="C294" t="n">
        <v>0</v>
      </c>
      <c r="D294" t="n">
        <v>260</v>
      </c>
      <c r="E294" t="s">
        <v>301</v>
      </c>
      <c r="F294">
        <f>HYPERLINK("http://pbs.twimg.com/media/Dd4jYozV0AA0e0j.jpg", "http://pbs.twimg.com/media/Dd4jYozV0AA0e0j.jpg")</f>
        <v/>
      </c>
      <c r="G294" t="s"/>
      <c r="H294" t="s"/>
      <c r="I294" t="s"/>
      <c r="J294" t="n">
        <v>0</v>
      </c>
      <c r="K294" t="n">
        <v>0</v>
      </c>
      <c r="L294" t="n">
        <v>1</v>
      </c>
      <c r="M294" t="n">
        <v>0</v>
      </c>
    </row>
    <row r="295" spans="1:13">
      <c r="A295" s="1">
        <f>HYPERLINK("http://www.twitter.com/NathanBLawrence/status/999883510918692864", "999883510918692864")</f>
        <v/>
      </c>
      <c r="B295" s="2" t="n">
        <v>43245.22430555556</v>
      </c>
      <c r="C295" t="n">
        <v>0</v>
      </c>
      <c r="D295" t="n">
        <v>124</v>
      </c>
      <c r="E295" t="s">
        <v>302</v>
      </c>
      <c r="F295" t="s"/>
      <c r="G295" t="s"/>
      <c r="H295" t="s"/>
      <c r="I295" t="s"/>
      <c r="J295" t="n">
        <v>0</v>
      </c>
      <c r="K295" t="n">
        <v>0</v>
      </c>
      <c r="L295" t="n">
        <v>1</v>
      </c>
      <c r="M295" t="n">
        <v>0</v>
      </c>
    </row>
    <row r="296" spans="1:13">
      <c r="A296" s="1">
        <f>HYPERLINK("http://www.twitter.com/NathanBLawrence/status/999883434796269569", "999883434796269569")</f>
        <v/>
      </c>
      <c r="B296" s="2" t="n">
        <v>43245.22409722222</v>
      </c>
      <c r="C296" t="n">
        <v>0</v>
      </c>
      <c r="D296" t="n">
        <v>229</v>
      </c>
      <c r="E296" t="s">
        <v>303</v>
      </c>
      <c r="F296" t="s"/>
      <c r="G296" t="s"/>
      <c r="H296" t="s"/>
      <c r="I296" t="s"/>
      <c r="J296" t="n">
        <v>-0.1082</v>
      </c>
      <c r="K296" t="n">
        <v>0.081</v>
      </c>
      <c r="L296" t="n">
        <v>0.854</v>
      </c>
      <c r="M296" t="n">
        <v>0.064</v>
      </c>
    </row>
    <row r="297" spans="1:13">
      <c r="A297" s="1">
        <f>HYPERLINK("http://www.twitter.com/NathanBLawrence/status/999883419839381504", "999883419839381504")</f>
        <v/>
      </c>
      <c r="B297" s="2" t="n">
        <v>43245.22405092593</v>
      </c>
      <c r="C297" t="n">
        <v>0</v>
      </c>
      <c r="D297" t="n">
        <v>587</v>
      </c>
      <c r="E297" t="s">
        <v>304</v>
      </c>
      <c r="F297" t="s"/>
      <c r="G297" t="s"/>
      <c r="H297" t="s"/>
      <c r="I297" t="s"/>
      <c r="J297" t="n">
        <v>0</v>
      </c>
      <c r="K297" t="n">
        <v>0</v>
      </c>
      <c r="L297" t="n">
        <v>1</v>
      </c>
      <c r="M297" t="n">
        <v>0</v>
      </c>
    </row>
    <row r="298" spans="1:13">
      <c r="A298" s="1">
        <f>HYPERLINK("http://www.twitter.com/NathanBLawrence/status/999883402353377280", "999883402353377280")</f>
        <v/>
      </c>
      <c r="B298" s="2" t="n">
        <v>43245.22400462963</v>
      </c>
      <c r="C298" t="n">
        <v>0</v>
      </c>
      <c r="D298" t="n">
        <v>1272</v>
      </c>
      <c r="E298" t="s">
        <v>305</v>
      </c>
      <c r="F298" t="s"/>
      <c r="G298" t="s"/>
      <c r="H298" t="s"/>
      <c r="I298" t="s"/>
      <c r="J298" t="n">
        <v>-0.296</v>
      </c>
      <c r="K298" t="n">
        <v>0.104</v>
      </c>
      <c r="L298" t="n">
        <v>0.896</v>
      </c>
      <c r="M298" t="n">
        <v>0</v>
      </c>
    </row>
    <row r="299" spans="1:13">
      <c r="A299" s="1">
        <f>HYPERLINK("http://www.twitter.com/NathanBLawrence/status/999883292932390917", "999883292932390917")</f>
        <v/>
      </c>
      <c r="B299" s="2" t="n">
        <v>43245.2237037037</v>
      </c>
      <c r="C299" t="n">
        <v>0</v>
      </c>
      <c r="D299" t="n">
        <v>3545</v>
      </c>
      <c r="E299" t="s">
        <v>306</v>
      </c>
      <c r="F299">
        <f>HYPERLINK("http://pbs.twimg.com/media/Dd-QFFgVwAE_Cst.jpg", "http://pbs.twimg.com/media/Dd-QFFgVwAE_Cst.jpg")</f>
        <v/>
      </c>
      <c r="G299" t="s"/>
      <c r="H299" t="s"/>
      <c r="I299" t="s"/>
      <c r="J299" t="n">
        <v>0.4019</v>
      </c>
      <c r="K299" t="n">
        <v>0</v>
      </c>
      <c r="L299" t="n">
        <v>0.886</v>
      </c>
      <c r="M299" t="n">
        <v>0.114</v>
      </c>
    </row>
    <row r="300" spans="1:13">
      <c r="A300" s="1">
        <f>HYPERLINK("http://www.twitter.com/NathanBLawrence/status/999883233431973894", "999883233431973894")</f>
        <v/>
      </c>
      <c r="B300" s="2" t="n">
        <v>43245.22354166667</v>
      </c>
      <c r="C300" t="n">
        <v>0</v>
      </c>
      <c r="D300" t="n">
        <v>4645</v>
      </c>
      <c r="E300" t="s">
        <v>307</v>
      </c>
      <c r="F300">
        <f>HYPERLINK("https://video.twimg.com/amplify_video/999711440876388353/vid/1280x720/5G9S0JpP3wqmkgks.mp4?tag=2", "https://video.twimg.com/amplify_video/999711440876388353/vid/1280x720/5G9S0JpP3wqmkgks.mp4?tag=2")</f>
        <v/>
      </c>
      <c r="G300" t="s"/>
      <c r="H300" t="s"/>
      <c r="I300" t="s"/>
      <c r="J300" t="n">
        <v>0.7003</v>
      </c>
      <c r="K300" t="n">
        <v>0</v>
      </c>
      <c r="L300" t="n">
        <v>0.655</v>
      </c>
      <c r="M300" t="n">
        <v>0.345</v>
      </c>
    </row>
    <row r="301" spans="1:13">
      <c r="A301" s="1">
        <f>HYPERLINK("http://www.twitter.com/NathanBLawrence/status/999883163185823744", "999883163185823744")</f>
        <v/>
      </c>
      <c r="B301" s="2" t="n">
        <v>43245.2233449074</v>
      </c>
      <c r="C301" t="n">
        <v>0</v>
      </c>
      <c r="D301" t="n">
        <v>84</v>
      </c>
      <c r="E301" t="s">
        <v>308</v>
      </c>
      <c r="F301">
        <f>HYPERLINK("https://video.twimg.com/ext_tw_video/999750411039883264/pu/vid/1280x720/SbjC7o53NWaWzC2G.mp4?tag=3", "https://video.twimg.com/ext_tw_video/999750411039883264/pu/vid/1280x720/SbjC7o53NWaWzC2G.mp4?tag=3")</f>
        <v/>
      </c>
      <c r="G301" t="s"/>
      <c r="H301" t="s"/>
      <c r="I301" t="s"/>
      <c r="J301" t="n">
        <v>0.6037</v>
      </c>
      <c r="K301" t="n">
        <v>0</v>
      </c>
      <c r="L301" t="n">
        <v>0.785</v>
      </c>
      <c r="M301" t="n">
        <v>0.215</v>
      </c>
    </row>
    <row r="302" spans="1:13">
      <c r="A302" s="1">
        <f>HYPERLINK("http://www.twitter.com/NathanBLawrence/status/999883147834671104", "999883147834671104")</f>
        <v/>
      </c>
      <c r="B302" s="2" t="n">
        <v>43245.22331018518</v>
      </c>
      <c r="C302" t="n">
        <v>0</v>
      </c>
      <c r="D302" t="n">
        <v>14</v>
      </c>
      <c r="E302" t="s">
        <v>309</v>
      </c>
      <c r="F302" t="s"/>
      <c r="G302" t="s"/>
      <c r="H302" t="s"/>
      <c r="I302" t="s"/>
      <c r="J302" t="n">
        <v>0.5994</v>
      </c>
      <c r="K302" t="n">
        <v>0</v>
      </c>
      <c r="L302" t="n">
        <v>0.754</v>
      </c>
      <c r="M302" t="n">
        <v>0.246</v>
      </c>
    </row>
    <row r="303" spans="1:13">
      <c r="A303" s="1">
        <f>HYPERLINK("http://www.twitter.com/NathanBLawrence/status/999883088371986433", "999883088371986433")</f>
        <v/>
      </c>
      <c r="B303" s="2" t="n">
        <v>43245.22313657407</v>
      </c>
      <c r="C303" t="n">
        <v>0</v>
      </c>
      <c r="D303" t="n">
        <v>1842</v>
      </c>
      <c r="E303" t="s">
        <v>310</v>
      </c>
      <c r="F303">
        <f>HYPERLINK("http://pbs.twimg.com/media/Dd7V9IVVwAEvwG-.jpg", "http://pbs.twimg.com/media/Dd7V9IVVwAEvwG-.jpg")</f>
        <v/>
      </c>
      <c r="G303" t="s"/>
      <c r="H303" t="s"/>
      <c r="I303" t="s"/>
      <c r="J303" t="n">
        <v>0.3182</v>
      </c>
      <c r="K303" t="n">
        <v>0</v>
      </c>
      <c r="L303" t="n">
        <v>0.881</v>
      </c>
      <c r="M303" t="n">
        <v>0.119</v>
      </c>
    </row>
    <row r="304" spans="1:13">
      <c r="A304" s="1">
        <f>HYPERLINK("http://www.twitter.com/NathanBLawrence/status/999883058378489858", "999883058378489858")</f>
        <v/>
      </c>
      <c r="B304" s="2" t="n">
        <v>43245.22305555556</v>
      </c>
      <c r="C304" t="n">
        <v>0</v>
      </c>
      <c r="D304" t="n">
        <v>5162</v>
      </c>
      <c r="E304" t="s">
        <v>311</v>
      </c>
      <c r="F304" t="s"/>
      <c r="G304" t="s"/>
      <c r="H304" t="s"/>
      <c r="I304" t="s"/>
      <c r="J304" t="n">
        <v>0.7003</v>
      </c>
      <c r="K304" t="n">
        <v>0</v>
      </c>
      <c r="L304" t="n">
        <v>0.756</v>
      </c>
      <c r="M304" t="n">
        <v>0.244</v>
      </c>
    </row>
    <row r="305" spans="1:13">
      <c r="A305" s="1">
        <f>HYPERLINK("http://www.twitter.com/NathanBLawrence/status/999882641556975616", "999882641556975616")</f>
        <v/>
      </c>
      <c r="B305" s="2" t="n">
        <v>43245.22190972222</v>
      </c>
      <c r="C305" t="n">
        <v>0</v>
      </c>
      <c r="D305" t="n">
        <v>1598</v>
      </c>
      <c r="E305" t="s">
        <v>312</v>
      </c>
      <c r="F305">
        <f>HYPERLINK("https://video.twimg.com/amplify_video/999709686567002112/vid/1280x720/1LltGqF7b-kKXym3.mp4?tag=2", "https://video.twimg.com/amplify_video/999709686567002112/vid/1280x720/1LltGqF7b-kKXym3.mp4?tag=2")</f>
        <v/>
      </c>
      <c r="G305" t="s"/>
      <c r="H305" t="s"/>
      <c r="I305" t="s"/>
      <c r="J305" t="n">
        <v>0</v>
      </c>
      <c r="K305" t="n">
        <v>0</v>
      </c>
      <c r="L305" t="n">
        <v>1</v>
      </c>
      <c r="M305" t="n">
        <v>0</v>
      </c>
    </row>
    <row r="306" spans="1:13">
      <c r="A306" s="1">
        <f>HYPERLINK("http://www.twitter.com/NathanBLawrence/status/999882606224162818", "999882606224162818")</f>
        <v/>
      </c>
      <c r="B306" s="2" t="n">
        <v>43245.22180555556</v>
      </c>
      <c r="C306" t="n">
        <v>0</v>
      </c>
      <c r="D306" t="n">
        <v>1112</v>
      </c>
      <c r="E306" t="s">
        <v>313</v>
      </c>
      <c r="F306">
        <f>HYPERLINK("https://video.twimg.com/ext_tw_video/979192307776872449/pu/vid/640x360/_4O3BcvZEh0QpBhz.mp4", "https://video.twimg.com/ext_tw_video/979192307776872449/pu/vid/640x360/_4O3BcvZEh0QpBhz.mp4")</f>
        <v/>
      </c>
      <c r="G306" t="s"/>
      <c r="H306" t="s"/>
      <c r="I306" t="s"/>
      <c r="J306" t="n">
        <v>0</v>
      </c>
      <c r="K306" t="n">
        <v>0</v>
      </c>
      <c r="L306" t="n">
        <v>1</v>
      </c>
      <c r="M306" t="n">
        <v>0</v>
      </c>
    </row>
    <row r="307" spans="1:13">
      <c r="A307" s="1">
        <f>HYPERLINK("http://www.twitter.com/NathanBLawrence/status/999882593364393986", "999882593364393986")</f>
        <v/>
      </c>
      <c r="B307" s="2" t="n">
        <v>43245.22177083333</v>
      </c>
      <c r="C307" t="n">
        <v>0</v>
      </c>
      <c r="D307" t="n">
        <v>337</v>
      </c>
      <c r="E307" t="s">
        <v>314</v>
      </c>
      <c r="F307" t="s"/>
      <c r="G307" t="s"/>
      <c r="H307" t="s"/>
      <c r="I307" t="s"/>
      <c r="J307" t="n">
        <v>0.6486</v>
      </c>
      <c r="K307" t="n">
        <v>0</v>
      </c>
      <c r="L307" t="n">
        <v>0.485</v>
      </c>
      <c r="M307" t="n">
        <v>0.515</v>
      </c>
    </row>
    <row r="308" spans="1:13">
      <c r="A308" s="1">
        <f>HYPERLINK("http://www.twitter.com/NathanBLawrence/status/999882308210475008", "999882308210475008")</f>
        <v/>
      </c>
      <c r="B308" s="2" t="n">
        <v>43245.22098379629</v>
      </c>
      <c r="C308" t="n">
        <v>0</v>
      </c>
      <c r="D308" t="n">
        <v>218</v>
      </c>
      <c r="E308" t="s">
        <v>315</v>
      </c>
      <c r="F308" t="s"/>
      <c r="G308" t="s"/>
      <c r="H308" t="s"/>
      <c r="I308" t="s"/>
      <c r="J308" t="n">
        <v>0</v>
      </c>
      <c r="K308" t="n">
        <v>0</v>
      </c>
      <c r="L308" t="n">
        <v>1</v>
      </c>
      <c r="M308" t="n">
        <v>0</v>
      </c>
    </row>
    <row r="309" spans="1:13">
      <c r="A309" s="1">
        <f>HYPERLINK("http://www.twitter.com/NathanBLawrence/status/999882295350673408", "999882295350673408")</f>
        <v/>
      </c>
      <c r="B309" s="2" t="n">
        <v>43245.22094907407</v>
      </c>
      <c r="C309" t="n">
        <v>0</v>
      </c>
      <c r="D309" t="n">
        <v>147</v>
      </c>
      <c r="E309" t="s">
        <v>316</v>
      </c>
      <c r="F309" t="s"/>
      <c r="G309" t="s"/>
      <c r="H309" t="s"/>
      <c r="I309" t="s"/>
      <c r="J309" t="n">
        <v>-0.4215</v>
      </c>
      <c r="K309" t="n">
        <v>0.177</v>
      </c>
      <c r="L309" t="n">
        <v>0.823</v>
      </c>
      <c r="M309" t="n">
        <v>0</v>
      </c>
    </row>
    <row r="310" spans="1:13">
      <c r="A310" s="1">
        <f>HYPERLINK("http://www.twitter.com/NathanBLawrence/status/999882255752314882", "999882255752314882")</f>
        <v/>
      </c>
      <c r="B310" s="2" t="n">
        <v>43245.22084490741</v>
      </c>
      <c r="C310" t="n">
        <v>0</v>
      </c>
      <c r="D310" t="n">
        <v>710</v>
      </c>
      <c r="E310" t="s">
        <v>317</v>
      </c>
      <c r="F310">
        <f>HYPERLINK("http://pbs.twimg.com/media/Dd_Q2iSXkAERV1w.jpg", "http://pbs.twimg.com/media/Dd_Q2iSXkAERV1w.jpg")</f>
        <v/>
      </c>
      <c r="G310" t="s"/>
      <c r="H310" t="s"/>
      <c r="I310" t="s"/>
      <c r="J310" t="n">
        <v>0.4767</v>
      </c>
      <c r="K310" t="n">
        <v>0</v>
      </c>
      <c r="L310" t="n">
        <v>0.744</v>
      </c>
      <c r="M310" t="n">
        <v>0.256</v>
      </c>
    </row>
    <row r="311" spans="1:13">
      <c r="A311" s="1">
        <f>HYPERLINK("http://www.twitter.com/NathanBLawrence/status/999882200593055745", "999882200593055745")</f>
        <v/>
      </c>
      <c r="B311" s="2" t="n">
        <v>43245.22069444445</v>
      </c>
      <c r="C311" t="n">
        <v>0</v>
      </c>
      <c r="D311" t="n">
        <v>67</v>
      </c>
      <c r="E311" t="s">
        <v>318</v>
      </c>
      <c r="F311" t="s"/>
      <c r="G311" t="s"/>
      <c r="H311" t="s"/>
      <c r="I311" t="s"/>
      <c r="J311" t="n">
        <v>-0.6249</v>
      </c>
      <c r="K311" t="n">
        <v>0.255</v>
      </c>
      <c r="L311" t="n">
        <v>0.745</v>
      </c>
      <c r="M311" t="n">
        <v>0</v>
      </c>
    </row>
    <row r="312" spans="1:13">
      <c r="A312" s="1">
        <f>HYPERLINK("http://www.twitter.com/NathanBLawrence/status/999882146654244864", "999882146654244864")</f>
        <v/>
      </c>
      <c r="B312" s="2" t="n">
        <v>43245.22054398148</v>
      </c>
      <c r="C312" t="n">
        <v>0</v>
      </c>
      <c r="D312" t="n">
        <v>319</v>
      </c>
      <c r="E312" t="s">
        <v>319</v>
      </c>
      <c r="F312">
        <f>HYPERLINK("http://pbs.twimg.com/media/Dd_VNrUV4AAXDII.jpg", "http://pbs.twimg.com/media/Dd_VNrUV4AAXDII.jpg")</f>
        <v/>
      </c>
      <c r="G312">
        <f>HYPERLINK("http://pbs.twimg.com/media/Dd_VrkKV4AAwW7v.jpg", "http://pbs.twimg.com/media/Dd_VrkKV4AAwW7v.jpg")</f>
        <v/>
      </c>
      <c r="H312" t="s"/>
      <c r="I312" t="s"/>
      <c r="J312" t="n">
        <v>0</v>
      </c>
      <c r="K312" t="n">
        <v>0</v>
      </c>
      <c r="L312" t="n">
        <v>1</v>
      </c>
      <c r="M312" t="n">
        <v>0</v>
      </c>
    </row>
    <row r="313" spans="1:13">
      <c r="A313" s="1">
        <f>HYPERLINK("http://www.twitter.com/NathanBLawrence/status/999882121576529921", "999882121576529921")</f>
        <v/>
      </c>
      <c r="B313" s="2" t="n">
        <v>43245.22047453704</v>
      </c>
      <c r="C313" t="n">
        <v>0</v>
      </c>
      <c r="D313" t="n">
        <v>233</v>
      </c>
      <c r="E313" t="s">
        <v>320</v>
      </c>
      <c r="F313" t="s"/>
      <c r="G313" t="s"/>
      <c r="H313" t="s"/>
      <c r="I313" t="s"/>
      <c r="J313" t="n">
        <v>0</v>
      </c>
      <c r="K313" t="n">
        <v>0</v>
      </c>
      <c r="L313" t="n">
        <v>1</v>
      </c>
      <c r="M313" t="n">
        <v>0</v>
      </c>
    </row>
    <row r="314" spans="1:13">
      <c r="A314" s="1">
        <f>HYPERLINK("http://www.twitter.com/NathanBLawrence/status/999882068019441664", "999882068019441664")</f>
        <v/>
      </c>
      <c r="B314" s="2" t="n">
        <v>43245.22032407407</v>
      </c>
      <c r="C314" t="n">
        <v>0</v>
      </c>
      <c r="D314" t="n">
        <v>365</v>
      </c>
      <c r="E314" t="s">
        <v>321</v>
      </c>
      <c r="F314" t="s"/>
      <c r="G314" t="s"/>
      <c r="H314" t="s"/>
      <c r="I314" t="s"/>
      <c r="J314" t="n">
        <v>0.6369</v>
      </c>
      <c r="K314" t="n">
        <v>0</v>
      </c>
      <c r="L314" t="n">
        <v>0.763</v>
      </c>
      <c r="M314" t="n">
        <v>0.237</v>
      </c>
    </row>
    <row r="315" spans="1:13">
      <c r="A315" s="1">
        <f>HYPERLINK("http://www.twitter.com/NathanBLawrence/status/999882018157572098", "999882018157572098")</f>
        <v/>
      </c>
      <c r="B315" s="2" t="n">
        <v>43245.22018518519</v>
      </c>
      <c r="C315" t="n">
        <v>0</v>
      </c>
      <c r="D315" t="n">
        <v>138</v>
      </c>
      <c r="E315" t="s">
        <v>322</v>
      </c>
      <c r="F315">
        <f>HYPERLINK("http://pbs.twimg.com/media/Dd_a-yZVwAAZB1r.jpg", "http://pbs.twimg.com/media/Dd_a-yZVwAAZB1r.jpg")</f>
        <v/>
      </c>
      <c r="G315" t="s"/>
      <c r="H315" t="s"/>
      <c r="I315" t="s"/>
      <c r="J315" t="n">
        <v>0</v>
      </c>
      <c r="K315" t="n">
        <v>0</v>
      </c>
      <c r="L315" t="n">
        <v>1</v>
      </c>
      <c r="M315" t="n">
        <v>0</v>
      </c>
    </row>
    <row r="316" spans="1:13">
      <c r="A316" s="1">
        <f>HYPERLINK("http://www.twitter.com/NathanBLawrence/status/999881833427824640", "999881833427824640")</f>
        <v/>
      </c>
      <c r="B316" s="2" t="n">
        <v>43245.21967592592</v>
      </c>
      <c r="C316" t="n">
        <v>0</v>
      </c>
      <c r="D316" t="n">
        <v>303</v>
      </c>
      <c r="E316" t="s">
        <v>323</v>
      </c>
      <c r="F316" t="s"/>
      <c r="G316" t="s"/>
      <c r="H316" t="s"/>
      <c r="I316" t="s"/>
      <c r="J316" t="n">
        <v>-0.743</v>
      </c>
      <c r="K316" t="n">
        <v>0.263</v>
      </c>
      <c r="L316" t="n">
        <v>0.657</v>
      </c>
      <c r="M316" t="n">
        <v>0.08</v>
      </c>
    </row>
    <row r="317" spans="1:13">
      <c r="A317" s="1">
        <f>HYPERLINK("http://www.twitter.com/NathanBLawrence/status/999881791879004160", "999881791879004160")</f>
        <v/>
      </c>
      <c r="B317" s="2" t="n">
        <v>43245.21956018519</v>
      </c>
      <c r="C317" t="n">
        <v>0</v>
      </c>
      <c r="D317" t="n">
        <v>2397</v>
      </c>
      <c r="E317" t="s">
        <v>324</v>
      </c>
      <c r="F317" t="s"/>
      <c r="G317" t="s"/>
      <c r="H317" t="s"/>
      <c r="I317" t="s"/>
      <c r="J317" t="n">
        <v>0.6705</v>
      </c>
      <c r="K317" t="n">
        <v>0</v>
      </c>
      <c r="L317" t="n">
        <v>0.744</v>
      </c>
      <c r="M317" t="n">
        <v>0.256</v>
      </c>
    </row>
    <row r="318" spans="1:13">
      <c r="A318" s="1">
        <f>HYPERLINK("http://www.twitter.com/NathanBLawrence/status/999881663709499393", "999881663709499393")</f>
        <v/>
      </c>
      <c r="B318" s="2" t="n">
        <v>43245.21921296296</v>
      </c>
      <c r="C318" t="n">
        <v>0</v>
      </c>
      <c r="D318" t="n">
        <v>2</v>
      </c>
      <c r="E318" t="s">
        <v>325</v>
      </c>
      <c r="F318" t="s"/>
      <c r="G318" t="s"/>
      <c r="H318" t="s"/>
      <c r="I318" t="s"/>
      <c r="J318" t="n">
        <v>-0.25</v>
      </c>
      <c r="K318" t="n">
        <v>0.183</v>
      </c>
      <c r="L318" t="n">
        <v>0.709</v>
      </c>
      <c r="M318" t="n">
        <v>0.108</v>
      </c>
    </row>
    <row r="319" spans="1:13">
      <c r="A319" s="1">
        <f>HYPERLINK("http://www.twitter.com/NathanBLawrence/status/999881392069660673", "999881392069660673")</f>
        <v/>
      </c>
      <c r="B319" s="2" t="n">
        <v>43245.21846064815</v>
      </c>
      <c r="C319" t="n">
        <v>0</v>
      </c>
      <c r="D319" t="n">
        <v>168</v>
      </c>
      <c r="E319" t="s">
        <v>326</v>
      </c>
      <c r="F319" t="s"/>
      <c r="G319" t="s"/>
      <c r="H319" t="s"/>
      <c r="I319" t="s"/>
      <c r="J319" t="n">
        <v>0</v>
      </c>
      <c r="K319" t="n">
        <v>0</v>
      </c>
      <c r="L319" t="n">
        <v>1</v>
      </c>
      <c r="M319" t="n">
        <v>0</v>
      </c>
    </row>
    <row r="320" spans="1:13">
      <c r="A320" s="1">
        <f>HYPERLINK("http://www.twitter.com/NathanBLawrence/status/999881253766639617", "999881253766639617")</f>
        <v/>
      </c>
      <c r="B320" s="2" t="n">
        <v>43245.21807870371</v>
      </c>
      <c r="C320" t="n">
        <v>0</v>
      </c>
      <c r="D320" t="n">
        <v>5555</v>
      </c>
      <c r="E320" t="s">
        <v>327</v>
      </c>
      <c r="F320">
        <f>HYPERLINK("https://video.twimg.com/ext_tw_video/999810220028121088/pu/vid/1280x720/J4YYwkE7LYR9U-BQ.mp4?tag=3", "https://video.twimg.com/ext_tw_video/999810220028121088/pu/vid/1280x720/J4YYwkE7LYR9U-BQ.mp4?tag=3")</f>
        <v/>
      </c>
      <c r="G320" t="s"/>
      <c r="H320" t="s"/>
      <c r="I320" t="s"/>
      <c r="J320" t="n">
        <v>0.282</v>
      </c>
      <c r="K320" t="n">
        <v>0</v>
      </c>
      <c r="L320" t="n">
        <v>0.911</v>
      </c>
      <c r="M320" t="n">
        <v>0.089</v>
      </c>
    </row>
    <row r="321" spans="1:13">
      <c r="A321" s="1">
        <f>HYPERLINK("http://www.twitter.com/NathanBLawrence/status/999881186406117378", "999881186406117378")</f>
        <v/>
      </c>
      <c r="B321" s="2" t="n">
        <v>43245.21789351852</v>
      </c>
      <c r="C321" t="n">
        <v>0</v>
      </c>
      <c r="D321" t="n">
        <v>488</v>
      </c>
      <c r="E321" t="s">
        <v>328</v>
      </c>
      <c r="F321">
        <f>HYPERLINK("http://pbs.twimg.com/media/Dd-oUgHV0AAvh7m.jpg", "http://pbs.twimg.com/media/Dd-oUgHV0AAvh7m.jpg")</f>
        <v/>
      </c>
      <c r="G321" t="s"/>
      <c r="H321" t="s"/>
      <c r="I321" t="s"/>
      <c r="J321" t="n">
        <v>0</v>
      </c>
      <c r="K321" t="n">
        <v>0</v>
      </c>
      <c r="L321" t="n">
        <v>1</v>
      </c>
      <c r="M321" t="n">
        <v>0</v>
      </c>
    </row>
    <row r="322" spans="1:13">
      <c r="A322" s="1">
        <f>HYPERLINK("http://www.twitter.com/NathanBLawrence/status/999881117829230599", "999881117829230599")</f>
        <v/>
      </c>
      <c r="B322" s="2" t="n">
        <v>43245.21770833333</v>
      </c>
      <c r="C322" t="n">
        <v>0</v>
      </c>
      <c r="D322" t="n">
        <v>611</v>
      </c>
      <c r="E322" t="s">
        <v>329</v>
      </c>
      <c r="F322" t="s"/>
      <c r="G322" t="s"/>
      <c r="H322" t="s"/>
      <c r="I322" t="s"/>
      <c r="J322" t="n">
        <v>0.3818</v>
      </c>
      <c r="K322" t="n">
        <v>0</v>
      </c>
      <c r="L322" t="n">
        <v>0.825</v>
      </c>
      <c r="M322" t="n">
        <v>0.175</v>
      </c>
    </row>
    <row r="323" spans="1:13">
      <c r="A323" s="1">
        <f>HYPERLINK("http://www.twitter.com/NathanBLawrence/status/999881033792172034", "999881033792172034")</f>
        <v/>
      </c>
      <c r="B323" s="2" t="n">
        <v>43245.21747685185</v>
      </c>
      <c r="C323" t="n">
        <v>0</v>
      </c>
      <c r="D323" t="n">
        <v>1088</v>
      </c>
      <c r="E323" t="s">
        <v>330</v>
      </c>
      <c r="F323" t="s"/>
      <c r="G323" t="s"/>
      <c r="H323" t="s"/>
      <c r="I323" t="s"/>
      <c r="J323" t="n">
        <v>0</v>
      </c>
      <c r="K323" t="n">
        <v>0</v>
      </c>
      <c r="L323" t="n">
        <v>1</v>
      </c>
      <c r="M323" t="n">
        <v>0</v>
      </c>
    </row>
    <row r="324" spans="1:13">
      <c r="A324" s="1">
        <f>HYPERLINK("http://www.twitter.com/NathanBLawrence/status/999880932331941888", "999880932331941888")</f>
        <v/>
      </c>
      <c r="B324" s="2" t="n">
        <v>43245.2171875</v>
      </c>
      <c r="C324" t="n">
        <v>0</v>
      </c>
      <c r="D324" t="n">
        <v>385</v>
      </c>
      <c r="E324" t="s">
        <v>331</v>
      </c>
      <c r="F324" t="s"/>
      <c r="G324" t="s"/>
      <c r="H324" t="s"/>
      <c r="I324" t="s"/>
      <c r="J324" t="n">
        <v>0</v>
      </c>
      <c r="K324" t="n">
        <v>0</v>
      </c>
      <c r="L324" t="n">
        <v>1</v>
      </c>
      <c r="M324" t="n">
        <v>0</v>
      </c>
    </row>
    <row r="325" spans="1:13">
      <c r="A325" s="1">
        <f>HYPERLINK("http://www.twitter.com/NathanBLawrence/status/999880905232605184", "999880905232605184")</f>
        <v/>
      </c>
      <c r="B325" s="2" t="n">
        <v>43245.21711805555</v>
      </c>
      <c r="C325" t="n">
        <v>0</v>
      </c>
      <c r="D325" t="n">
        <v>966</v>
      </c>
      <c r="E325" t="s">
        <v>332</v>
      </c>
      <c r="F325">
        <f>HYPERLINK("http://pbs.twimg.com/media/DeAmCO8VAAA7Ei1.jpg", "http://pbs.twimg.com/media/DeAmCO8VAAA7Ei1.jpg")</f>
        <v/>
      </c>
      <c r="G325">
        <f>HYPERLINK("http://pbs.twimg.com/media/DeAmCO-U0AAthDs.jpg", "http://pbs.twimg.com/media/DeAmCO-U0AAthDs.jpg")</f>
        <v/>
      </c>
      <c r="H325">
        <f>HYPERLINK("http://pbs.twimg.com/media/DeAmCO-VMAI8ZnV.jpg", "http://pbs.twimg.com/media/DeAmCO-VMAI8ZnV.jpg")</f>
        <v/>
      </c>
      <c r="I325" t="s"/>
      <c r="J325" t="n">
        <v>0</v>
      </c>
      <c r="K325" t="n">
        <v>0</v>
      </c>
      <c r="L325" t="n">
        <v>1</v>
      </c>
      <c r="M325" t="n">
        <v>0</v>
      </c>
    </row>
    <row r="326" spans="1:13">
      <c r="A326" s="1">
        <f>HYPERLINK("http://www.twitter.com/NathanBLawrence/status/999880889684275201", "999880889684275201")</f>
        <v/>
      </c>
      <c r="B326" s="2" t="n">
        <v>43245.21707175926</v>
      </c>
      <c r="C326" t="n">
        <v>0</v>
      </c>
      <c r="D326" t="n">
        <v>363</v>
      </c>
      <c r="E326" t="s">
        <v>333</v>
      </c>
      <c r="F326" t="s"/>
      <c r="G326" t="s"/>
      <c r="H326" t="s"/>
      <c r="I326" t="s"/>
      <c r="J326" t="n">
        <v>0</v>
      </c>
      <c r="K326" t="n">
        <v>0</v>
      </c>
      <c r="L326" t="n">
        <v>1</v>
      </c>
      <c r="M326" t="n">
        <v>0</v>
      </c>
    </row>
    <row r="327" spans="1:13">
      <c r="A327" s="1">
        <f>HYPERLINK("http://www.twitter.com/NathanBLawrence/status/999880856532541440", "999880856532541440")</f>
        <v/>
      </c>
      <c r="B327" s="2" t="n">
        <v>43245.21697916667</v>
      </c>
      <c r="C327" t="n">
        <v>0</v>
      </c>
      <c r="D327" t="n">
        <v>227</v>
      </c>
      <c r="E327" t="s">
        <v>334</v>
      </c>
      <c r="F327">
        <f>HYPERLINK("http://pbs.twimg.com/media/DeAo9NRU8AABBcX.jpg", "http://pbs.twimg.com/media/DeAo9NRU8AABBcX.jpg")</f>
        <v/>
      </c>
      <c r="G327" t="s"/>
      <c r="H327" t="s"/>
      <c r="I327" t="s"/>
      <c r="J327" t="n">
        <v>0</v>
      </c>
      <c r="K327" t="n">
        <v>0</v>
      </c>
      <c r="L327" t="n">
        <v>1</v>
      </c>
      <c r="M327" t="n">
        <v>0</v>
      </c>
    </row>
    <row r="328" spans="1:13">
      <c r="A328" s="1">
        <f>HYPERLINK("http://www.twitter.com/NathanBLawrence/status/999880537782157313", "999880537782157313")</f>
        <v/>
      </c>
      <c r="B328" s="2" t="n">
        <v>43245.21609953704</v>
      </c>
      <c r="C328" t="n">
        <v>0</v>
      </c>
      <c r="D328" t="n">
        <v>6101</v>
      </c>
      <c r="E328" t="s">
        <v>335</v>
      </c>
      <c r="F328" t="s"/>
      <c r="G328" t="s"/>
      <c r="H328" t="s"/>
      <c r="I328" t="s"/>
      <c r="J328" t="n">
        <v>0.836</v>
      </c>
      <c r="K328" t="n">
        <v>0</v>
      </c>
      <c r="L328" t="n">
        <v>0.712</v>
      </c>
      <c r="M328" t="n">
        <v>0.288</v>
      </c>
    </row>
    <row r="329" spans="1:13">
      <c r="A329" s="1">
        <f>HYPERLINK("http://www.twitter.com/NathanBLawrence/status/999880515552346113", "999880515552346113")</f>
        <v/>
      </c>
      <c r="B329" s="2" t="n">
        <v>43245.21604166667</v>
      </c>
      <c r="C329" t="n">
        <v>0</v>
      </c>
      <c r="D329" t="n">
        <v>218</v>
      </c>
      <c r="E329" t="s">
        <v>336</v>
      </c>
      <c r="F329" t="s"/>
      <c r="G329" t="s"/>
      <c r="H329" t="s"/>
      <c r="I329" t="s"/>
      <c r="J329" t="n">
        <v>0.2732</v>
      </c>
      <c r="K329" t="n">
        <v>0</v>
      </c>
      <c r="L329" t="n">
        <v>0.877</v>
      </c>
      <c r="M329" t="n">
        <v>0.123</v>
      </c>
    </row>
    <row r="330" spans="1:13">
      <c r="A330" s="1">
        <f>HYPERLINK("http://www.twitter.com/NathanBLawrence/status/999880421679624193", "999880421679624193")</f>
        <v/>
      </c>
      <c r="B330" s="2" t="n">
        <v>43245.21578703704</v>
      </c>
      <c r="C330" t="n">
        <v>0</v>
      </c>
      <c r="D330" t="n">
        <v>20253</v>
      </c>
      <c r="E330" t="s">
        <v>337</v>
      </c>
      <c r="F330" t="s"/>
      <c r="G330" t="s"/>
      <c r="H330" t="s"/>
      <c r="I330" t="s"/>
      <c r="J330" t="n">
        <v>0</v>
      </c>
      <c r="K330" t="n">
        <v>0</v>
      </c>
      <c r="L330" t="n">
        <v>1</v>
      </c>
      <c r="M330" t="n">
        <v>0</v>
      </c>
    </row>
    <row r="331" spans="1:13">
      <c r="A331" s="1">
        <f>HYPERLINK("http://www.twitter.com/NathanBLawrence/status/999880384262238209", "999880384262238209")</f>
        <v/>
      </c>
      <c r="B331" s="2" t="n">
        <v>43245.21568287037</v>
      </c>
      <c r="C331" t="n">
        <v>0</v>
      </c>
      <c r="D331" t="n">
        <v>4635</v>
      </c>
      <c r="E331" t="s">
        <v>338</v>
      </c>
      <c r="F331" t="s"/>
      <c r="G331" t="s"/>
      <c r="H331" t="s"/>
      <c r="I331" t="s"/>
      <c r="J331" t="n">
        <v>0.5423</v>
      </c>
      <c r="K331" t="n">
        <v>0</v>
      </c>
      <c r="L331" t="n">
        <v>0.769</v>
      </c>
      <c r="M331" t="n">
        <v>0.231</v>
      </c>
    </row>
    <row r="332" spans="1:13">
      <c r="A332" s="1">
        <f>HYPERLINK("http://www.twitter.com/NathanBLawrence/status/999859366483415040", "999859366483415040")</f>
        <v/>
      </c>
      <c r="B332" s="2" t="n">
        <v>43245.15768518519</v>
      </c>
      <c r="C332" t="n">
        <v>0</v>
      </c>
      <c r="D332" t="n">
        <v>7682</v>
      </c>
      <c r="E332" t="s">
        <v>339</v>
      </c>
      <c r="F332" t="s"/>
      <c r="G332" t="s"/>
      <c r="H332" t="s"/>
      <c r="I332" t="s"/>
      <c r="J332" t="n">
        <v>-0.34</v>
      </c>
      <c r="K332" t="n">
        <v>0.091</v>
      </c>
      <c r="L332" t="n">
        <v>0.909</v>
      </c>
      <c r="M332" t="n">
        <v>0</v>
      </c>
    </row>
    <row r="333" spans="1:13">
      <c r="A333" s="1">
        <f>HYPERLINK("http://www.twitter.com/NathanBLawrence/status/999859115630514177", "999859115630514177")</f>
        <v/>
      </c>
      <c r="B333" s="2" t="n">
        <v>43245.15699074074</v>
      </c>
      <c r="C333" t="n">
        <v>0</v>
      </c>
      <c r="D333" t="n">
        <v>31</v>
      </c>
      <c r="E333" t="s">
        <v>340</v>
      </c>
      <c r="F333" t="s"/>
      <c r="G333" t="s"/>
      <c r="H333" t="s"/>
      <c r="I333" t="s"/>
      <c r="J333" t="n">
        <v>0.8008</v>
      </c>
      <c r="K333" t="n">
        <v>0.063</v>
      </c>
      <c r="L333" t="n">
        <v>0.625</v>
      </c>
      <c r="M333" t="n">
        <v>0.312</v>
      </c>
    </row>
    <row r="334" spans="1:13">
      <c r="A334" s="1">
        <f>HYPERLINK("http://www.twitter.com/NathanBLawrence/status/999855846845829120", "999855846845829120")</f>
        <v/>
      </c>
      <c r="B334" s="2" t="n">
        <v>43245.14796296296</v>
      </c>
      <c r="C334" t="n">
        <v>0</v>
      </c>
      <c r="D334" t="n">
        <v>4</v>
      </c>
      <c r="E334" t="s">
        <v>341</v>
      </c>
      <c r="F334" t="s"/>
      <c r="G334" t="s"/>
      <c r="H334" t="s"/>
      <c r="I334" t="s"/>
      <c r="J334" t="n">
        <v>0.1511</v>
      </c>
      <c r="K334" t="n">
        <v>0</v>
      </c>
      <c r="L334" t="n">
        <v>0.926</v>
      </c>
      <c r="M334" t="n">
        <v>0.074</v>
      </c>
    </row>
    <row r="335" spans="1:13">
      <c r="A335" s="1">
        <f>HYPERLINK("http://www.twitter.com/NathanBLawrence/status/999852108408115202", "999852108408115202")</f>
        <v/>
      </c>
      <c r="B335" s="2" t="n">
        <v>43245.13765046297</v>
      </c>
      <c r="C335" t="n">
        <v>0</v>
      </c>
      <c r="D335" t="n">
        <v>3</v>
      </c>
      <c r="E335" t="s">
        <v>342</v>
      </c>
      <c r="F335" t="s"/>
      <c r="G335" t="s"/>
      <c r="H335" t="s"/>
      <c r="I335" t="s"/>
      <c r="J335" t="n">
        <v>-0.3736</v>
      </c>
      <c r="K335" t="n">
        <v>0.104</v>
      </c>
      <c r="L335" t="n">
        <v>0.896</v>
      </c>
      <c r="M335" t="n">
        <v>0</v>
      </c>
    </row>
    <row r="336" spans="1:13">
      <c r="A336" s="1">
        <f>HYPERLINK("http://www.twitter.com/NathanBLawrence/status/999852087994408960", "999852087994408960")</f>
        <v/>
      </c>
      <c r="B336" s="2" t="n">
        <v>43245.13759259259</v>
      </c>
      <c r="C336" t="n">
        <v>0</v>
      </c>
      <c r="D336" t="n">
        <v>7</v>
      </c>
      <c r="E336" t="s">
        <v>343</v>
      </c>
      <c r="F336" t="s"/>
      <c r="G336" t="s"/>
      <c r="H336" t="s"/>
      <c r="I336" t="s"/>
      <c r="J336" t="n">
        <v>0</v>
      </c>
      <c r="K336" t="n">
        <v>0</v>
      </c>
      <c r="L336" t="n">
        <v>1</v>
      </c>
      <c r="M336" t="n">
        <v>0</v>
      </c>
    </row>
    <row r="337" spans="1:13">
      <c r="A337" s="1">
        <f>HYPERLINK("http://www.twitter.com/NathanBLawrence/status/999852080302100486", "999852080302100486")</f>
        <v/>
      </c>
      <c r="B337" s="2" t="n">
        <v>43245.13756944444</v>
      </c>
      <c r="C337" t="n">
        <v>0</v>
      </c>
      <c r="D337" t="n">
        <v>10</v>
      </c>
      <c r="E337" t="s">
        <v>344</v>
      </c>
      <c r="F337" t="s"/>
      <c r="G337" t="s"/>
      <c r="H337" t="s"/>
      <c r="I337" t="s"/>
      <c r="J337" t="n">
        <v>-0.6486</v>
      </c>
      <c r="K337" t="n">
        <v>0.238</v>
      </c>
      <c r="L337" t="n">
        <v>0.762</v>
      </c>
      <c r="M337" t="n">
        <v>0</v>
      </c>
    </row>
    <row r="338" spans="1:13">
      <c r="A338" s="1">
        <f>HYPERLINK("http://www.twitter.com/NathanBLawrence/status/999848914118422529", "999848914118422529")</f>
        <v/>
      </c>
      <c r="B338" s="2" t="n">
        <v>43245.1288425926</v>
      </c>
      <c r="C338" t="n">
        <v>0</v>
      </c>
      <c r="D338" t="n">
        <v>3</v>
      </c>
      <c r="E338" t="s">
        <v>345</v>
      </c>
      <c r="F338" t="s"/>
      <c r="G338" t="s"/>
      <c r="H338" t="s"/>
      <c r="I338" t="s"/>
      <c r="J338" t="n">
        <v>-0.5562</v>
      </c>
      <c r="K338" t="n">
        <v>0.146</v>
      </c>
      <c r="L338" t="n">
        <v>0.854</v>
      </c>
      <c r="M338" t="n">
        <v>0</v>
      </c>
    </row>
    <row r="339" spans="1:13">
      <c r="A339" s="1">
        <f>HYPERLINK("http://www.twitter.com/NathanBLawrence/status/999847408745009153", "999847408745009153")</f>
        <v/>
      </c>
      <c r="B339" s="2" t="n">
        <v>43245.1246875</v>
      </c>
      <c r="C339" t="n">
        <v>3</v>
      </c>
      <c r="D339" t="n">
        <v>3</v>
      </c>
      <c r="E339" t="s">
        <v>346</v>
      </c>
      <c r="F339" t="s"/>
      <c r="G339" t="s"/>
      <c r="H339" t="s"/>
      <c r="I339" t="s"/>
      <c r="J339" t="n">
        <v>0.168</v>
      </c>
      <c r="K339" t="n">
        <v>0.065</v>
      </c>
      <c r="L339" t="n">
        <v>0.851</v>
      </c>
      <c r="M339" t="n">
        <v>0.08400000000000001</v>
      </c>
    </row>
    <row r="340" spans="1:13">
      <c r="A340" s="1">
        <f>HYPERLINK("http://www.twitter.com/NathanBLawrence/status/999847064954646528", "999847064954646528")</f>
        <v/>
      </c>
      <c r="B340" s="2" t="n">
        <v>43245.12373842593</v>
      </c>
      <c r="C340" t="n">
        <v>5</v>
      </c>
      <c r="D340" t="n">
        <v>3</v>
      </c>
      <c r="E340" t="s">
        <v>347</v>
      </c>
      <c r="F340" t="s"/>
      <c r="G340" t="s"/>
      <c r="H340" t="s"/>
      <c r="I340" t="s"/>
      <c r="J340" t="n">
        <v>0.4389</v>
      </c>
      <c r="K340" t="n">
        <v>0.109</v>
      </c>
      <c r="L340" t="n">
        <v>0.709</v>
      </c>
      <c r="M340" t="n">
        <v>0.182</v>
      </c>
    </row>
    <row r="341" spans="1:13">
      <c r="A341" s="1">
        <f>HYPERLINK("http://www.twitter.com/NathanBLawrence/status/999846709495783424", "999846709495783424")</f>
        <v/>
      </c>
      <c r="B341" s="2" t="n">
        <v>43245.12275462963</v>
      </c>
      <c r="C341" t="n">
        <v>1</v>
      </c>
      <c r="D341" t="n">
        <v>0</v>
      </c>
      <c r="E341" t="s">
        <v>348</v>
      </c>
      <c r="F341" t="s"/>
      <c r="G341" t="s"/>
      <c r="H341" t="s"/>
      <c r="I341" t="s"/>
      <c r="J341" t="n">
        <v>-0.6096</v>
      </c>
      <c r="K341" t="n">
        <v>0.185</v>
      </c>
      <c r="L341" t="n">
        <v>0.714</v>
      </c>
      <c r="M341" t="n">
        <v>0.101</v>
      </c>
    </row>
    <row r="342" spans="1:13">
      <c r="A342" s="1">
        <f>HYPERLINK("http://www.twitter.com/NathanBLawrence/status/999829727388069888", "999829727388069888")</f>
        <v/>
      </c>
      <c r="B342" s="2" t="n">
        <v>43245.07589120371</v>
      </c>
      <c r="C342" t="n">
        <v>0</v>
      </c>
      <c r="D342" t="n">
        <v>12</v>
      </c>
      <c r="E342" t="s">
        <v>349</v>
      </c>
      <c r="F342" t="s"/>
      <c r="G342" t="s"/>
      <c r="H342" t="s"/>
      <c r="I342" t="s"/>
      <c r="J342" t="n">
        <v>-0.7096</v>
      </c>
      <c r="K342" t="n">
        <v>0.211</v>
      </c>
      <c r="L342" t="n">
        <v>0.789</v>
      </c>
      <c r="M342" t="n">
        <v>0</v>
      </c>
    </row>
    <row r="343" spans="1:13">
      <c r="A343" s="1">
        <f>HYPERLINK("http://www.twitter.com/NathanBLawrence/status/999800501473611781", "999800501473611781")</f>
        <v/>
      </c>
      <c r="B343" s="2" t="n">
        <v>43244.99524305556</v>
      </c>
      <c r="C343" t="n">
        <v>3</v>
      </c>
      <c r="D343" t="n">
        <v>0</v>
      </c>
      <c r="E343" t="s">
        <v>350</v>
      </c>
      <c r="F343" t="s"/>
      <c r="G343" t="s"/>
      <c r="H343" t="s"/>
      <c r="I343" t="s"/>
      <c r="J343" t="n">
        <v>0.3818</v>
      </c>
      <c r="K343" t="n">
        <v>0</v>
      </c>
      <c r="L343" t="n">
        <v>0.902</v>
      </c>
      <c r="M343" t="n">
        <v>0.098</v>
      </c>
    </row>
    <row r="344" spans="1:13">
      <c r="A344" s="1">
        <f>HYPERLINK("http://www.twitter.com/NathanBLawrence/status/999800228327952385", "999800228327952385")</f>
        <v/>
      </c>
      <c r="B344" s="2" t="n">
        <v>43244.99449074074</v>
      </c>
      <c r="C344" t="n">
        <v>2</v>
      </c>
      <c r="D344" t="n">
        <v>0</v>
      </c>
      <c r="E344" t="s">
        <v>351</v>
      </c>
      <c r="F344" t="s"/>
      <c r="G344" t="s"/>
      <c r="H344" t="s"/>
      <c r="I344" t="s"/>
      <c r="J344" t="n">
        <v>0</v>
      </c>
      <c r="K344" t="n">
        <v>0</v>
      </c>
      <c r="L344" t="n">
        <v>1</v>
      </c>
      <c r="M344" t="n">
        <v>0</v>
      </c>
    </row>
    <row r="345" spans="1:13">
      <c r="A345" s="1">
        <f>HYPERLINK("http://www.twitter.com/NathanBLawrence/status/999799871447105538", "999799871447105538")</f>
        <v/>
      </c>
      <c r="B345" s="2" t="n">
        <v>43244.99350694445</v>
      </c>
      <c r="C345" t="n">
        <v>0</v>
      </c>
      <c r="D345" t="n">
        <v>9</v>
      </c>
      <c r="E345" t="s">
        <v>352</v>
      </c>
      <c r="F345">
        <f>HYPERLINK("http://pbs.twimg.com/media/Dd_syPwVAAEe-BT.jpg", "http://pbs.twimg.com/media/Dd_syPwVAAEe-BT.jpg")</f>
        <v/>
      </c>
      <c r="G345" t="s"/>
      <c r="H345" t="s"/>
      <c r="I345" t="s"/>
      <c r="J345" t="n">
        <v>0.6476</v>
      </c>
      <c r="K345" t="n">
        <v>0</v>
      </c>
      <c r="L345" t="n">
        <v>0.763</v>
      </c>
      <c r="M345" t="n">
        <v>0.237</v>
      </c>
    </row>
    <row r="346" spans="1:13">
      <c r="A346" s="1">
        <f>HYPERLINK("http://www.twitter.com/NathanBLawrence/status/999799811573534721", "999799811573534721")</f>
        <v/>
      </c>
      <c r="B346" s="2" t="n">
        <v>43244.99334490741</v>
      </c>
      <c r="C346" t="n">
        <v>11</v>
      </c>
      <c r="D346" t="n">
        <v>12</v>
      </c>
      <c r="E346" t="s">
        <v>353</v>
      </c>
      <c r="F346" t="s"/>
      <c r="G346" t="s"/>
      <c r="H346" t="s"/>
      <c r="I346" t="s"/>
      <c r="J346" t="n">
        <v>-0.7345</v>
      </c>
      <c r="K346" t="n">
        <v>0.176</v>
      </c>
      <c r="L346" t="n">
        <v>0.824</v>
      </c>
      <c r="M346" t="n">
        <v>0</v>
      </c>
    </row>
    <row r="347" spans="1:13">
      <c r="A347" s="1">
        <f>HYPERLINK("http://www.twitter.com/NathanBLawrence/status/999799171254312960", "999799171254312960")</f>
        <v/>
      </c>
      <c r="B347" s="2" t="n">
        <v>43244.99157407408</v>
      </c>
      <c r="C347" t="n">
        <v>0</v>
      </c>
      <c r="D347" t="n">
        <v>7</v>
      </c>
      <c r="E347" t="s">
        <v>354</v>
      </c>
      <c r="F347">
        <f>HYPERLINK("http://pbs.twimg.com/media/Dd9-J3yUQAA-nC1.jpg", "http://pbs.twimg.com/media/Dd9-J3yUQAA-nC1.jpg")</f>
        <v/>
      </c>
      <c r="G347" t="s"/>
      <c r="H347" t="s"/>
      <c r="I347" t="s"/>
      <c r="J347" t="n">
        <v>0</v>
      </c>
      <c r="K347" t="n">
        <v>0</v>
      </c>
      <c r="L347" t="n">
        <v>1</v>
      </c>
      <c r="M347" t="n">
        <v>0</v>
      </c>
    </row>
    <row r="348" spans="1:13">
      <c r="A348" s="1">
        <f>HYPERLINK("http://www.twitter.com/NathanBLawrence/status/999799037783166977", "999799037783166977")</f>
        <v/>
      </c>
      <c r="B348" s="2" t="n">
        <v>43244.99120370371</v>
      </c>
      <c r="C348" t="n">
        <v>0</v>
      </c>
      <c r="D348" t="n">
        <v>22</v>
      </c>
      <c r="E348" t="s">
        <v>355</v>
      </c>
      <c r="F348">
        <f>HYPERLINK("http://pbs.twimg.com/media/Dd_V43zV0AAtcsk.jpg", "http://pbs.twimg.com/media/Dd_V43zV0AAtcsk.jpg")</f>
        <v/>
      </c>
      <c r="G348" t="s"/>
      <c r="H348" t="s"/>
      <c r="I348" t="s"/>
      <c r="J348" t="n">
        <v>0.128</v>
      </c>
      <c r="K348" t="n">
        <v>0</v>
      </c>
      <c r="L348" t="n">
        <v>0.927</v>
      </c>
      <c r="M348" t="n">
        <v>0.073</v>
      </c>
    </row>
    <row r="349" spans="1:13">
      <c r="A349" s="1">
        <f>HYPERLINK("http://www.twitter.com/NathanBLawrence/status/999795331368923137", "999795331368923137")</f>
        <v/>
      </c>
      <c r="B349" s="2" t="n">
        <v>43244.98097222222</v>
      </c>
      <c r="C349" t="n">
        <v>0</v>
      </c>
      <c r="D349" t="n">
        <v>7</v>
      </c>
      <c r="E349" t="s">
        <v>356</v>
      </c>
      <c r="F349" t="s"/>
      <c r="G349" t="s"/>
      <c r="H349" t="s"/>
      <c r="I349" t="s"/>
      <c r="J349" t="n">
        <v>0</v>
      </c>
      <c r="K349" t="n">
        <v>0</v>
      </c>
      <c r="L349" t="n">
        <v>1</v>
      </c>
      <c r="M349" t="n">
        <v>0</v>
      </c>
    </row>
    <row r="350" spans="1:13">
      <c r="A350" s="1">
        <f>HYPERLINK("http://www.twitter.com/NathanBLawrence/status/999795315648684033", "999795315648684033")</f>
        <v/>
      </c>
      <c r="B350" s="2" t="n">
        <v>43244.9809375</v>
      </c>
      <c r="C350" t="n">
        <v>0</v>
      </c>
      <c r="D350" t="n">
        <v>6</v>
      </c>
      <c r="E350" t="s">
        <v>357</v>
      </c>
      <c r="F350" t="s"/>
      <c r="G350" t="s"/>
      <c r="H350" t="s"/>
      <c r="I350" t="s"/>
      <c r="J350" t="n">
        <v>0</v>
      </c>
      <c r="K350" t="n">
        <v>0</v>
      </c>
      <c r="L350" t="n">
        <v>1</v>
      </c>
      <c r="M350" t="n">
        <v>0</v>
      </c>
    </row>
    <row r="351" spans="1:13">
      <c r="A351" s="1">
        <f>HYPERLINK("http://www.twitter.com/NathanBLawrence/status/999795296350670848", "999795296350670848")</f>
        <v/>
      </c>
      <c r="B351" s="2" t="n">
        <v>43244.98087962963</v>
      </c>
      <c r="C351" t="n">
        <v>0</v>
      </c>
      <c r="D351" t="n">
        <v>5</v>
      </c>
      <c r="E351" t="s">
        <v>358</v>
      </c>
      <c r="F351" t="s"/>
      <c r="G351" t="s"/>
      <c r="H351" t="s"/>
      <c r="I351" t="s"/>
      <c r="J351" t="n">
        <v>0.6177</v>
      </c>
      <c r="K351" t="n">
        <v>0.07199999999999999</v>
      </c>
      <c r="L351" t="n">
        <v>0.756</v>
      </c>
      <c r="M351" t="n">
        <v>0.172</v>
      </c>
    </row>
    <row r="352" spans="1:13">
      <c r="A352" s="1">
        <f>HYPERLINK("http://www.twitter.com/NathanBLawrence/status/999795244102307845", "999795244102307845")</f>
        <v/>
      </c>
      <c r="B352" s="2" t="n">
        <v>43244.98074074074</v>
      </c>
      <c r="C352" t="n">
        <v>0</v>
      </c>
      <c r="D352" t="n">
        <v>24</v>
      </c>
      <c r="E352" t="s">
        <v>359</v>
      </c>
      <c r="F352" t="s"/>
      <c r="G352" t="s"/>
      <c r="H352" t="s"/>
      <c r="I352" t="s"/>
      <c r="J352" t="n">
        <v>0.3612</v>
      </c>
      <c r="K352" t="n">
        <v>0</v>
      </c>
      <c r="L352" t="n">
        <v>0.878</v>
      </c>
      <c r="M352" t="n">
        <v>0.122</v>
      </c>
    </row>
    <row r="353" spans="1:13">
      <c r="A353" s="1">
        <f>HYPERLINK("http://www.twitter.com/NathanBLawrence/status/999795130277253120", "999795130277253120")</f>
        <v/>
      </c>
      <c r="B353" s="2" t="n">
        <v>43244.98042824074</v>
      </c>
      <c r="C353" t="n">
        <v>0</v>
      </c>
      <c r="D353" t="n">
        <v>22</v>
      </c>
      <c r="E353" t="s">
        <v>360</v>
      </c>
      <c r="F353" t="s"/>
      <c r="G353" t="s"/>
      <c r="H353" t="s"/>
      <c r="I353" t="s"/>
      <c r="J353" t="n">
        <v>-0.4215</v>
      </c>
      <c r="K353" t="n">
        <v>0.109</v>
      </c>
      <c r="L353" t="n">
        <v>0.891</v>
      </c>
      <c r="M353" t="n">
        <v>0</v>
      </c>
    </row>
    <row r="354" spans="1:13">
      <c r="A354" s="1">
        <f>HYPERLINK("http://www.twitter.com/NathanBLawrence/status/999795083804397570", "999795083804397570")</f>
        <v/>
      </c>
      <c r="B354" s="2" t="n">
        <v>43244.98028935185</v>
      </c>
      <c r="C354" t="n">
        <v>0</v>
      </c>
      <c r="D354" t="n">
        <v>10</v>
      </c>
      <c r="E354" t="s">
        <v>361</v>
      </c>
      <c r="F354">
        <f>HYPERLINK("http://pbs.twimg.com/media/Dd_76zfU8AAZUxR.jpg", "http://pbs.twimg.com/media/Dd_76zfU8AAZUxR.jpg")</f>
        <v/>
      </c>
      <c r="G354">
        <f>HYPERLINK("http://pbs.twimg.com/media/Dd_76zTUwAAzm3V.jpg", "http://pbs.twimg.com/media/Dd_76zTUwAAzm3V.jpg")</f>
        <v/>
      </c>
      <c r="H354">
        <f>HYPERLINK("http://pbs.twimg.com/media/Dd_76zPUwAEhKOs.jpg", "http://pbs.twimg.com/media/Dd_76zPUwAEhKOs.jpg")</f>
        <v/>
      </c>
      <c r="I354">
        <f>HYPERLINK("http://pbs.twimg.com/media/Dd_76zhVMAAvkTb.jpg", "http://pbs.twimg.com/media/Dd_76zhVMAAvkTb.jpg")</f>
        <v/>
      </c>
      <c r="J354" t="n">
        <v>-0.3382</v>
      </c>
      <c r="K354" t="n">
        <v>0.098</v>
      </c>
      <c r="L354" t="n">
        <v>0.902</v>
      </c>
      <c r="M354" t="n">
        <v>0</v>
      </c>
    </row>
    <row r="355" spans="1:13">
      <c r="A355" s="1">
        <f>HYPERLINK("http://www.twitter.com/NathanBLawrence/status/999794966007336961", "999794966007336961")</f>
        <v/>
      </c>
      <c r="B355" s="2" t="n">
        <v>43244.97996527778</v>
      </c>
      <c r="C355" t="n">
        <v>0</v>
      </c>
      <c r="D355" t="n">
        <v>9</v>
      </c>
      <c r="E355" t="s">
        <v>362</v>
      </c>
      <c r="F355" t="s"/>
      <c r="G355" t="s"/>
      <c r="H355" t="s"/>
      <c r="I355" t="s"/>
      <c r="J355" t="n">
        <v>-0.1531</v>
      </c>
      <c r="K355" t="n">
        <v>0.065</v>
      </c>
      <c r="L355" t="n">
        <v>0.9350000000000001</v>
      </c>
      <c r="M355" t="n">
        <v>0</v>
      </c>
    </row>
    <row r="356" spans="1:13">
      <c r="A356" s="1">
        <f>HYPERLINK("http://www.twitter.com/NathanBLawrence/status/999794801783472128", "999794801783472128")</f>
        <v/>
      </c>
      <c r="B356" s="2" t="n">
        <v>43244.97951388889</v>
      </c>
      <c r="C356" t="n">
        <v>0</v>
      </c>
      <c r="D356" t="n">
        <v>0</v>
      </c>
      <c r="E356" t="s">
        <v>363</v>
      </c>
      <c r="F356" t="s"/>
      <c r="G356" t="s"/>
      <c r="H356" t="s"/>
      <c r="I356" t="s"/>
      <c r="J356" t="n">
        <v>0.1531</v>
      </c>
      <c r="K356" t="n">
        <v>0</v>
      </c>
      <c r="L356" t="n">
        <v>0.948</v>
      </c>
      <c r="M356" t="n">
        <v>0.052</v>
      </c>
    </row>
    <row r="357" spans="1:13">
      <c r="A357" s="1">
        <f>HYPERLINK("http://www.twitter.com/NathanBLawrence/status/999794642823602178", "999794642823602178")</f>
        <v/>
      </c>
      <c r="B357" s="2" t="n">
        <v>43244.97907407407</v>
      </c>
      <c r="C357" t="n">
        <v>10</v>
      </c>
      <c r="D357" t="n">
        <v>10</v>
      </c>
      <c r="E357" t="s">
        <v>364</v>
      </c>
      <c r="F357">
        <f>HYPERLINK("http://pbs.twimg.com/media/Dd_76zfU8AAZUxR.jpg", "http://pbs.twimg.com/media/Dd_76zfU8AAZUxR.jpg")</f>
        <v/>
      </c>
      <c r="G357">
        <f>HYPERLINK("http://pbs.twimg.com/media/Dd_76zTUwAAzm3V.jpg", "http://pbs.twimg.com/media/Dd_76zTUwAAzm3V.jpg")</f>
        <v/>
      </c>
      <c r="H357">
        <f>HYPERLINK("http://pbs.twimg.com/media/Dd_76zPUwAEhKOs.jpg", "http://pbs.twimg.com/media/Dd_76zPUwAEhKOs.jpg")</f>
        <v/>
      </c>
      <c r="I357">
        <f>HYPERLINK("http://pbs.twimg.com/media/Dd_76zhVMAAvkTb.jpg", "http://pbs.twimg.com/media/Dd_76zhVMAAvkTb.jpg")</f>
        <v/>
      </c>
      <c r="J357" t="n">
        <v>-0.4667</v>
      </c>
      <c r="K357" t="n">
        <v>0.08</v>
      </c>
      <c r="L357" t="n">
        <v>0.92</v>
      </c>
      <c r="M357" t="n">
        <v>0</v>
      </c>
    </row>
    <row r="358" spans="1:13">
      <c r="A358" s="1">
        <f>HYPERLINK("http://www.twitter.com/NathanBLawrence/status/999793881876193280", "999793881876193280")</f>
        <v/>
      </c>
      <c r="B358" s="2" t="n">
        <v>43244.97697916667</v>
      </c>
      <c r="C358" t="n">
        <v>0</v>
      </c>
      <c r="D358" t="n">
        <v>4</v>
      </c>
      <c r="E358" t="s">
        <v>365</v>
      </c>
      <c r="F358" t="s"/>
      <c r="G358" t="s"/>
      <c r="H358" t="s"/>
      <c r="I358" t="s"/>
      <c r="J358" t="n">
        <v>0</v>
      </c>
      <c r="K358" t="n">
        <v>0</v>
      </c>
      <c r="L358" t="n">
        <v>1</v>
      </c>
      <c r="M358" t="n">
        <v>0</v>
      </c>
    </row>
    <row r="359" spans="1:13">
      <c r="A359" s="1">
        <f>HYPERLINK("http://www.twitter.com/NathanBLawrence/status/999774421299720193", "999774421299720193")</f>
        <v/>
      </c>
      <c r="B359" s="2" t="n">
        <v>43244.92327546296</v>
      </c>
      <c r="C359" t="n">
        <v>0</v>
      </c>
      <c r="D359" t="n">
        <v>0</v>
      </c>
      <c r="E359" t="s">
        <v>366</v>
      </c>
      <c r="F359" t="s"/>
      <c r="G359" t="s"/>
      <c r="H359" t="s"/>
      <c r="I359" t="s"/>
      <c r="J359" t="n">
        <v>-0.4019</v>
      </c>
      <c r="K359" t="n">
        <v>0.137</v>
      </c>
      <c r="L359" t="n">
        <v>0.863</v>
      </c>
      <c r="M359" t="n">
        <v>0</v>
      </c>
    </row>
    <row r="360" spans="1:13">
      <c r="A360" s="1">
        <f>HYPERLINK("http://www.twitter.com/NathanBLawrence/status/999774131594854400", "999774131594854400")</f>
        <v/>
      </c>
      <c r="B360" s="2" t="n">
        <v>43244.92247685185</v>
      </c>
      <c r="C360" t="n">
        <v>0</v>
      </c>
      <c r="D360" t="n">
        <v>10</v>
      </c>
      <c r="E360" t="s">
        <v>367</v>
      </c>
      <c r="F360" t="s"/>
      <c r="G360" t="s"/>
      <c r="H360" t="s"/>
      <c r="I360" t="s"/>
      <c r="J360" t="n">
        <v>0.1285</v>
      </c>
      <c r="K360" t="n">
        <v>0.08799999999999999</v>
      </c>
      <c r="L360" t="n">
        <v>0.803</v>
      </c>
      <c r="M360" t="n">
        <v>0.109</v>
      </c>
    </row>
    <row r="361" spans="1:13">
      <c r="A361" s="1">
        <f>HYPERLINK("http://www.twitter.com/NathanBLawrence/status/999774111546167296", "999774111546167296")</f>
        <v/>
      </c>
      <c r="B361" s="2" t="n">
        <v>43244.92241898148</v>
      </c>
      <c r="C361" t="n">
        <v>0</v>
      </c>
      <c r="D361" t="n">
        <v>10</v>
      </c>
      <c r="E361" t="s">
        <v>368</v>
      </c>
      <c r="F361">
        <f>HYPERLINK("http://pbs.twimg.com/media/Dd6r3HhVQAAi1Ep.jpg", "http://pbs.twimg.com/media/Dd6r3HhVQAAi1Ep.jpg")</f>
        <v/>
      </c>
      <c r="G361" t="s"/>
      <c r="H361" t="s"/>
      <c r="I361" t="s"/>
      <c r="J361" t="n">
        <v>-0.9413</v>
      </c>
      <c r="K361" t="n">
        <v>0.612</v>
      </c>
      <c r="L361" t="n">
        <v>0.388</v>
      </c>
      <c r="M361" t="n">
        <v>0</v>
      </c>
    </row>
    <row r="362" spans="1:13">
      <c r="A362" s="1">
        <f>HYPERLINK("http://www.twitter.com/NathanBLawrence/status/999774094747938822", "999774094747938822")</f>
        <v/>
      </c>
      <c r="B362" s="2" t="n">
        <v>43244.92237268519</v>
      </c>
      <c r="C362" t="n">
        <v>0</v>
      </c>
      <c r="D362" t="n">
        <v>10</v>
      </c>
      <c r="E362" t="s">
        <v>369</v>
      </c>
      <c r="F362">
        <f>HYPERLINK("http://pbs.twimg.com/media/Dd6uRxQVwAALYuR.jpg", "http://pbs.twimg.com/media/Dd6uRxQVwAALYuR.jpg")</f>
        <v/>
      </c>
      <c r="G362" t="s"/>
      <c r="H362" t="s"/>
      <c r="I362" t="s"/>
      <c r="J362" t="n">
        <v>-0.4767</v>
      </c>
      <c r="K362" t="n">
        <v>0.2</v>
      </c>
      <c r="L362" t="n">
        <v>0.717</v>
      </c>
      <c r="M362" t="n">
        <v>0.083</v>
      </c>
    </row>
    <row r="363" spans="1:13">
      <c r="A363" s="1">
        <f>HYPERLINK("http://www.twitter.com/NathanBLawrence/status/999774071301857280", "999774071301857280")</f>
        <v/>
      </c>
      <c r="B363" s="2" t="n">
        <v>43244.92231481482</v>
      </c>
      <c r="C363" t="n">
        <v>0</v>
      </c>
      <c r="D363" t="n">
        <v>5</v>
      </c>
      <c r="E363" t="s">
        <v>370</v>
      </c>
      <c r="F363" t="s"/>
      <c r="G363" t="s"/>
      <c r="H363" t="s"/>
      <c r="I363" t="s"/>
      <c r="J363" t="n">
        <v>-0.5719</v>
      </c>
      <c r="K363" t="n">
        <v>0.163</v>
      </c>
      <c r="L363" t="n">
        <v>0.837</v>
      </c>
      <c r="M363" t="n">
        <v>0</v>
      </c>
    </row>
    <row r="364" spans="1:13">
      <c r="A364" s="1">
        <f>HYPERLINK("http://www.twitter.com/NathanBLawrence/status/999774061499645953", "999774061499645953")</f>
        <v/>
      </c>
      <c r="B364" s="2" t="n">
        <v>43244.92228009259</v>
      </c>
      <c r="C364" t="n">
        <v>0</v>
      </c>
      <c r="D364" t="n">
        <v>6</v>
      </c>
      <c r="E364" t="s">
        <v>371</v>
      </c>
      <c r="F364" t="s"/>
      <c r="G364" t="s"/>
      <c r="H364" t="s"/>
      <c r="I364" t="s"/>
      <c r="J364" t="n">
        <v>0.4389</v>
      </c>
      <c r="K364" t="n">
        <v>0.08699999999999999</v>
      </c>
      <c r="L364" t="n">
        <v>0.706</v>
      </c>
      <c r="M364" t="n">
        <v>0.207</v>
      </c>
    </row>
    <row r="365" spans="1:13">
      <c r="A365" s="1">
        <f>HYPERLINK("http://www.twitter.com/NathanBLawrence/status/999774009880403969", "999774009880403969")</f>
        <v/>
      </c>
      <c r="B365" s="2" t="n">
        <v>43244.9221412037</v>
      </c>
      <c r="C365" t="n">
        <v>0</v>
      </c>
      <c r="D365" t="n">
        <v>7</v>
      </c>
      <c r="E365" t="s">
        <v>372</v>
      </c>
      <c r="F365">
        <f>HYPERLINK("http://pbs.twimg.com/media/Dd-S04hVwAAIBxw.jpg", "http://pbs.twimg.com/media/Dd-S04hVwAAIBxw.jpg")</f>
        <v/>
      </c>
      <c r="G365" t="s"/>
      <c r="H365" t="s"/>
      <c r="I365" t="s"/>
      <c r="J365" t="n">
        <v>-0.5106000000000001</v>
      </c>
      <c r="K365" t="n">
        <v>0.142</v>
      </c>
      <c r="L365" t="n">
        <v>0.858</v>
      </c>
      <c r="M365" t="n">
        <v>0</v>
      </c>
    </row>
    <row r="366" spans="1:13">
      <c r="A366" s="1">
        <f>HYPERLINK("http://www.twitter.com/NathanBLawrence/status/999772832279220224", "999772832279220224")</f>
        <v/>
      </c>
      <c r="B366" s="2" t="n">
        <v>43244.91888888889</v>
      </c>
      <c r="C366" t="n">
        <v>0</v>
      </c>
      <c r="D366" t="n">
        <v>1</v>
      </c>
      <c r="E366" t="s">
        <v>373</v>
      </c>
      <c r="F366" t="s"/>
      <c r="G366" t="s"/>
      <c r="H366" t="s"/>
      <c r="I366" t="s"/>
      <c r="J366" t="n">
        <v>-0.5803</v>
      </c>
      <c r="K366" t="n">
        <v>0.152</v>
      </c>
      <c r="L366" t="n">
        <v>0.848</v>
      </c>
      <c r="M366" t="n">
        <v>0</v>
      </c>
    </row>
    <row r="367" spans="1:13">
      <c r="A367" s="1">
        <f>HYPERLINK("http://www.twitter.com/NathanBLawrence/status/999772766789427201", "999772766789427201")</f>
        <v/>
      </c>
      <c r="B367" s="2" t="n">
        <v>43244.91871527778</v>
      </c>
      <c r="C367" t="n">
        <v>0</v>
      </c>
      <c r="D367" t="n">
        <v>5</v>
      </c>
      <c r="E367" t="s">
        <v>374</v>
      </c>
      <c r="F367" t="s"/>
      <c r="G367" t="s"/>
      <c r="H367" t="s"/>
      <c r="I367" t="s"/>
      <c r="J367" t="n">
        <v>-0.4588</v>
      </c>
      <c r="K367" t="n">
        <v>0.13</v>
      </c>
      <c r="L367" t="n">
        <v>0.87</v>
      </c>
      <c r="M367" t="n">
        <v>0</v>
      </c>
    </row>
    <row r="368" spans="1:13">
      <c r="A368" s="1">
        <f>HYPERLINK("http://www.twitter.com/NathanBLawrence/status/999772618638217216", "999772618638217216")</f>
        <v/>
      </c>
      <c r="B368" s="2" t="n">
        <v>43244.91829861111</v>
      </c>
      <c r="C368" t="n">
        <v>0</v>
      </c>
      <c r="D368" t="n">
        <v>20</v>
      </c>
      <c r="E368" t="s">
        <v>375</v>
      </c>
      <c r="F368" t="s"/>
      <c r="G368" t="s"/>
      <c r="H368" t="s"/>
      <c r="I368" t="s"/>
      <c r="J368" t="n">
        <v>0.4019</v>
      </c>
      <c r="K368" t="n">
        <v>0</v>
      </c>
      <c r="L368" t="n">
        <v>0.886</v>
      </c>
      <c r="M368" t="n">
        <v>0.114</v>
      </c>
    </row>
    <row r="369" spans="1:13">
      <c r="A369" s="1">
        <f>HYPERLINK("http://www.twitter.com/NathanBLawrence/status/999772607368060929", "999772607368060929")</f>
        <v/>
      </c>
      <c r="B369" s="2" t="n">
        <v>43244.91827546297</v>
      </c>
      <c r="C369" t="n">
        <v>0</v>
      </c>
      <c r="D369" t="n">
        <v>16</v>
      </c>
      <c r="E369" t="s">
        <v>376</v>
      </c>
      <c r="F369" t="s"/>
      <c r="G369" t="s"/>
      <c r="H369" t="s"/>
      <c r="I369" t="s"/>
      <c r="J369" t="n">
        <v>0</v>
      </c>
      <c r="K369" t="n">
        <v>0</v>
      </c>
      <c r="L369" t="n">
        <v>1</v>
      </c>
      <c r="M369" t="n">
        <v>0</v>
      </c>
    </row>
    <row r="370" spans="1:13">
      <c r="A370" s="1">
        <f>HYPERLINK("http://www.twitter.com/NathanBLawrence/status/999758926571810818", "999758926571810818")</f>
        <v/>
      </c>
      <c r="B370" s="2" t="n">
        <v>43244.88052083334</v>
      </c>
      <c r="C370" t="n">
        <v>8</v>
      </c>
      <c r="D370" t="n">
        <v>5</v>
      </c>
      <c r="E370" t="s">
        <v>377</v>
      </c>
      <c r="F370" t="s"/>
      <c r="G370" t="s"/>
      <c r="H370" t="s"/>
      <c r="I370" t="s"/>
      <c r="J370" t="n">
        <v>-0.91</v>
      </c>
      <c r="K370" t="n">
        <v>0.234</v>
      </c>
      <c r="L370" t="n">
        <v>0.766</v>
      </c>
      <c r="M370" t="n">
        <v>0</v>
      </c>
    </row>
    <row r="371" spans="1:13">
      <c r="A371" s="1">
        <f>HYPERLINK("http://www.twitter.com/NathanBLawrence/status/999756396534132736", "999756396534132736")</f>
        <v/>
      </c>
      <c r="B371" s="2" t="n">
        <v>43244.87354166667</v>
      </c>
      <c r="C371" t="n">
        <v>0</v>
      </c>
      <c r="D371" t="n">
        <v>4</v>
      </c>
      <c r="E371" t="s">
        <v>378</v>
      </c>
      <c r="F371" t="s"/>
      <c r="G371" t="s"/>
      <c r="H371" t="s"/>
      <c r="I371" t="s"/>
      <c r="J371" t="n">
        <v>-0.296</v>
      </c>
      <c r="K371" t="n">
        <v>0.091</v>
      </c>
      <c r="L371" t="n">
        <v>0.909</v>
      </c>
      <c r="M371" t="n">
        <v>0</v>
      </c>
    </row>
    <row r="372" spans="1:13">
      <c r="A372" s="1">
        <f>HYPERLINK("http://www.twitter.com/NathanBLawrence/status/999756352074416129", "999756352074416129")</f>
        <v/>
      </c>
      <c r="B372" s="2" t="n">
        <v>43244.87341435185</v>
      </c>
      <c r="C372" t="n">
        <v>0</v>
      </c>
      <c r="D372" t="n">
        <v>4</v>
      </c>
      <c r="E372" t="s">
        <v>379</v>
      </c>
      <c r="F372" t="s"/>
      <c r="G372" t="s"/>
      <c r="H372" t="s"/>
      <c r="I372" t="s"/>
      <c r="J372" t="n">
        <v>0.4404</v>
      </c>
      <c r="K372" t="n">
        <v>0</v>
      </c>
      <c r="L372" t="n">
        <v>0.843</v>
      </c>
      <c r="M372" t="n">
        <v>0.157</v>
      </c>
    </row>
    <row r="373" spans="1:13">
      <c r="A373" s="1">
        <f>HYPERLINK("http://www.twitter.com/NathanBLawrence/status/999756300941656065", "999756300941656065")</f>
        <v/>
      </c>
      <c r="B373" s="2" t="n">
        <v>43244.87327546296</v>
      </c>
      <c r="C373" t="n">
        <v>3</v>
      </c>
      <c r="D373" t="n">
        <v>1</v>
      </c>
      <c r="E373" t="s">
        <v>380</v>
      </c>
      <c r="F373" t="s"/>
      <c r="G373" t="s"/>
      <c r="H373" t="s"/>
      <c r="I373" t="s"/>
      <c r="J373" t="n">
        <v>-0.5803</v>
      </c>
      <c r="K373" t="n">
        <v>0.165</v>
      </c>
      <c r="L373" t="n">
        <v>0.835</v>
      </c>
      <c r="M373" t="n">
        <v>0</v>
      </c>
    </row>
    <row r="374" spans="1:13">
      <c r="A374" s="1">
        <f>HYPERLINK("http://www.twitter.com/NathanBLawrence/status/999753614330646528", "999753614330646528")</f>
        <v/>
      </c>
      <c r="B374" s="2" t="n">
        <v>43244.86585648148</v>
      </c>
      <c r="C374" t="n">
        <v>4</v>
      </c>
      <c r="D374" t="n">
        <v>4</v>
      </c>
      <c r="E374" t="s">
        <v>381</v>
      </c>
      <c r="F374" t="s"/>
      <c r="G374" t="s"/>
      <c r="H374" t="s"/>
      <c r="I374" t="s"/>
      <c r="J374" t="n">
        <v>0.4404</v>
      </c>
      <c r="K374" t="n">
        <v>0</v>
      </c>
      <c r="L374" t="n">
        <v>0.915</v>
      </c>
      <c r="M374" t="n">
        <v>0.08500000000000001</v>
      </c>
    </row>
    <row r="375" spans="1:13">
      <c r="A375" s="1">
        <f>HYPERLINK("http://www.twitter.com/NathanBLawrence/status/999752580526899201", "999752580526899201")</f>
        <v/>
      </c>
      <c r="B375" s="2" t="n">
        <v>43244.86300925926</v>
      </c>
      <c r="C375" t="n">
        <v>8</v>
      </c>
      <c r="D375" t="n">
        <v>4</v>
      </c>
      <c r="E375" t="s">
        <v>382</v>
      </c>
      <c r="F375" t="s"/>
      <c r="G375" t="s"/>
      <c r="H375" t="s"/>
      <c r="I375" t="s"/>
      <c r="J375" t="n">
        <v>0.5837</v>
      </c>
      <c r="K375" t="n">
        <v>0.048</v>
      </c>
      <c r="L375" t="n">
        <v>0.801</v>
      </c>
      <c r="M375" t="n">
        <v>0.151</v>
      </c>
    </row>
    <row r="376" spans="1:13">
      <c r="A376" s="1">
        <f>HYPERLINK("http://www.twitter.com/NathanBLawrence/status/999752257821446144", "999752257821446144")</f>
        <v/>
      </c>
      <c r="B376" s="2" t="n">
        <v>43244.86211805556</v>
      </c>
      <c r="C376" t="n">
        <v>0</v>
      </c>
      <c r="D376" t="n">
        <v>2</v>
      </c>
      <c r="E376" t="s">
        <v>383</v>
      </c>
      <c r="F376" t="s"/>
      <c r="G376" t="s"/>
      <c r="H376" t="s"/>
      <c r="I376" t="s"/>
      <c r="J376" t="n">
        <v>0.3313</v>
      </c>
      <c r="K376" t="n">
        <v>0</v>
      </c>
      <c r="L376" t="n">
        <v>0.864</v>
      </c>
      <c r="M376" t="n">
        <v>0.136</v>
      </c>
    </row>
    <row r="377" spans="1:13">
      <c r="A377" s="1">
        <f>HYPERLINK("http://www.twitter.com/NathanBLawrence/status/999752207661764608", "999752207661764608")</f>
        <v/>
      </c>
      <c r="B377" s="2" t="n">
        <v>43244.86197916666</v>
      </c>
      <c r="C377" t="n">
        <v>0</v>
      </c>
      <c r="D377" t="n">
        <v>3</v>
      </c>
      <c r="E377" t="s">
        <v>384</v>
      </c>
      <c r="F377" t="s"/>
      <c r="G377" t="s"/>
      <c r="H377" t="s"/>
      <c r="I377" t="s"/>
      <c r="J377" t="n">
        <v>0</v>
      </c>
      <c r="K377" t="n">
        <v>0</v>
      </c>
      <c r="L377" t="n">
        <v>1</v>
      </c>
      <c r="M377" t="n">
        <v>0</v>
      </c>
    </row>
    <row r="378" spans="1:13">
      <c r="A378" s="1">
        <f>HYPERLINK("http://www.twitter.com/NathanBLawrence/status/999752186652446723", "999752186652446723")</f>
        <v/>
      </c>
      <c r="B378" s="2" t="n">
        <v>43244.86192129629</v>
      </c>
      <c r="C378" t="n">
        <v>0</v>
      </c>
      <c r="D378" t="n">
        <v>3</v>
      </c>
      <c r="E378" t="s">
        <v>384</v>
      </c>
      <c r="F378" t="s"/>
      <c r="G378" t="s"/>
      <c r="H378" t="s"/>
      <c r="I378" t="s"/>
      <c r="J378" t="n">
        <v>0</v>
      </c>
      <c r="K378" t="n">
        <v>0</v>
      </c>
      <c r="L378" t="n">
        <v>1</v>
      </c>
      <c r="M378" t="n">
        <v>0</v>
      </c>
    </row>
    <row r="379" spans="1:13">
      <c r="A379" s="1">
        <f>HYPERLINK("http://www.twitter.com/NathanBLawrence/status/999752172320509952", "999752172320509952")</f>
        <v/>
      </c>
      <c r="B379" s="2" t="n">
        <v>43244.86188657407</v>
      </c>
      <c r="C379" t="n">
        <v>0</v>
      </c>
      <c r="D379" t="n">
        <v>6</v>
      </c>
      <c r="E379" t="s">
        <v>385</v>
      </c>
      <c r="F379" t="s"/>
      <c r="G379" t="s"/>
      <c r="H379" t="s"/>
      <c r="I379" t="s"/>
      <c r="J379" t="n">
        <v>0</v>
      </c>
      <c r="K379" t="n">
        <v>0</v>
      </c>
      <c r="L379" t="n">
        <v>1</v>
      </c>
      <c r="M379" t="n">
        <v>0</v>
      </c>
    </row>
    <row r="380" spans="1:13">
      <c r="A380" s="1">
        <f>HYPERLINK("http://www.twitter.com/NathanBLawrence/status/999752138409603079", "999752138409603079")</f>
        <v/>
      </c>
      <c r="B380" s="2" t="n">
        <v>43244.86178240741</v>
      </c>
      <c r="C380" t="n">
        <v>0</v>
      </c>
      <c r="D380" t="n">
        <v>2</v>
      </c>
      <c r="E380" t="s">
        <v>386</v>
      </c>
      <c r="F380" t="s"/>
      <c r="G380" t="s"/>
      <c r="H380" t="s"/>
      <c r="I380" t="s"/>
      <c r="J380" t="n">
        <v>0.2406</v>
      </c>
      <c r="K380" t="n">
        <v>0.08699999999999999</v>
      </c>
      <c r="L380" t="n">
        <v>0.789</v>
      </c>
      <c r="M380" t="n">
        <v>0.125</v>
      </c>
    </row>
    <row r="381" spans="1:13">
      <c r="A381" s="1">
        <f>HYPERLINK("http://www.twitter.com/NathanBLawrence/status/999752104679034881", "999752104679034881")</f>
        <v/>
      </c>
      <c r="B381" s="2" t="n">
        <v>43244.86168981482</v>
      </c>
      <c r="C381" t="n">
        <v>0</v>
      </c>
      <c r="D381" t="n">
        <v>5</v>
      </c>
      <c r="E381" t="s">
        <v>387</v>
      </c>
      <c r="F381" t="s"/>
      <c r="G381" t="s"/>
      <c r="H381" t="s"/>
      <c r="I381" t="s"/>
      <c r="J381" t="n">
        <v>-0.2359</v>
      </c>
      <c r="K381" t="n">
        <v>0.146</v>
      </c>
      <c r="L381" t="n">
        <v>0.744</v>
      </c>
      <c r="M381" t="n">
        <v>0.11</v>
      </c>
    </row>
    <row r="382" spans="1:13">
      <c r="A382" s="1">
        <f>HYPERLINK("http://www.twitter.com/NathanBLawrence/status/999752077210513408", "999752077210513408")</f>
        <v/>
      </c>
      <c r="B382" s="2" t="n">
        <v>43244.86162037037</v>
      </c>
      <c r="C382" t="n">
        <v>0</v>
      </c>
      <c r="D382" t="n">
        <v>8</v>
      </c>
      <c r="E382" t="s">
        <v>388</v>
      </c>
      <c r="F382" t="s"/>
      <c r="G382" t="s"/>
      <c r="H382" t="s"/>
      <c r="I382" t="s"/>
      <c r="J382" t="n">
        <v>-0.7184</v>
      </c>
      <c r="K382" t="n">
        <v>0.231</v>
      </c>
      <c r="L382" t="n">
        <v>0.769</v>
      </c>
      <c r="M382" t="n">
        <v>0</v>
      </c>
    </row>
    <row r="383" spans="1:13">
      <c r="A383" s="1">
        <f>HYPERLINK("http://www.twitter.com/NathanBLawrence/status/999752052636045313", "999752052636045313")</f>
        <v/>
      </c>
      <c r="B383" s="2" t="n">
        <v>43244.86155092593</v>
      </c>
      <c r="C383" t="n">
        <v>0</v>
      </c>
      <c r="D383" t="n">
        <v>7</v>
      </c>
      <c r="E383" t="s">
        <v>389</v>
      </c>
      <c r="F383" t="s"/>
      <c r="G383" t="s"/>
      <c r="H383" t="s"/>
      <c r="I383" t="s"/>
      <c r="J383" t="n">
        <v>0.1406</v>
      </c>
      <c r="K383" t="n">
        <v>0</v>
      </c>
      <c r="L383" t="n">
        <v>0.9340000000000001</v>
      </c>
      <c r="M383" t="n">
        <v>0.066</v>
      </c>
    </row>
    <row r="384" spans="1:13">
      <c r="A384" s="1">
        <f>HYPERLINK("http://www.twitter.com/NathanBLawrence/status/999751256787902464", "999751256787902464")</f>
        <v/>
      </c>
      <c r="B384" s="2" t="n">
        <v>43244.85935185185</v>
      </c>
      <c r="C384" t="n">
        <v>10</v>
      </c>
      <c r="D384" t="n">
        <v>7</v>
      </c>
      <c r="E384" t="s">
        <v>390</v>
      </c>
      <c r="F384" t="s"/>
      <c r="G384" t="s"/>
      <c r="H384" t="s"/>
      <c r="I384" t="s"/>
      <c r="J384" t="n">
        <v>-0.1803</v>
      </c>
      <c r="K384" t="n">
        <v>0.08799999999999999</v>
      </c>
      <c r="L384" t="n">
        <v>0.803</v>
      </c>
      <c r="M384" t="n">
        <v>0.109</v>
      </c>
    </row>
    <row r="385" spans="1:13">
      <c r="A385" s="1">
        <f>HYPERLINK("http://www.twitter.com/NathanBLawrence/status/999750862854610945", "999750862854610945")</f>
        <v/>
      </c>
      <c r="B385" s="2" t="n">
        <v>43244.85826388889</v>
      </c>
      <c r="C385" t="n">
        <v>11</v>
      </c>
      <c r="D385" t="n">
        <v>8</v>
      </c>
      <c r="E385" t="s">
        <v>391</v>
      </c>
      <c r="F385" t="s"/>
      <c r="G385" t="s"/>
      <c r="H385" t="s"/>
      <c r="I385" t="s"/>
      <c r="J385" t="n">
        <v>-0.7726</v>
      </c>
      <c r="K385" t="n">
        <v>0.195</v>
      </c>
      <c r="L385" t="n">
        <v>0.745</v>
      </c>
      <c r="M385" t="n">
        <v>0.06</v>
      </c>
    </row>
    <row r="386" spans="1:13">
      <c r="A386" s="1">
        <f>HYPERLINK("http://www.twitter.com/NathanBLawrence/status/999750451158507521", "999750451158507521")</f>
        <v/>
      </c>
      <c r="B386" s="2" t="n">
        <v>43244.85712962963</v>
      </c>
      <c r="C386" t="n">
        <v>5</v>
      </c>
      <c r="D386" t="n">
        <v>5</v>
      </c>
      <c r="E386" t="s">
        <v>392</v>
      </c>
      <c r="F386" t="s"/>
      <c r="G386" t="s"/>
      <c r="H386" t="s"/>
      <c r="I386" t="s"/>
      <c r="J386" t="n">
        <v>-0.834</v>
      </c>
      <c r="K386" t="n">
        <v>0.246</v>
      </c>
      <c r="L386" t="n">
        <v>0.695</v>
      </c>
      <c r="M386" t="n">
        <v>0.059</v>
      </c>
    </row>
    <row r="387" spans="1:13">
      <c r="A387" s="1">
        <f>HYPERLINK("http://www.twitter.com/NathanBLawrence/status/999750135272833029", "999750135272833029")</f>
        <v/>
      </c>
      <c r="B387" s="2" t="n">
        <v>43244.85626157407</v>
      </c>
      <c r="C387" t="n">
        <v>2</v>
      </c>
      <c r="D387" t="n">
        <v>2</v>
      </c>
      <c r="E387" t="s">
        <v>393</v>
      </c>
      <c r="F387" t="s"/>
      <c r="G387" t="s"/>
      <c r="H387" t="s"/>
      <c r="I387" t="s"/>
      <c r="J387" t="n">
        <v>0.2406</v>
      </c>
      <c r="K387" t="n">
        <v>0.08699999999999999</v>
      </c>
      <c r="L387" t="n">
        <v>0.789</v>
      </c>
      <c r="M387" t="n">
        <v>0.125</v>
      </c>
    </row>
    <row r="388" spans="1:13">
      <c r="A388" s="1">
        <f>HYPERLINK("http://www.twitter.com/NathanBLawrence/status/999748992132157441", "999748992132157441")</f>
        <v/>
      </c>
      <c r="B388" s="2" t="n">
        <v>43244.85310185186</v>
      </c>
      <c r="C388" t="n">
        <v>0</v>
      </c>
      <c r="D388" t="n">
        <v>4</v>
      </c>
      <c r="E388" t="s">
        <v>394</v>
      </c>
      <c r="F388" t="s"/>
      <c r="G388" t="s"/>
      <c r="H388" t="s"/>
      <c r="I388" t="s"/>
      <c r="J388" t="n">
        <v>0</v>
      </c>
      <c r="K388" t="n">
        <v>0</v>
      </c>
      <c r="L388" t="n">
        <v>1</v>
      </c>
      <c r="M388" t="n">
        <v>0</v>
      </c>
    </row>
    <row r="389" spans="1:13">
      <c r="A389" s="1">
        <f>HYPERLINK("http://www.twitter.com/NathanBLawrence/status/999748968937648131", "999748968937648131")</f>
        <v/>
      </c>
      <c r="B389" s="2" t="n">
        <v>43244.85304398148</v>
      </c>
      <c r="C389" t="n">
        <v>9</v>
      </c>
      <c r="D389" t="n">
        <v>6</v>
      </c>
      <c r="E389" t="s">
        <v>395</v>
      </c>
      <c r="F389" t="s"/>
      <c r="G389" t="s"/>
      <c r="H389" t="s"/>
      <c r="I389" t="s"/>
      <c r="J389" t="n">
        <v>0</v>
      </c>
      <c r="K389" t="n">
        <v>0</v>
      </c>
      <c r="L389" t="n">
        <v>1</v>
      </c>
      <c r="M389" t="n">
        <v>0</v>
      </c>
    </row>
    <row r="390" spans="1:13">
      <c r="A390" s="1">
        <f>HYPERLINK("http://www.twitter.com/NathanBLawrence/status/999748740771610624", "999748740771610624")</f>
        <v/>
      </c>
      <c r="B390" s="2" t="n">
        <v>43244.85240740741</v>
      </c>
      <c r="C390" t="n">
        <v>8</v>
      </c>
      <c r="D390" t="n">
        <v>4</v>
      </c>
      <c r="E390" t="s">
        <v>396</v>
      </c>
      <c r="F390" t="s"/>
      <c r="G390" t="s"/>
      <c r="H390" t="s"/>
      <c r="I390" t="s"/>
      <c r="J390" t="n">
        <v>-0.6421</v>
      </c>
      <c r="K390" t="n">
        <v>0.1</v>
      </c>
      <c r="L390" t="n">
        <v>0.9</v>
      </c>
      <c r="M390" t="n">
        <v>0</v>
      </c>
    </row>
    <row r="391" spans="1:13">
      <c r="A391" s="1">
        <f>HYPERLINK("http://www.twitter.com/NathanBLawrence/status/999748187077402624", "999748187077402624")</f>
        <v/>
      </c>
      <c r="B391" s="2" t="n">
        <v>43244.85087962963</v>
      </c>
      <c r="C391" t="n">
        <v>0</v>
      </c>
      <c r="D391" t="n">
        <v>2</v>
      </c>
      <c r="E391" t="s">
        <v>397</v>
      </c>
      <c r="F391" t="s"/>
      <c r="G391" t="s"/>
      <c r="H391" t="s"/>
      <c r="I391" t="s"/>
      <c r="J391" t="n">
        <v>0</v>
      </c>
      <c r="K391" t="n">
        <v>0</v>
      </c>
      <c r="L391" t="n">
        <v>1</v>
      </c>
      <c r="M391" t="n">
        <v>0</v>
      </c>
    </row>
    <row r="392" spans="1:13">
      <c r="A392" s="1">
        <f>HYPERLINK("http://www.twitter.com/NathanBLawrence/status/999748149462949889", "999748149462949889")</f>
        <v/>
      </c>
      <c r="B392" s="2" t="n">
        <v>43244.85077546296</v>
      </c>
      <c r="C392" t="n">
        <v>4</v>
      </c>
      <c r="D392" t="n">
        <v>3</v>
      </c>
      <c r="E392" t="s">
        <v>398</v>
      </c>
      <c r="F392" t="s"/>
      <c r="G392" t="s"/>
      <c r="H392" t="s"/>
      <c r="I392" t="s"/>
      <c r="J392" t="n">
        <v>0.3612</v>
      </c>
      <c r="K392" t="n">
        <v>0</v>
      </c>
      <c r="L392" t="n">
        <v>0.95</v>
      </c>
      <c r="M392" t="n">
        <v>0.05</v>
      </c>
    </row>
    <row r="393" spans="1:13">
      <c r="A393" s="1">
        <f>HYPERLINK("http://www.twitter.com/NathanBLawrence/status/999747694968168450", "999747694968168450")</f>
        <v/>
      </c>
      <c r="B393" s="2" t="n">
        <v>43244.84952546296</v>
      </c>
      <c r="C393" t="n">
        <v>5</v>
      </c>
      <c r="D393" t="n">
        <v>3</v>
      </c>
      <c r="E393" t="s">
        <v>399</v>
      </c>
      <c r="F393" t="s"/>
      <c r="G393" t="s"/>
      <c r="H393" t="s"/>
      <c r="I393" t="s"/>
      <c r="J393" t="n">
        <v>-0.5893</v>
      </c>
      <c r="K393" t="n">
        <v>0.129</v>
      </c>
      <c r="L393" t="n">
        <v>0.782</v>
      </c>
      <c r="M393" t="n">
        <v>0.08799999999999999</v>
      </c>
    </row>
    <row r="394" spans="1:13">
      <c r="A394" s="1">
        <f>HYPERLINK("http://www.twitter.com/NathanBLawrence/status/999747317384310786", "999747317384310786")</f>
        <v/>
      </c>
      <c r="B394" s="2" t="n">
        <v>43244.8484837963</v>
      </c>
      <c r="C394" t="n">
        <v>0</v>
      </c>
      <c r="D394" t="n">
        <v>3</v>
      </c>
      <c r="E394" t="s">
        <v>400</v>
      </c>
      <c r="F394">
        <f>HYPERLINK("http://pbs.twimg.com/media/Dd_OynTVQAAsQxl.jpg", "http://pbs.twimg.com/media/Dd_OynTVQAAsQxl.jpg")</f>
        <v/>
      </c>
      <c r="G394" t="s"/>
      <c r="H394" t="s"/>
      <c r="I394" t="s"/>
      <c r="J394" t="n">
        <v>0.34</v>
      </c>
      <c r="K394" t="n">
        <v>0</v>
      </c>
      <c r="L394" t="n">
        <v>0.906</v>
      </c>
      <c r="M394" t="n">
        <v>0.094</v>
      </c>
    </row>
    <row r="395" spans="1:13">
      <c r="A395" s="1">
        <f>HYPERLINK("http://www.twitter.com/NathanBLawrence/status/999747290255581184", "999747290255581184")</f>
        <v/>
      </c>
      <c r="B395" s="2" t="n">
        <v>43244.84841435185</v>
      </c>
      <c r="C395" t="n">
        <v>0</v>
      </c>
      <c r="D395" t="n">
        <v>7</v>
      </c>
      <c r="E395" t="s">
        <v>401</v>
      </c>
      <c r="F395" t="s"/>
      <c r="G395" t="s"/>
      <c r="H395" t="s"/>
      <c r="I395" t="s"/>
      <c r="J395" t="n">
        <v>0.25</v>
      </c>
      <c r="K395" t="n">
        <v>0</v>
      </c>
      <c r="L395" t="n">
        <v>0.882</v>
      </c>
      <c r="M395" t="n">
        <v>0.118</v>
      </c>
    </row>
    <row r="396" spans="1:13">
      <c r="A396" s="1">
        <f>HYPERLINK("http://www.twitter.com/NathanBLawrence/status/999744137581809665", "999744137581809665")</f>
        <v/>
      </c>
      <c r="B396" s="2" t="n">
        <v>43244.83971064815</v>
      </c>
      <c r="C396" t="n">
        <v>5</v>
      </c>
      <c r="D396" t="n">
        <v>3</v>
      </c>
      <c r="E396" t="s">
        <v>402</v>
      </c>
      <c r="F396" t="s"/>
      <c r="G396" t="s"/>
      <c r="H396" t="s"/>
      <c r="I396" t="s"/>
      <c r="J396" t="n">
        <v>-0.3291</v>
      </c>
      <c r="K396" t="n">
        <v>0.064</v>
      </c>
      <c r="L396" t="n">
        <v>0.915</v>
      </c>
      <c r="M396" t="n">
        <v>0.021</v>
      </c>
    </row>
    <row r="397" spans="1:13">
      <c r="A397" s="1">
        <f>HYPERLINK("http://www.twitter.com/NathanBLawrence/status/999739132162314240", "999739132162314240")</f>
        <v/>
      </c>
      <c r="B397" s="2" t="n">
        <v>43244.82590277777</v>
      </c>
      <c r="C397" t="n">
        <v>2</v>
      </c>
      <c r="D397" t="n">
        <v>2</v>
      </c>
      <c r="E397" t="s">
        <v>403</v>
      </c>
      <c r="F397" t="s"/>
      <c r="G397" t="s"/>
      <c r="H397" t="s"/>
      <c r="I397" t="s"/>
      <c r="J397" t="n">
        <v>0.3313</v>
      </c>
      <c r="K397" t="n">
        <v>0</v>
      </c>
      <c r="L397" t="n">
        <v>0.846</v>
      </c>
      <c r="M397" t="n">
        <v>0.154</v>
      </c>
    </row>
    <row r="398" spans="1:13">
      <c r="A398" s="1">
        <f>HYPERLINK("http://www.twitter.com/NathanBLawrence/status/999739064311009285", "999739064311009285")</f>
        <v/>
      </c>
      <c r="B398" s="2" t="n">
        <v>43244.82570601852</v>
      </c>
      <c r="C398" t="n">
        <v>8</v>
      </c>
      <c r="D398" t="n">
        <v>7</v>
      </c>
      <c r="E398" t="s">
        <v>404</v>
      </c>
      <c r="F398" t="s"/>
      <c r="G398" t="s"/>
      <c r="H398" t="s"/>
      <c r="I398" t="s"/>
      <c r="J398" t="n">
        <v>0.25</v>
      </c>
      <c r="K398" t="n">
        <v>0</v>
      </c>
      <c r="L398" t="n">
        <v>0.867</v>
      </c>
      <c r="M398" t="n">
        <v>0.133</v>
      </c>
    </row>
    <row r="399" spans="1:13">
      <c r="A399" s="1">
        <f>HYPERLINK("http://www.twitter.com/NathanBLawrence/status/999732589819723776", "999732589819723776")</f>
        <v/>
      </c>
      <c r="B399" s="2" t="n">
        <v>43244.80784722222</v>
      </c>
      <c r="C399" t="n">
        <v>0</v>
      </c>
      <c r="D399" t="n">
        <v>0</v>
      </c>
      <c r="E399" t="s">
        <v>405</v>
      </c>
      <c r="F399" t="s"/>
      <c r="G399" t="s"/>
      <c r="H399" t="s"/>
      <c r="I399" t="s"/>
      <c r="J399" t="n">
        <v>-0.5563</v>
      </c>
      <c r="K399" t="n">
        <v>0.138</v>
      </c>
      <c r="L399" t="n">
        <v>0.82</v>
      </c>
      <c r="M399" t="n">
        <v>0.042</v>
      </c>
    </row>
    <row r="400" spans="1:13">
      <c r="A400" s="1">
        <f>HYPERLINK("http://www.twitter.com/NathanBLawrence/status/999731361362710528", "999731361362710528")</f>
        <v/>
      </c>
      <c r="B400" s="2" t="n">
        <v>43244.80445601852</v>
      </c>
      <c r="C400" t="n">
        <v>1</v>
      </c>
      <c r="D400" t="n">
        <v>0</v>
      </c>
      <c r="E400" t="s">
        <v>406</v>
      </c>
      <c r="F400" t="s"/>
      <c r="G400" t="s"/>
      <c r="H400" t="s"/>
      <c r="I400" t="s"/>
      <c r="J400" t="n">
        <v>0.2732</v>
      </c>
      <c r="K400" t="n">
        <v>0</v>
      </c>
      <c r="L400" t="n">
        <v>0.851</v>
      </c>
      <c r="M400" t="n">
        <v>0.149</v>
      </c>
    </row>
    <row r="401" spans="1:13">
      <c r="A401" s="1">
        <f>HYPERLINK("http://www.twitter.com/NathanBLawrence/status/999729899043803136", "999729899043803136")</f>
        <v/>
      </c>
      <c r="B401" s="2" t="n">
        <v>43244.80041666667</v>
      </c>
      <c r="C401" t="n">
        <v>5</v>
      </c>
      <c r="D401" t="n">
        <v>2</v>
      </c>
      <c r="E401" t="s">
        <v>407</v>
      </c>
      <c r="F401" t="s"/>
      <c r="G401" t="s"/>
      <c r="H401" t="s"/>
      <c r="I401" t="s"/>
      <c r="J401" t="n">
        <v>-0.4871</v>
      </c>
      <c r="K401" t="n">
        <v>0.095</v>
      </c>
      <c r="L401" t="n">
        <v>0.905</v>
      </c>
      <c r="M401" t="n">
        <v>0</v>
      </c>
    </row>
    <row r="402" spans="1:13">
      <c r="A402" s="1">
        <f>HYPERLINK("http://www.twitter.com/NathanBLawrence/status/999729124435464194", "999729124435464194")</f>
        <v/>
      </c>
      <c r="B402" s="2" t="n">
        <v>43244.79827546296</v>
      </c>
      <c r="C402" t="n">
        <v>13</v>
      </c>
      <c r="D402" t="n">
        <v>9</v>
      </c>
      <c r="E402" t="s">
        <v>408</v>
      </c>
      <c r="F402" t="s"/>
      <c r="G402" t="s"/>
      <c r="H402" t="s"/>
      <c r="I402" t="s"/>
      <c r="J402" t="n">
        <v>-0.6007</v>
      </c>
      <c r="K402" t="n">
        <v>0.11</v>
      </c>
      <c r="L402" t="n">
        <v>0.86</v>
      </c>
      <c r="M402" t="n">
        <v>0.03</v>
      </c>
    </row>
    <row r="403" spans="1:13">
      <c r="A403" s="1">
        <f>HYPERLINK("http://www.twitter.com/NathanBLawrence/status/999728612516515840", "999728612516515840")</f>
        <v/>
      </c>
      <c r="B403" s="2" t="n">
        <v>43244.79686342592</v>
      </c>
      <c r="C403" t="n">
        <v>0</v>
      </c>
      <c r="D403" t="n">
        <v>0</v>
      </c>
      <c r="E403" t="s">
        <v>409</v>
      </c>
      <c r="F403" t="s"/>
      <c r="G403" t="s"/>
      <c r="H403" t="s"/>
      <c r="I403" t="s"/>
      <c r="J403" t="n">
        <v>0</v>
      </c>
      <c r="K403" t="n">
        <v>0</v>
      </c>
      <c r="L403" t="n">
        <v>1</v>
      </c>
      <c r="M403" t="n">
        <v>0</v>
      </c>
    </row>
    <row r="404" spans="1:13">
      <c r="A404" s="1">
        <f>HYPERLINK("http://www.twitter.com/NathanBLawrence/status/999727332041641986", "999727332041641986")</f>
        <v/>
      </c>
      <c r="B404" s="2" t="n">
        <v>43244.79333333333</v>
      </c>
      <c r="C404" t="n">
        <v>0</v>
      </c>
      <c r="D404" t="n">
        <v>5</v>
      </c>
      <c r="E404" t="s">
        <v>410</v>
      </c>
      <c r="F404" t="s"/>
      <c r="G404" t="s"/>
      <c r="H404" t="s"/>
      <c r="I404" t="s"/>
      <c r="J404" t="n">
        <v>-0.1531</v>
      </c>
      <c r="K404" t="n">
        <v>0.106</v>
      </c>
      <c r="L404" t="n">
        <v>0.806</v>
      </c>
      <c r="M404" t="n">
        <v>0.08699999999999999</v>
      </c>
    </row>
    <row r="405" spans="1:13">
      <c r="A405" s="1">
        <f>HYPERLINK("http://www.twitter.com/NathanBLawrence/status/999707689675640837", "999707689675640837")</f>
        <v/>
      </c>
      <c r="B405" s="2" t="n">
        <v>43244.73913194444</v>
      </c>
      <c r="C405" t="n">
        <v>0</v>
      </c>
      <c r="D405" t="n">
        <v>4</v>
      </c>
      <c r="E405" t="s">
        <v>411</v>
      </c>
      <c r="F405">
        <f>HYPERLINK("http://pbs.twimg.com/media/Dd-gnOHV4AAJqRy.jpg", "http://pbs.twimg.com/media/Dd-gnOHV4AAJqRy.jpg")</f>
        <v/>
      </c>
      <c r="G405" t="s"/>
      <c r="H405" t="s"/>
      <c r="I405" t="s"/>
      <c r="J405" t="n">
        <v>-0.5266999999999999</v>
      </c>
      <c r="K405" t="n">
        <v>0.159</v>
      </c>
      <c r="L405" t="n">
        <v>0.841</v>
      </c>
      <c r="M405" t="n">
        <v>0</v>
      </c>
    </row>
    <row r="406" spans="1:13">
      <c r="A406" s="1">
        <f>HYPERLINK("http://www.twitter.com/NathanBLawrence/status/999707659996721154", "999707659996721154")</f>
        <v/>
      </c>
      <c r="B406" s="2" t="n">
        <v>43244.73905092593</v>
      </c>
      <c r="C406" t="n">
        <v>4</v>
      </c>
      <c r="D406" t="n">
        <v>2</v>
      </c>
      <c r="E406" t="s">
        <v>412</v>
      </c>
      <c r="F406" t="s"/>
      <c r="G406" t="s"/>
      <c r="H406" t="s"/>
      <c r="I406" t="s"/>
      <c r="J406" t="n">
        <v>0.6597</v>
      </c>
      <c r="K406" t="n">
        <v>0</v>
      </c>
      <c r="L406" t="n">
        <v>0.859</v>
      </c>
      <c r="M406" t="n">
        <v>0.141</v>
      </c>
    </row>
    <row r="407" spans="1:13">
      <c r="A407" s="1">
        <f>HYPERLINK("http://www.twitter.com/NathanBLawrence/status/999707330425040897", "999707330425040897")</f>
        <v/>
      </c>
      <c r="B407" s="2" t="n">
        <v>43244.73813657407</v>
      </c>
      <c r="C407" t="n">
        <v>0</v>
      </c>
      <c r="D407" t="n">
        <v>9</v>
      </c>
      <c r="E407" t="s">
        <v>413</v>
      </c>
      <c r="F407" t="s"/>
      <c r="G407" t="s"/>
      <c r="H407" t="s"/>
      <c r="I407" t="s"/>
      <c r="J407" t="n">
        <v>0</v>
      </c>
      <c r="K407" t="n">
        <v>0</v>
      </c>
      <c r="L407" t="n">
        <v>1</v>
      </c>
      <c r="M407" t="n">
        <v>0</v>
      </c>
    </row>
    <row r="408" spans="1:13">
      <c r="A408" s="1">
        <f>HYPERLINK("http://www.twitter.com/NathanBLawrence/status/999501371996102657", "999501371996102657")</f>
        <v/>
      </c>
      <c r="B408" s="2" t="n">
        <v>43244.16980324074</v>
      </c>
      <c r="C408" t="n">
        <v>0</v>
      </c>
      <c r="D408" t="n">
        <v>20</v>
      </c>
      <c r="E408" t="s">
        <v>414</v>
      </c>
      <c r="F408">
        <f>HYPERLINK("https://video.twimg.com/ext_tw_video/999501144631095296/pu/vid/1280x720/dxrJUbrzBkG-T6g9.mp4?tag=3", "https://video.twimg.com/ext_tw_video/999501144631095296/pu/vid/1280x720/dxrJUbrzBkG-T6g9.mp4?tag=3")</f>
        <v/>
      </c>
      <c r="G408" t="s"/>
      <c r="H408" t="s"/>
      <c r="I408" t="s"/>
      <c r="J408" t="n">
        <v>0.7955</v>
      </c>
      <c r="K408" t="n">
        <v>0</v>
      </c>
      <c r="L408" t="n">
        <v>0.738</v>
      </c>
      <c r="M408" t="n">
        <v>0.262</v>
      </c>
    </row>
    <row r="409" spans="1:13">
      <c r="A409" s="1">
        <f>HYPERLINK("http://www.twitter.com/NathanBLawrence/status/999501227573563392", "999501227573563392")</f>
        <v/>
      </c>
      <c r="B409" s="2" t="n">
        <v>43244.16940972222</v>
      </c>
      <c r="C409" t="n">
        <v>22</v>
      </c>
      <c r="D409" t="n">
        <v>20</v>
      </c>
      <c r="E409" t="s">
        <v>415</v>
      </c>
      <c r="F409">
        <f>HYPERLINK("https://video.twimg.com/ext_tw_video/999501144631095296/pu/vid/1280x720/dxrJUbrzBkG-T6g9.mp4?tag=3", "https://video.twimg.com/ext_tw_video/999501144631095296/pu/vid/1280x720/dxrJUbrzBkG-T6g9.mp4?tag=3")</f>
        <v/>
      </c>
      <c r="G409" t="s"/>
      <c r="H409" t="s"/>
      <c r="I409" t="s"/>
      <c r="J409" t="n">
        <v>0.717</v>
      </c>
      <c r="K409" t="n">
        <v>0.043</v>
      </c>
      <c r="L409" t="n">
        <v>0.8129999999999999</v>
      </c>
      <c r="M409" t="n">
        <v>0.144</v>
      </c>
    </row>
    <row r="410" spans="1:13">
      <c r="A410" s="1">
        <f>HYPERLINK("http://www.twitter.com/NathanBLawrence/status/999500507403182080", "999500507403182080")</f>
        <v/>
      </c>
      <c r="B410" s="2" t="n">
        <v>43244.16741898148</v>
      </c>
      <c r="C410" t="n">
        <v>0</v>
      </c>
      <c r="D410" t="n">
        <v>7</v>
      </c>
      <c r="E410" t="s">
        <v>416</v>
      </c>
      <c r="F410" t="s"/>
      <c r="G410" t="s"/>
      <c r="H410" t="s"/>
      <c r="I410" t="s"/>
      <c r="J410" t="n">
        <v>0</v>
      </c>
      <c r="K410" t="n">
        <v>0</v>
      </c>
      <c r="L410" t="n">
        <v>1</v>
      </c>
      <c r="M410" t="n">
        <v>0</v>
      </c>
    </row>
    <row r="411" spans="1:13">
      <c r="A411" s="1">
        <f>HYPERLINK("http://www.twitter.com/NathanBLawrence/status/999469504626352128", "999469504626352128")</f>
        <v/>
      </c>
      <c r="B411" s="2" t="n">
        <v>43244.08186342593</v>
      </c>
      <c r="C411" t="n">
        <v>0</v>
      </c>
      <c r="D411" t="n">
        <v>6</v>
      </c>
      <c r="E411" t="s">
        <v>417</v>
      </c>
      <c r="F411" t="s"/>
      <c r="G411" t="s"/>
      <c r="H411" t="s"/>
      <c r="I411" t="s"/>
      <c r="J411" t="n">
        <v>-0.296</v>
      </c>
      <c r="K411" t="n">
        <v>0.091</v>
      </c>
      <c r="L411" t="n">
        <v>0.909</v>
      </c>
      <c r="M411" t="n">
        <v>0</v>
      </c>
    </row>
    <row r="412" spans="1:13">
      <c r="A412" s="1">
        <f>HYPERLINK("http://www.twitter.com/NathanBLawrence/status/999469487823912960", "999469487823912960")</f>
        <v/>
      </c>
      <c r="B412" s="2" t="n">
        <v>43244.08181712963</v>
      </c>
      <c r="C412" t="n">
        <v>0</v>
      </c>
      <c r="D412" t="n">
        <v>4</v>
      </c>
      <c r="E412" t="s">
        <v>418</v>
      </c>
      <c r="F412" t="s"/>
      <c r="G412" t="s"/>
      <c r="H412" t="s"/>
      <c r="I412" t="s"/>
      <c r="J412" t="n">
        <v>0</v>
      </c>
      <c r="K412" t="n">
        <v>0</v>
      </c>
      <c r="L412" t="n">
        <v>1</v>
      </c>
      <c r="M412" t="n">
        <v>0</v>
      </c>
    </row>
    <row r="413" spans="1:13">
      <c r="A413" s="1">
        <f>HYPERLINK("http://www.twitter.com/NathanBLawrence/status/999469454378590209", "999469454378590209")</f>
        <v/>
      </c>
      <c r="B413" s="2" t="n">
        <v>43244.08172453703</v>
      </c>
      <c r="C413" t="n">
        <v>0</v>
      </c>
      <c r="D413" t="n">
        <v>5</v>
      </c>
      <c r="E413" t="s">
        <v>419</v>
      </c>
      <c r="F413" t="s"/>
      <c r="G413" t="s"/>
      <c r="H413" t="s"/>
      <c r="I413" t="s"/>
      <c r="J413" t="n">
        <v>0.34</v>
      </c>
      <c r="K413" t="n">
        <v>0.05</v>
      </c>
      <c r="L413" t="n">
        <v>0.8080000000000001</v>
      </c>
      <c r="M413" t="n">
        <v>0.142</v>
      </c>
    </row>
    <row r="414" spans="1:13">
      <c r="A414" s="1">
        <f>HYPERLINK("http://www.twitter.com/NathanBLawrence/status/999468932728807424", "999468932728807424")</f>
        <v/>
      </c>
      <c r="B414" s="2" t="n">
        <v>43244.08028935185</v>
      </c>
      <c r="C414" t="n">
        <v>3</v>
      </c>
      <c r="D414" t="n">
        <v>2</v>
      </c>
      <c r="E414" t="s">
        <v>420</v>
      </c>
      <c r="F414" t="s"/>
      <c r="G414" t="s"/>
      <c r="H414" t="s"/>
      <c r="I414" t="s"/>
      <c r="J414" t="n">
        <v>-0.6597</v>
      </c>
      <c r="K414" t="n">
        <v>0.241</v>
      </c>
      <c r="L414" t="n">
        <v>0.759</v>
      </c>
      <c r="M414" t="n">
        <v>0</v>
      </c>
    </row>
    <row r="415" spans="1:13">
      <c r="A415" s="1">
        <f>HYPERLINK("http://www.twitter.com/NathanBLawrence/status/999468457941979136", "999468457941979136")</f>
        <v/>
      </c>
      <c r="B415" s="2" t="n">
        <v>43244.07898148148</v>
      </c>
      <c r="C415" t="n">
        <v>3</v>
      </c>
      <c r="D415" t="n">
        <v>3</v>
      </c>
      <c r="E415" t="s">
        <v>421</v>
      </c>
      <c r="F415" t="s"/>
      <c r="G415" t="s"/>
      <c r="H415" t="s"/>
      <c r="I415" t="s"/>
      <c r="J415" t="n">
        <v>0</v>
      </c>
      <c r="K415" t="n">
        <v>0</v>
      </c>
      <c r="L415" t="n">
        <v>1</v>
      </c>
      <c r="M415" t="n">
        <v>0</v>
      </c>
    </row>
    <row r="416" spans="1:13">
      <c r="A416" s="1">
        <f>HYPERLINK("http://www.twitter.com/NathanBLawrence/status/999468267453468672", "999468267453468672")</f>
        <v/>
      </c>
      <c r="B416" s="2" t="n">
        <v>43244.07844907408</v>
      </c>
      <c r="C416" t="n">
        <v>10</v>
      </c>
      <c r="D416" t="n">
        <v>7</v>
      </c>
      <c r="E416" t="s">
        <v>422</v>
      </c>
      <c r="F416" t="s"/>
      <c r="G416" t="s"/>
      <c r="H416" t="s"/>
      <c r="I416" t="s"/>
      <c r="J416" t="n">
        <v>0.5859</v>
      </c>
      <c r="K416" t="n">
        <v>0.041</v>
      </c>
      <c r="L416" t="n">
        <v>0.856</v>
      </c>
      <c r="M416" t="n">
        <v>0.104</v>
      </c>
    </row>
    <row r="417" spans="1:13">
      <c r="A417" s="1">
        <f>HYPERLINK("http://www.twitter.com/NathanBLawrence/status/999467953019129858", "999467953019129858")</f>
        <v/>
      </c>
      <c r="B417" s="2" t="n">
        <v>43244.07758101852</v>
      </c>
      <c r="C417" t="n">
        <v>2</v>
      </c>
      <c r="D417" t="n">
        <v>2</v>
      </c>
      <c r="E417" t="s">
        <v>423</v>
      </c>
      <c r="F417" t="s"/>
      <c r="G417" t="s"/>
      <c r="H417" t="s"/>
      <c r="I417" t="s"/>
      <c r="J417" t="n">
        <v>0.7783</v>
      </c>
      <c r="K417" t="n">
        <v>0</v>
      </c>
      <c r="L417" t="n">
        <v>0.782</v>
      </c>
      <c r="M417" t="n">
        <v>0.218</v>
      </c>
    </row>
    <row r="418" spans="1:13">
      <c r="A418" s="1">
        <f>HYPERLINK("http://www.twitter.com/NathanBLawrence/status/999467734453940225", "999467734453940225")</f>
        <v/>
      </c>
      <c r="B418" s="2" t="n">
        <v>43244.07697916667</v>
      </c>
      <c r="C418" t="n">
        <v>9</v>
      </c>
      <c r="D418" t="n">
        <v>5</v>
      </c>
      <c r="E418" t="s">
        <v>424</v>
      </c>
      <c r="F418" t="s"/>
      <c r="G418" t="s"/>
      <c r="H418" t="s"/>
      <c r="I418" t="s"/>
      <c r="J418" t="n">
        <v>-0.3369</v>
      </c>
      <c r="K418" t="n">
        <v>0.127</v>
      </c>
      <c r="L418" t="n">
        <v>0.776</v>
      </c>
      <c r="M418" t="n">
        <v>0.097</v>
      </c>
    </row>
    <row r="419" spans="1:13">
      <c r="A419" s="1">
        <f>HYPERLINK("http://www.twitter.com/NathanBLawrence/status/999467432610816000", "999467432610816000")</f>
        <v/>
      </c>
      <c r="B419" s="2" t="n">
        <v>43244.07614583334</v>
      </c>
      <c r="C419" t="n">
        <v>9</v>
      </c>
      <c r="D419" t="n">
        <v>4</v>
      </c>
      <c r="E419" t="s">
        <v>425</v>
      </c>
      <c r="F419" t="s"/>
      <c r="G419" t="s"/>
      <c r="H419" t="s"/>
      <c r="I419" t="s"/>
      <c r="J419" t="n">
        <v>0.3453</v>
      </c>
      <c r="K419" t="n">
        <v>0.067</v>
      </c>
      <c r="L419" t="n">
        <v>0.828</v>
      </c>
      <c r="M419" t="n">
        <v>0.104</v>
      </c>
    </row>
    <row r="420" spans="1:13">
      <c r="A420" s="1">
        <f>HYPERLINK("http://www.twitter.com/NathanBLawrence/status/999467198807789568", "999467198807789568")</f>
        <v/>
      </c>
      <c r="B420" s="2" t="n">
        <v>43244.07550925926</v>
      </c>
      <c r="C420" t="n">
        <v>9</v>
      </c>
      <c r="D420" t="n">
        <v>5</v>
      </c>
      <c r="E420" t="s">
        <v>426</v>
      </c>
      <c r="F420" t="s"/>
      <c r="G420" t="s"/>
      <c r="H420" t="s"/>
      <c r="I420" t="s"/>
      <c r="J420" t="n">
        <v>-0.1509</v>
      </c>
      <c r="K420" t="n">
        <v>0.105</v>
      </c>
      <c r="L420" t="n">
        <v>0.782</v>
      </c>
      <c r="M420" t="n">
        <v>0.113</v>
      </c>
    </row>
    <row r="421" spans="1:13">
      <c r="A421" s="1">
        <f>HYPERLINK("http://www.twitter.com/NathanBLawrence/status/999466301776187393", "999466301776187393")</f>
        <v/>
      </c>
      <c r="B421" s="2" t="n">
        <v>43244.07303240741</v>
      </c>
      <c r="C421" t="n">
        <v>0</v>
      </c>
      <c r="D421" t="n">
        <v>12</v>
      </c>
      <c r="E421" t="s">
        <v>427</v>
      </c>
      <c r="F421" t="s"/>
      <c r="G421" t="s"/>
      <c r="H421" t="s"/>
      <c r="I421" t="s"/>
      <c r="J421" t="n">
        <v>0</v>
      </c>
      <c r="K421" t="n">
        <v>0</v>
      </c>
      <c r="L421" t="n">
        <v>1</v>
      </c>
      <c r="M421" t="n">
        <v>0</v>
      </c>
    </row>
    <row r="422" spans="1:13">
      <c r="A422" s="1">
        <f>HYPERLINK("http://www.twitter.com/NathanBLawrence/status/999466207718903808", "999466207718903808")</f>
        <v/>
      </c>
      <c r="B422" s="2" t="n">
        <v>43244.0727662037</v>
      </c>
      <c r="C422" t="n">
        <v>0</v>
      </c>
      <c r="D422" t="n">
        <v>10</v>
      </c>
      <c r="E422" t="s">
        <v>428</v>
      </c>
      <c r="F422" t="s"/>
      <c r="G422" t="s"/>
      <c r="H422" t="s"/>
      <c r="I422" t="s"/>
      <c r="J422" t="n">
        <v>0.0772</v>
      </c>
      <c r="K422" t="n">
        <v>0.147</v>
      </c>
      <c r="L422" t="n">
        <v>0.735</v>
      </c>
      <c r="M422" t="n">
        <v>0.118</v>
      </c>
    </row>
    <row r="423" spans="1:13">
      <c r="A423" s="1">
        <f>HYPERLINK("http://www.twitter.com/NathanBLawrence/status/999466170511118341", "999466170511118341")</f>
        <v/>
      </c>
      <c r="B423" s="2" t="n">
        <v>43244.07266203704</v>
      </c>
      <c r="C423" t="n">
        <v>0</v>
      </c>
      <c r="D423" t="n">
        <v>2</v>
      </c>
      <c r="E423" t="s">
        <v>429</v>
      </c>
      <c r="F423" t="s"/>
      <c r="G423" t="s"/>
      <c r="H423" t="s"/>
      <c r="I423" t="s"/>
      <c r="J423" t="n">
        <v>0.3382</v>
      </c>
      <c r="K423" t="n">
        <v>0.073</v>
      </c>
      <c r="L423" t="n">
        <v>0.782</v>
      </c>
      <c r="M423" t="n">
        <v>0.145</v>
      </c>
    </row>
    <row r="424" spans="1:13">
      <c r="A424" s="1">
        <f>HYPERLINK("http://www.twitter.com/NathanBLawrence/status/999466127947390977", "999466127947390977")</f>
        <v/>
      </c>
      <c r="B424" s="2" t="n">
        <v>43244.07254629629</v>
      </c>
      <c r="C424" t="n">
        <v>0</v>
      </c>
      <c r="D424" t="n">
        <v>14</v>
      </c>
      <c r="E424" t="s">
        <v>430</v>
      </c>
      <c r="F424">
        <f>HYPERLINK("http://pbs.twimg.com/media/Dd7Drp9V0AAc5NP.jpg", "http://pbs.twimg.com/media/Dd7Drp9V0AAc5NP.jpg")</f>
        <v/>
      </c>
      <c r="G424" t="s"/>
      <c r="H424" t="s"/>
      <c r="I424" t="s"/>
      <c r="J424" t="n">
        <v>0</v>
      </c>
      <c r="K424" t="n">
        <v>0</v>
      </c>
      <c r="L424" t="n">
        <v>1</v>
      </c>
      <c r="M424" t="n">
        <v>0</v>
      </c>
    </row>
    <row r="425" spans="1:13">
      <c r="A425" s="1">
        <f>HYPERLINK("http://www.twitter.com/NathanBLawrence/status/999466107395301381", "999466107395301381")</f>
        <v/>
      </c>
      <c r="B425" s="2" t="n">
        <v>43244.07248842593</v>
      </c>
      <c r="C425" t="n">
        <v>0</v>
      </c>
      <c r="D425" t="n">
        <v>13</v>
      </c>
      <c r="E425" t="s">
        <v>431</v>
      </c>
      <c r="F425" t="s"/>
      <c r="G425" t="s"/>
      <c r="H425" t="s"/>
      <c r="I425" t="s"/>
      <c r="J425" t="n">
        <v>0</v>
      </c>
      <c r="K425" t="n">
        <v>0</v>
      </c>
      <c r="L425" t="n">
        <v>1</v>
      </c>
      <c r="M425" t="n">
        <v>0</v>
      </c>
    </row>
    <row r="426" spans="1:13">
      <c r="A426" s="1">
        <f>HYPERLINK("http://www.twitter.com/NathanBLawrence/status/999466095668072448", "999466095668072448")</f>
        <v/>
      </c>
      <c r="B426" s="2" t="n">
        <v>43244.07246527778</v>
      </c>
      <c r="C426" t="n">
        <v>0</v>
      </c>
      <c r="D426" t="n">
        <v>11</v>
      </c>
      <c r="E426" t="s">
        <v>432</v>
      </c>
      <c r="F426">
        <f>HYPERLINK("http://pbs.twimg.com/media/Dd5tI2kU0AE4C_f.jpg", "http://pbs.twimg.com/media/Dd5tI2kU0AE4C_f.jpg")</f>
        <v/>
      </c>
      <c r="G426">
        <f>HYPERLINK("http://pbs.twimg.com/media/Dd5tI2kU0AAtiez.jpg", "http://pbs.twimg.com/media/Dd5tI2kU0AAtiez.jpg")</f>
        <v/>
      </c>
      <c r="H426" t="s"/>
      <c r="I426" t="s"/>
      <c r="J426" t="n">
        <v>0.8928</v>
      </c>
      <c r="K426" t="n">
        <v>0</v>
      </c>
      <c r="L426" t="n">
        <v>0.628</v>
      </c>
      <c r="M426" t="n">
        <v>0.372</v>
      </c>
    </row>
    <row r="427" spans="1:13">
      <c r="A427" s="1">
        <f>HYPERLINK("http://www.twitter.com/NathanBLawrence/status/999466047945232384", "999466047945232384")</f>
        <v/>
      </c>
      <c r="B427" s="2" t="n">
        <v>43244.07232638889</v>
      </c>
      <c r="C427" t="n">
        <v>0</v>
      </c>
      <c r="D427" t="n">
        <v>8</v>
      </c>
      <c r="E427" t="s">
        <v>433</v>
      </c>
      <c r="F427" t="s"/>
      <c r="G427" t="s"/>
      <c r="H427" t="s"/>
      <c r="I427" t="s"/>
      <c r="J427" t="n">
        <v>0.4215</v>
      </c>
      <c r="K427" t="n">
        <v>0</v>
      </c>
      <c r="L427" t="n">
        <v>0.896</v>
      </c>
      <c r="M427" t="n">
        <v>0.104</v>
      </c>
    </row>
    <row r="428" spans="1:13">
      <c r="A428" s="1">
        <f>HYPERLINK("http://www.twitter.com/NathanBLawrence/status/999466028185849858", "999466028185849858")</f>
        <v/>
      </c>
      <c r="B428" s="2" t="n">
        <v>43244.07226851852</v>
      </c>
      <c r="C428" t="n">
        <v>0</v>
      </c>
      <c r="D428" t="n">
        <v>13</v>
      </c>
      <c r="E428" t="s">
        <v>434</v>
      </c>
      <c r="F428" t="s"/>
      <c r="G428" t="s"/>
      <c r="H428" t="s"/>
      <c r="I428" t="s"/>
      <c r="J428" t="n">
        <v>-0.4404</v>
      </c>
      <c r="K428" t="n">
        <v>0.127</v>
      </c>
      <c r="L428" t="n">
        <v>0.873</v>
      </c>
      <c r="M428" t="n">
        <v>0</v>
      </c>
    </row>
    <row r="429" spans="1:13">
      <c r="A429" s="1">
        <f>HYPERLINK("http://www.twitter.com/NathanBLawrence/status/999465976763731968", "999465976763731968")</f>
        <v/>
      </c>
      <c r="B429" s="2" t="n">
        <v>43244.07212962963</v>
      </c>
      <c r="C429" t="n">
        <v>4</v>
      </c>
      <c r="D429" t="n">
        <v>5</v>
      </c>
      <c r="E429" t="s">
        <v>435</v>
      </c>
      <c r="F429" t="s"/>
      <c r="G429" t="s"/>
      <c r="H429" t="s"/>
      <c r="I429" t="s"/>
      <c r="J429" t="n">
        <v>-0.2732</v>
      </c>
      <c r="K429" t="n">
        <v>0.296</v>
      </c>
      <c r="L429" t="n">
        <v>0.704</v>
      </c>
      <c r="M429" t="n">
        <v>0</v>
      </c>
    </row>
    <row r="430" spans="1:13">
      <c r="A430" s="1">
        <f>HYPERLINK("http://www.twitter.com/NathanBLawrence/status/999465892986736640", "999465892986736640")</f>
        <v/>
      </c>
      <c r="B430" s="2" t="n">
        <v>43244.07189814815</v>
      </c>
      <c r="C430" t="n">
        <v>0</v>
      </c>
      <c r="D430" t="n">
        <v>9</v>
      </c>
      <c r="E430" t="s">
        <v>436</v>
      </c>
      <c r="F430" t="s"/>
      <c r="G430" t="s"/>
      <c r="H430" t="s"/>
      <c r="I430" t="s"/>
      <c r="J430" t="n">
        <v>0.2732</v>
      </c>
      <c r="K430" t="n">
        <v>0.109</v>
      </c>
      <c r="L430" t="n">
        <v>0.698</v>
      </c>
      <c r="M430" t="n">
        <v>0.194</v>
      </c>
    </row>
    <row r="431" spans="1:13">
      <c r="A431" s="1">
        <f>HYPERLINK("http://www.twitter.com/NathanBLawrence/status/999465789781573632", "999465789781573632")</f>
        <v/>
      </c>
      <c r="B431" s="2" t="n">
        <v>43244.07162037037</v>
      </c>
      <c r="C431" t="n">
        <v>10</v>
      </c>
      <c r="D431" t="n">
        <v>6</v>
      </c>
      <c r="E431" t="s">
        <v>437</v>
      </c>
      <c r="F431" t="s"/>
      <c r="G431" t="s"/>
      <c r="H431" t="s"/>
      <c r="I431" t="s"/>
      <c r="J431" t="n">
        <v>-0.7379</v>
      </c>
      <c r="K431" t="n">
        <v>0.167</v>
      </c>
      <c r="L431" t="n">
        <v>0.833</v>
      </c>
      <c r="M431" t="n">
        <v>0</v>
      </c>
    </row>
    <row r="432" spans="1:13">
      <c r="A432" s="1">
        <f>HYPERLINK("http://www.twitter.com/NathanBLawrence/status/999465476483887104", "999465476483887104")</f>
        <v/>
      </c>
      <c r="B432" s="2" t="n">
        <v>43244.07075231482</v>
      </c>
      <c r="C432" t="n">
        <v>0</v>
      </c>
      <c r="D432" t="n">
        <v>2601</v>
      </c>
      <c r="E432" t="s">
        <v>438</v>
      </c>
      <c r="F432" t="s"/>
      <c r="G432" t="s"/>
      <c r="H432" t="s"/>
      <c r="I432" t="s"/>
      <c r="J432" t="n">
        <v>-0.802</v>
      </c>
      <c r="K432" t="n">
        <v>0.247</v>
      </c>
      <c r="L432" t="n">
        <v>0.753</v>
      </c>
      <c r="M432" t="n">
        <v>0</v>
      </c>
    </row>
    <row r="433" spans="1:13">
      <c r="A433" s="1">
        <f>HYPERLINK("http://www.twitter.com/NathanBLawrence/status/999402579770707969", "999402579770707969")</f>
        <v/>
      </c>
      <c r="B433" s="2" t="n">
        <v>43243.8971875</v>
      </c>
      <c r="C433" t="n">
        <v>0</v>
      </c>
      <c r="D433" t="n">
        <v>40</v>
      </c>
      <c r="E433" t="s">
        <v>439</v>
      </c>
      <c r="F433">
        <f>HYPERLINK("http://pbs.twimg.com/media/Dd6WHEGVMAAQ3V8.jpg", "http://pbs.twimg.com/media/Dd6WHEGVMAAQ3V8.jpg")</f>
        <v/>
      </c>
      <c r="G433" t="s"/>
      <c r="H433" t="s"/>
      <c r="I433" t="s"/>
      <c r="J433" t="n">
        <v>0.6597</v>
      </c>
      <c r="K433" t="n">
        <v>0</v>
      </c>
      <c r="L433" t="n">
        <v>0.795</v>
      </c>
      <c r="M433" t="n">
        <v>0.205</v>
      </c>
    </row>
    <row r="434" spans="1:13">
      <c r="A434" s="1">
        <f>HYPERLINK("http://www.twitter.com/NathanBLawrence/status/999402525374799872", "999402525374799872")</f>
        <v/>
      </c>
      <c r="B434" s="2" t="n">
        <v>43243.89703703704</v>
      </c>
      <c r="C434" t="n">
        <v>0</v>
      </c>
      <c r="D434" t="n">
        <v>4</v>
      </c>
      <c r="E434" t="s">
        <v>440</v>
      </c>
      <c r="F434" t="s"/>
      <c r="G434" t="s"/>
      <c r="H434" t="s"/>
      <c r="I434" t="s"/>
      <c r="J434" t="n">
        <v>0</v>
      </c>
      <c r="K434" t="n">
        <v>0</v>
      </c>
      <c r="L434" t="n">
        <v>1</v>
      </c>
      <c r="M434" t="n">
        <v>0</v>
      </c>
    </row>
    <row r="435" spans="1:13">
      <c r="A435" s="1">
        <f>HYPERLINK("http://www.twitter.com/NathanBLawrence/status/999402509054742528", "999402509054742528")</f>
        <v/>
      </c>
      <c r="B435" s="2" t="n">
        <v>43243.89699074074</v>
      </c>
      <c r="C435" t="n">
        <v>0</v>
      </c>
      <c r="D435" t="n">
        <v>6</v>
      </c>
      <c r="E435" t="s">
        <v>441</v>
      </c>
      <c r="F435" t="s"/>
      <c r="G435" t="s"/>
      <c r="H435" t="s"/>
      <c r="I435" t="s"/>
      <c r="J435" t="n">
        <v>-0.7155</v>
      </c>
      <c r="K435" t="n">
        <v>0.249</v>
      </c>
      <c r="L435" t="n">
        <v>0.751</v>
      </c>
      <c r="M435" t="n">
        <v>0</v>
      </c>
    </row>
    <row r="436" spans="1:13">
      <c r="A436" s="1">
        <f>HYPERLINK("http://www.twitter.com/NathanBLawrence/status/999402386371366913", "999402386371366913")</f>
        <v/>
      </c>
      <c r="B436" s="2" t="n">
        <v>43243.89665509259</v>
      </c>
      <c r="C436" t="n">
        <v>7</v>
      </c>
      <c r="D436" t="n">
        <v>2</v>
      </c>
      <c r="E436" t="s">
        <v>442</v>
      </c>
      <c r="F436" t="s"/>
      <c r="G436" t="s"/>
      <c r="H436" t="s"/>
      <c r="I436" t="s"/>
      <c r="J436" t="n">
        <v>0.4497</v>
      </c>
      <c r="K436" t="n">
        <v>0.046</v>
      </c>
      <c r="L436" t="n">
        <v>0.869</v>
      </c>
      <c r="M436" t="n">
        <v>0.08599999999999999</v>
      </c>
    </row>
    <row r="437" spans="1:13">
      <c r="A437" s="1">
        <f>HYPERLINK("http://www.twitter.com/NathanBLawrence/status/999401996963713025", "999401996963713025")</f>
        <v/>
      </c>
      <c r="B437" s="2" t="n">
        <v>43243.8955787037</v>
      </c>
      <c r="C437" t="n">
        <v>6</v>
      </c>
      <c r="D437" t="n">
        <v>4</v>
      </c>
      <c r="E437" t="s">
        <v>443</v>
      </c>
      <c r="F437" t="s"/>
      <c r="G437" t="s"/>
      <c r="H437" t="s"/>
      <c r="I437" t="s"/>
      <c r="J437" t="n">
        <v>0.4939</v>
      </c>
      <c r="K437" t="n">
        <v>0</v>
      </c>
      <c r="L437" t="n">
        <v>0.918</v>
      </c>
      <c r="M437" t="n">
        <v>0.082</v>
      </c>
    </row>
    <row r="438" spans="1:13">
      <c r="A438" s="1">
        <f>HYPERLINK("http://www.twitter.com/NathanBLawrence/status/999365605894615040", "999365605894615040")</f>
        <v/>
      </c>
      <c r="B438" s="2" t="n">
        <v>43243.79516203704</v>
      </c>
      <c r="C438" t="n">
        <v>0</v>
      </c>
      <c r="D438" t="n">
        <v>10</v>
      </c>
      <c r="E438" t="s">
        <v>444</v>
      </c>
      <c r="F438" t="s"/>
      <c r="G438" t="s"/>
      <c r="H438" t="s"/>
      <c r="I438" t="s"/>
      <c r="J438" t="n">
        <v>0</v>
      </c>
      <c r="K438" t="n">
        <v>0</v>
      </c>
      <c r="L438" t="n">
        <v>1</v>
      </c>
      <c r="M438" t="n">
        <v>0</v>
      </c>
    </row>
    <row r="439" spans="1:13">
      <c r="A439" s="1">
        <f>HYPERLINK("http://www.twitter.com/NathanBLawrence/status/999365581190115329", "999365581190115329")</f>
        <v/>
      </c>
      <c r="B439" s="2" t="n">
        <v>43243.79509259259</v>
      </c>
      <c r="C439" t="n">
        <v>13</v>
      </c>
      <c r="D439" t="n">
        <v>10</v>
      </c>
      <c r="E439" t="s">
        <v>445</v>
      </c>
      <c r="F439" t="s"/>
      <c r="G439" t="s"/>
      <c r="H439" t="s"/>
      <c r="I439" t="s"/>
      <c r="J439" t="n">
        <v>-0.7269</v>
      </c>
      <c r="K439" t="n">
        <v>0.164</v>
      </c>
      <c r="L439" t="n">
        <v>0.836</v>
      </c>
      <c r="M439" t="n">
        <v>0</v>
      </c>
    </row>
    <row r="440" spans="1:13">
      <c r="A440" s="1">
        <f>HYPERLINK("http://www.twitter.com/NathanBLawrence/status/999365150934294530", "999365150934294530")</f>
        <v/>
      </c>
      <c r="B440" s="2" t="n">
        <v>43243.79390046297</v>
      </c>
      <c r="C440" t="n">
        <v>0</v>
      </c>
      <c r="D440" t="n">
        <v>10</v>
      </c>
      <c r="E440" t="s">
        <v>446</v>
      </c>
      <c r="F440" t="s"/>
      <c r="G440" t="s"/>
      <c r="H440" t="s"/>
      <c r="I440" t="s"/>
      <c r="J440" t="n">
        <v>-0.4588</v>
      </c>
      <c r="K440" t="n">
        <v>0.177</v>
      </c>
      <c r="L440" t="n">
        <v>0.71</v>
      </c>
      <c r="M440" t="n">
        <v>0.113</v>
      </c>
    </row>
    <row r="441" spans="1:13">
      <c r="A441" s="1">
        <f>HYPERLINK("http://www.twitter.com/NathanBLawrence/status/999365120731111424", "999365120731111424")</f>
        <v/>
      </c>
      <c r="B441" s="2" t="n">
        <v>43243.79381944444</v>
      </c>
      <c r="C441" t="n">
        <v>0</v>
      </c>
      <c r="D441" t="n">
        <v>7</v>
      </c>
      <c r="E441" t="s">
        <v>447</v>
      </c>
      <c r="F441" t="s"/>
      <c r="G441" t="s"/>
      <c r="H441" t="s"/>
      <c r="I441" t="s"/>
      <c r="J441" t="n">
        <v>-0.296</v>
      </c>
      <c r="K441" t="n">
        <v>0.097</v>
      </c>
      <c r="L441" t="n">
        <v>0.853</v>
      </c>
      <c r="M441" t="n">
        <v>0.05</v>
      </c>
    </row>
    <row r="442" spans="1:13">
      <c r="A442" s="1">
        <f>HYPERLINK("http://www.twitter.com/NathanBLawrence/status/999365086316781569", "999365086316781569")</f>
        <v/>
      </c>
      <c r="B442" s="2" t="n">
        <v>43243.79372685185</v>
      </c>
      <c r="C442" t="n">
        <v>0</v>
      </c>
      <c r="D442" t="n">
        <v>11</v>
      </c>
      <c r="E442" t="s">
        <v>448</v>
      </c>
      <c r="F442">
        <f>HYPERLINK("http://pbs.twimg.com/media/Dd5nkA1VQAA42_G.jpg", "http://pbs.twimg.com/media/Dd5nkA1VQAA42_G.jpg")</f>
        <v/>
      </c>
      <c r="G442" t="s"/>
      <c r="H442" t="s"/>
      <c r="I442" t="s"/>
      <c r="J442" t="n">
        <v>0.3182</v>
      </c>
      <c r="K442" t="n">
        <v>0</v>
      </c>
      <c r="L442" t="n">
        <v>0.909</v>
      </c>
      <c r="M442" t="n">
        <v>0.091</v>
      </c>
    </row>
    <row r="443" spans="1:13">
      <c r="A443" s="1">
        <f>HYPERLINK("http://www.twitter.com/NathanBLawrence/status/999365071703855104", "999365071703855104")</f>
        <v/>
      </c>
      <c r="B443" s="2" t="n">
        <v>43243.79369212963</v>
      </c>
      <c r="C443" t="n">
        <v>0</v>
      </c>
      <c r="D443" t="n">
        <v>7</v>
      </c>
      <c r="E443" t="s">
        <v>449</v>
      </c>
      <c r="F443" t="s"/>
      <c r="G443" t="s"/>
      <c r="H443" t="s"/>
      <c r="I443" t="s"/>
      <c r="J443" t="n">
        <v>0.7779</v>
      </c>
      <c r="K443" t="n">
        <v>0</v>
      </c>
      <c r="L443" t="n">
        <v>0.672</v>
      </c>
      <c r="M443" t="n">
        <v>0.328</v>
      </c>
    </row>
    <row r="444" spans="1:13">
      <c r="A444" s="1">
        <f>HYPERLINK("http://www.twitter.com/NathanBLawrence/status/999364879759892481", "999364879759892481")</f>
        <v/>
      </c>
      <c r="B444" s="2" t="n">
        <v>43243.79315972222</v>
      </c>
      <c r="C444" t="n">
        <v>0</v>
      </c>
      <c r="D444" t="n">
        <v>6</v>
      </c>
      <c r="E444" t="s">
        <v>450</v>
      </c>
      <c r="F444" t="s"/>
      <c r="G444" t="s"/>
      <c r="H444" t="s"/>
      <c r="I444" t="s"/>
      <c r="J444" t="n">
        <v>-0.6249</v>
      </c>
      <c r="K444" t="n">
        <v>0.21</v>
      </c>
      <c r="L444" t="n">
        <v>0.79</v>
      </c>
      <c r="M444" t="n">
        <v>0</v>
      </c>
    </row>
    <row r="445" spans="1:13">
      <c r="A445" s="1">
        <f>HYPERLINK("http://www.twitter.com/NathanBLawrence/status/999364765452562434", "999364765452562434")</f>
        <v/>
      </c>
      <c r="B445" s="2" t="n">
        <v>43243.79284722222</v>
      </c>
      <c r="C445" t="n">
        <v>0</v>
      </c>
      <c r="D445" t="n">
        <v>12</v>
      </c>
      <c r="E445" t="s">
        <v>451</v>
      </c>
      <c r="F445" t="s"/>
      <c r="G445" t="s"/>
      <c r="H445" t="s"/>
      <c r="I445" t="s"/>
      <c r="J445" t="n">
        <v>-0.2656</v>
      </c>
      <c r="K445" t="n">
        <v>0.186</v>
      </c>
      <c r="L445" t="n">
        <v>0.705</v>
      </c>
      <c r="M445" t="n">
        <v>0.109</v>
      </c>
    </row>
    <row r="446" spans="1:13">
      <c r="A446" s="1">
        <f>HYPERLINK("http://www.twitter.com/NathanBLawrence/status/999364730404982784", "999364730404982784")</f>
        <v/>
      </c>
      <c r="B446" s="2" t="n">
        <v>43243.79274305556</v>
      </c>
      <c r="C446" t="n">
        <v>0</v>
      </c>
      <c r="D446" t="n">
        <v>5</v>
      </c>
      <c r="E446" t="s">
        <v>452</v>
      </c>
      <c r="F446" t="s"/>
      <c r="G446" t="s"/>
      <c r="H446" t="s"/>
      <c r="I446" t="s"/>
      <c r="J446" t="n">
        <v>0</v>
      </c>
      <c r="K446" t="n">
        <v>0</v>
      </c>
      <c r="L446" t="n">
        <v>1</v>
      </c>
      <c r="M446" t="n">
        <v>0</v>
      </c>
    </row>
    <row r="447" spans="1:13">
      <c r="A447" s="1">
        <f>HYPERLINK("http://www.twitter.com/NathanBLawrence/status/999364683063877632", "999364683063877632")</f>
        <v/>
      </c>
      <c r="B447" s="2" t="n">
        <v>43243.79261574074</v>
      </c>
      <c r="C447" t="n">
        <v>0</v>
      </c>
      <c r="D447" t="n">
        <v>9</v>
      </c>
      <c r="E447" t="s">
        <v>453</v>
      </c>
      <c r="F447" t="s"/>
      <c r="G447" t="s"/>
      <c r="H447" t="s"/>
      <c r="I447" t="s"/>
      <c r="J447" t="n">
        <v>-0.296</v>
      </c>
      <c r="K447" t="n">
        <v>0.128</v>
      </c>
      <c r="L447" t="n">
        <v>0.872</v>
      </c>
      <c r="M447" t="n">
        <v>0</v>
      </c>
    </row>
    <row r="448" spans="1:13">
      <c r="A448" s="1">
        <f>HYPERLINK("http://www.twitter.com/NathanBLawrence/status/999187358582034438", "999187358582034438")</f>
        <v/>
      </c>
      <c r="B448" s="2" t="n">
        <v>43243.30328703704</v>
      </c>
      <c r="C448" t="n">
        <v>10</v>
      </c>
      <c r="D448" t="n">
        <v>9</v>
      </c>
      <c r="E448" t="s">
        <v>454</v>
      </c>
      <c r="F448" t="s"/>
      <c r="G448" t="s"/>
      <c r="H448" t="s"/>
      <c r="I448" t="s"/>
      <c r="J448" t="n">
        <v>-0.296</v>
      </c>
      <c r="K448" t="n">
        <v>0.145</v>
      </c>
      <c r="L448" t="n">
        <v>0.855</v>
      </c>
      <c r="M448" t="n">
        <v>0</v>
      </c>
    </row>
    <row r="449" spans="1:13">
      <c r="A449" s="1">
        <f>HYPERLINK("http://www.twitter.com/NathanBLawrence/status/999179692270899200", "999179692270899200")</f>
        <v/>
      </c>
      <c r="B449" s="2" t="n">
        <v>43243.2821412037</v>
      </c>
      <c r="C449" t="n">
        <v>0</v>
      </c>
      <c r="D449" t="n">
        <v>1215</v>
      </c>
      <c r="E449" t="s">
        <v>455</v>
      </c>
      <c r="F449" t="s"/>
      <c r="G449" t="s"/>
      <c r="H449" t="s"/>
      <c r="I449" t="s"/>
      <c r="J449" t="n">
        <v>-0.7003</v>
      </c>
      <c r="K449" t="n">
        <v>0.201</v>
      </c>
      <c r="L449" t="n">
        <v>0.799</v>
      </c>
      <c r="M449" t="n">
        <v>0</v>
      </c>
    </row>
    <row r="450" spans="1:13">
      <c r="A450" s="1">
        <f>HYPERLINK("http://www.twitter.com/NathanBLawrence/status/999179677087477760", "999179677087477760")</f>
        <v/>
      </c>
      <c r="B450" s="2" t="n">
        <v>43243.28209490741</v>
      </c>
      <c r="C450" t="n">
        <v>0</v>
      </c>
      <c r="D450" t="n">
        <v>7872</v>
      </c>
      <c r="E450" t="s">
        <v>456</v>
      </c>
      <c r="F450" t="s"/>
      <c r="G450" t="s"/>
      <c r="H450" t="s"/>
      <c r="I450" t="s"/>
      <c r="J450" t="n">
        <v>-0.533</v>
      </c>
      <c r="K450" t="n">
        <v>0.141</v>
      </c>
      <c r="L450" t="n">
        <v>0.859</v>
      </c>
      <c r="M450" t="n">
        <v>0</v>
      </c>
    </row>
    <row r="451" spans="1:13">
      <c r="A451" s="1">
        <f>HYPERLINK("http://www.twitter.com/NathanBLawrence/status/999130263614640128", "999130263614640128")</f>
        <v/>
      </c>
      <c r="B451" s="2" t="n">
        <v>43243.14574074074</v>
      </c>
      <c r="C451" t="n">
        <v>0</v>
      </c>
      <c r="D451" t="n">
        <v>7</v>
      </c>
      <c r="E451" t="s">
        <v>457</v>
      </c>
      <c r="F451" t="s"/>
      <c r="G451" t="s"/>
      <c r="H451" t="s"/>
      <c r="I451" t="s"/>
      <c r="J451" t="n">
        <v>0.0516</v>
      </c>
      <c r="K451" t="n">
        <v>0.08599999999999999</v>
      </c>
      <c r="L451" t="n">
        <v>0.82</v>
      </c>
      <c r="M451" t="n">
        <v>0.094</v>
      </c>
    </row>
    <row r="452" spans="1:13">
      <c r="A452" s="1">
        <f>HYPERLINK("http://www.twitter.com/NathanBLawrence/status/999130213953961984", "999130213953961984")</f>
        <v/>
      </c>
      <c r="B452" s="2" t="n">
        <v>43243.14560185185</v>
      </c>
      <c r="C452" t="n">
        <v>0</v>
      </c>
      <c r="D452" t="n">
        <v>4</v>
      </c>
      <c r="E452" t="s">
        <v>458</v>
      </c>
      <c r="F452" t="s"/>
      <c r="G452" t="s"/>
      <c r="H452" t="s"/>
      <c r="I452" t="s"/>
      <c r="J452" t="n">
        <v>-0.3818</v>
      </c>
      <c r="K452" t="n">
        <v>0.102</v>
      </c>
      <c r="L452" t="n">
        <v>0.898</v>
      </c>
      <c r="M452" t="n">
        <v>0</v>
      </c>
    </row>
    <row r="453" spans="1:13">
      <c r="A453" s="1">
        <f>HYPERLINK("http://www.twitter.com/NathanBLawrence/status/999130198825164800", "999130198825164800")</f>
        <v/>
      </c>
      <c r="B453" s="2" t="n">
        <v>43243.14555555556</v>
      </c>
      <c r="C453" t="n">
        <v>0</v>
      </c>
      <c r="D453" t="n">
        <v>7</v>
      </c>
      <c r="E453" t="s">
        <v>459</v>
      </c>
      <c r="F453" t="s"/>
      <c r="G453" t="s"/>
      <c r="H453" t="s"/>
      <c r="I453" t="s"/>
      <c r="J453" t="n">
        <v>0</v>
      </c>
      <c r="K453" t="n">
        <v>0</v>
      </c>
      <c r="L453" t="n">
        <v>1</v>
      </c>
      <c r="M453" t="n">
        <v>0</v>
      </c>
    </row>
    <row r="454" spans="1:13">
      <c r="A454" s="1">
        <f>HYPERLINK("http://www.twitter.com/NathanBLawrence/status/999130140901654529", "999130140901654529")</f>
        <v/>
      </c>
      <c r="B454" s="2" t="n">
        <v>43243.14540509259</v>
      </c>
      <c r="C454" t="n">
        <v>0</v>
      </c>
      <c r="D454" t="n">
        <v>2</v>
      </c>
      <c r="E454" t="s">
        <v>460</v>
      </c>
      <c r="F454" t="s"/>
      <c r="G454" t="s"/>
      <c r="H454" t="s"/>
      <c r="I454" t="s"/>
      <c r="J454" t="n">
        <v>-0.0258</v>
      </c>
      <c r="K454" t="n">
        <v>0.103</v>
      </c>
      <c r="L454" t="n">
        <v>0.797</v>
      </c>
      <c r="M454" t="n">
        <v>0.1</v>
      </c>
    </row>
    <row r="455" spans="1:13">
      <c r="A455" s="1">
        <f>HYPERLINK("http://www.twitter.com/NathanBLawrence/status/999130127039647744", "999130127039647744")</f>
        <v/>
      </c>
      <c r="B455" s="2" t="n">
        <v>43243.1453587963</v>
      </c>
      <c r="C455" t="n">
        <v>0</v>
      </c>
      <c r="D455" t="n">
        <v>3</v>
      </c>
      <c r="E455" t="s">
        <v>461</v>
      </c>
      <c r="F455" t="s"/>
      <c r="G455" t="s"/>
      <c r="H455" t="s"/>
      <c r="I455" t="s"/>
      <c r="J455" t="n">
        <v>0.2732</v>
      </c>
      <c r="K455" t="n">
        <v>0.107</v>
      </c>
      <c r="L455" t="n">
        <v>0.712</v>
      </c>
      <c r="M455" t="n">
        <v>0.181</v>
      </c>
    </row>
    <row r="456" spans="1:13">
      <c r="A456" s="1">
        <f>HYPERLINK("http://www.twitter.com/NathanBLawrence/status/999130102591090688", "999130102591090688")</f>
        <v/>
      </c>
      <c r="B456" s="2" t="n">
        <v>43243.14530092593</v>
      </c>
      <c r="C456" t="n">
        <v>9</v>
      </c>
      <c r="D456" t="n">
        <v>3</v>
      </c>
      <c r="E456" t="s">
        <v>462</v>
      </c>
      <c r="F456" t="s"/>
      <c r="G456" t="s"/>
      <c r="H456" t="s"/>
      <c r="I456" t="s"/>
      <c r="J456" t="n">
        <v>-0.2732</v>
      </c>
      <c r="K456" t="n">
        <v>0.125</v>
      </c>
      <c r="L456" t="n">
        <v>0.789</v>
      </c>
      <c r="M456" t="n">
        <v>0.08599999999999999</v>
      </c>
    </row>
    <row r="457" spans="1:13">
      <c r="A457" s="1">
        <f>HYPERLINK("http://www.twitter.com/NathanBLawrence/status/999129808654290945", "999129808654290945")</f>
        <v/>
      </c>
      <c r="B457" s="2" t="n">
        <v>43243.14447916667</v>
      </c>
      <c r="C457" t="n">
        <v>0</v>
      </c>
      <c r="D457" t="n">
        <v>11</v>
      </c>
      <c r="E457" t="s">
        <v>463</v>
      </c>
      <c r="F457" t="s"/>
      <c r="G457" t="s"/>
      <c r="H457" t="s"/>
      <c r="I457" t="s"/>
      <c r="J457" t="n">
        <v>0</v>
      </c>
      <c r="K457" t="n">
        <v>0</v>
      </c>
      <c r="L457" t="n">
        <v>1</v>
      </c>
      <c r="M457" t="n">
        <v>0</v>
      </c>
    </row>
    <row r="458" spans="1:13">
      <c r="A458" s="1">
        <f>HYPERLINK("http://www.twitter.com/NathanBLawrence/status/999129788962037760", "999129788962037760")</f>
        <v/>
      </c>
      <c r="B458" s="2" t="n">
        <v>43243.14443287037</v>
      </c>
      <c r="C458" t="n">
        <v>3</v>
      </c>
      <c r="D458" t="n">
        <v>1</v>
      </c>
      <c r="E458" t="s">
        <v>464</v>
      </c>
      <c r="F458" t="s"/>
      <c r="G458" t="s"/>
      <c r="H458" t="s"/>
      <c r="I458" t="s"/>
      <c r="J458" t="n">
        <v>0.5994</v>
      </c>
      <c r="K458" t="n">
        <v>0</v>
      </c>
      <c r="L458" t="n">
        <v>0.55</v>
      </c>
      <c r="M458" t="n">
        <v>0.45</v>
      </c>
    </row>
    <row r="459" spans="1:13">
      <c r="A459" s="1">
        <f>HYPERLINK("http://www.twitter.com/NathanBLawrence/status/999129614940360704", "999129614940360704")</f>
        <v/>
      </c>
      <c r="B459" s="2" t="n">
        <v>43243.14394675926</v>
      </c>
      <c r="C459" t="n">
        <v>0</v>
      </c>
      <c r="D459" t="n">
        <v>0</v>
      </c>
      <c r="E459" t="s">
        <v>465</v>
      </c>
      <c r="F459" t="s"/>
      <c r="G459" t="s"/>
      <c r="H459" t="s"/>
      <c r="I459" t="s"/>
      <c r="J459" t="n">
        <v>0</v>
      </c>
      <c r="K459" t="n">
        <v>0</v>
      </c>
      <c r="L459" t="n">
        <v>1</v>
      </c>
      <c r="M459" t="n">
        <v>0</v>
      </c>
    </row>
    <row r="460" spans="1:13">
      <c r="A460" s="1">
        <f>HYPERLINK("http://www.twitter.com/NathanBLawrence/status/999114006093860865", "999114006093860865")</f>
        <v/>
      </c>
      <c r="B460" s="2" t="n">
        <v>43243.10087962963</v>
      </c>
      <c r="C460" t="n">
        <v>0</v>
      </c>
      <c r="D460" t="n">
        <v>8</v>
      </c>
      <c r="E460" t="s">
        <v>466</v>
      </c>
      <c r="F460" t="s"/>
      <c r="G460" t="s"/>
      <c r="H460" t="s"/>
      <c r="I460" t="s"/>
      <c r="J460" t="n">
        <v>-0.296</v>
      </c>
      <c r="K460" t="n">
        <v>0.118</v>
      </c>
      <c r="L460" t="n">
        <v>0.8179999999999999</v>
      </c>
      <c r="M460" t="n">
        <v>0.064</v>
      </c>
    </row>
    <row r="461" spans="1:13">
      <c r="A461" s="1">
        <f>HYPERLINK("http://www.twitter.com/NathanBLawrence/status/999113924078432257", "999113924078432257")</f>
        <v/>
      </c>
      <c r="B461" s="2" t="n">
        <v>43243.10064814815</v>
      </c>
      <c r="C461" t="n">
        <v>1</v>
      </c>
      <c r="D461" t="n">
        <v>0</v>
      </c>
      <c r="E461" t="s">
        <v>467</v>
      </c>
      <c r="F461" t="s"/>
      <c r="G461" t="s"/>
      <c r="H461" t="s"/>
      <c r="I461" t="s"/>
      <c r="J461" t="n">
        <v>0</v>
      </c>
      <c r="K461" t="n">
        <v>0</v>
      </c>
      <c r="L461" t="n">
        <v>1</v>
      </c>
      <c r="M461" t="n">
        <v>0</v>
      </c>
    </row>
    <row r="462" spans="1:13">
      <c r="A462" s="1">
        <f>HYPERLINK("http://www.twitter.com/NathanBLawrence/status/999113685124739073", "999113685124739073")</f>
        <v/>
      </c>
      <c r="B462" s="2" t="n">
        <v>43243.09998842593</v>
      </c>
      <c r="C462" t="n">
        <v>0</v>
      </c>
      <c r="D462" t="n">
        <v>4</v>
      </c>
      <c r="E462" t="s">
        <v>468</v>
      </c>
      <c r="F462" t="s"/>
      <c r="G462" t="s"/>
      <c r="H462" t="s"/>
      <c r="I462" t="s"/>
      <c r="J462" t="n">
        <v>0</v>
      </c>
      <c r="K462" t="n">
        <v>0</v>
      </c>
      <c r="L462" t="n">
        <v>1</v>
      </c>
      <c r="M462" t="n">
        <v>0</v>
      </c>
    </row>
    <row r="463" spans="1:13">
      <c r="A463" s="1">
        <f>HYPERLINK("http://www.twitter.com/NathanBLawrence/status/999113658369298434", "999113658369298434")</f>
        <v/>
      </c>
      <c r="B463" s="2" t="n">
        <v>43243.09991898148</v>
      </c>
      <c r="C463" t="n">
        <v>8</v>
      </c>
      <c r="D463" t="n">
        <v>3</v>
      </c>
      <c r="E463" t="s">
        <v>469</v>
      </c>
      <c r="F463" t="s"/>
      <c r="G463" t="s"/>
      <c r="H463" t="s"/>
      <c r="I463" t="s"/>
      <c r="J463" t="n">
        <v>0.2732</v>
      </c>
      <c r="K463" t="n">
        <v>0.103</v>
      </c>
      <c r="L463" t="n">
        <v>0.722</v>
      </c>
      <c r="M463" t="n">
        <v>0.175</v>
      </c>
    </row>
    <row r="464" spans="1:13">
      <c r="A464" s="1">
        <f>HYPERLINK("http://www.twitter.com/NathanBLawrence/status/999113477288595456", "999113477288595456")</f>
        <v/>
      </c>
      <c r="B464" s="2" t="n">
        <v>43243.0994212963</v>
      </c>
      <c r="C464" t="n">
        <v>4</v>
      </c>
      <c r="D464" t="n">
        <v>2</v>
      </c>
      <c r="E464" t="s">
        <v>470</v>
      </c>
      <c r="F464" t="s"/>
      <c r="G464" t="s"/>
      <c r="H464" t="s"/>
      <c r="I464" t="s"/>
      <c r="J464" t="n">
        <v>0.5423</v>
      </c>
      <c r="K464" t="n">
        <v>0.041</v>
      </c>
      <c r="L464" t="n">
        <v>0.847</v>
      </c>
      <c r="M464" t="n">
        <v>0.112</v>
      </c>
    </row>
    <row r="465" spans="1:13">
      <c r="A465" s="1">
        <f>HYPERLINK("http://www.twitter.com/NathanBLawrence/status/999113142402797569", "999113142402797569")</f>
        <v/>
      </c>
      <c r="B465" s="2" t="n">
        <v>43243.09849537037</v>
      </c>
      <c r="C465" t="n">
        <v>0</v>
      </c>
      <c r="D465" t="n">
        <v>2</v>
      </c>
      <c r="E465" t="s">
        <v>471</v>
      </c>
      <c r="F465">
        <f>HYPERLINK("http://pbs.twimg.com/media/Dd153UpVQAACBqx.jpg", "http://pbs.twimg.com/media/Dd153UpVQAACBqx.jpg")</f>
        <v/>
      </c>
      <c r="G465" t="s"/>
      <c r="H465" t="s"/>
      <c r="I465" t="s"/>
      <c r="J465" t="n">
        <v>0</v>
      </c>
      <c r="K465" t="n">
        <v>0</v>
      </c>
      <c r="L465" t="n">
        <v>1</v>
      </c>
      <c r="M465" t="n">
        <v>0</v>
      </c>
    </row>
    <row r="466" spans="1:13">
      <c r="A466" s="1">
        <f>HYPERLINK("http://www.twitter.com/NathanBLawrence/status/999113113050996737", "999113113050996737")</f>
        <v/>
      </c>
      <c r="B466" s="2" t="n">
        <v>43243.09841435185</v>
      </c>
      <c r="C466" t="n">
        <v>6</v>
      </c>
      <c r="D466" t="n">
        <v>7</v>
      </c>
      <c r="E466" t="s">
        <v>472</v>
      </c>
      <c r="F466" t="s"/>
      <c r="G466" t="s"/>
      <c r="H466" t="s"/>
      <c r="I466" t="s"/>
      <c r="J466" t="n">
        <v>0.2387</v>
      </c>
      <c r="K466" t="n">
        <v>0</v>
      </c>
      <c r="L466" t="n">
        <v>0.959</v>
      </c>
      <c r="M466" t="n">
        <v>0.041</v>
      </c>
    </row>
    <row r="467" spans="1:13">
      <c r="A467" s="1">
        <f>HYPERLINK("http://www.twitter.com/NathanBLawrence/status/999112808095735810", "999112808095735810")</f>
        <v/>
      </c>
      <c r="B467" s="2" t="n">
        <v>43243.09756944444</v>
      </c>
      <c r="C467" t="n">
        <v>0</v>
      </c>
      <c r="D467" t="n">
        <v>13</v>
      </c>
      <c r="E467" t="s">
        <v>473</v>
      </c>
      <c r="F467" t="s"/>
      <c r="G467" t="s"/>
      <c r="H467" t="s"/>
      <c r="I467" t="s"/>
      <c r="J467" t="n">
        <v>0.4019</v>
      </c>
      <c r="K467" t="n">
        <v>0</v>
      </c>
      <c r="L467" t="n">
        <v>0.838</v>
      </c>
      <c r="M467" t="n">
        <v>0.162</v>
      </c>
    </row>
    <row r="468" spans="1:13">
      <c r="A468" s="1">
        <f>HYPERLINK("http://www.twitter.com/NathanBLawrence/status/999112759680880641", "999112759680880641")</f>
        <v/>
      </c>
      <c r="B468" s="2" t="n">
        <v>43243.09744212963</v>
      </c>
      <c r="C468" t="n">
        <v>0</v>
      </c>
      <c r="D468" t="n">
        <v>8</v>
      </c>
      <c r="E468" t="s">
        <v>474</v>
      </c>
      <c r="F468">
        <f>HYPERLINK("http://pbs.twimg.com/media/Dd2Bg-HVQAAaZ5o.jpg", "http://pbs.twimg.com/media/Dd2Bg-HVQAAaZ5o.jpg")</f>
        <v/>
      </c>
      <c r="G468" t="s"/>
      <c r="H468" t="s"/>
      <c r="I468" t="s"/>
      <c r="J468" t="n">
        <v>-0.4466</v>
      </c>
      <c r="K468" t="n">
        <v>0.128</v>
      </c>
      <c r="L468" t="n">
        <v>0.872</v>
      </c>
      <c r="M468" t="n">
        <v>0</v>
      </c>
    </row>
    <row r="469" spans="1:13">
      <c r="A469" s="1">
        <f>HYPERLINK("http://www.twitter.com/NathanBLawrence/status/999112745319583744", "999112745319583744")</f>
        <v/>
      </c>
      <c r="B469" s="2" t="n">
        <v>43243.09739583333</v>
      </c>
      <c r="C469" t="n">
        <v>0</v>
      </c>
      <c r="D469" t="n">
        <v>12</v>
      </c>
      <c r="E469" t="s">
        <v>475</v>
      </c>
      <c r="F469" t="s"/>
      <c r="G469" t="s"/>
      <c r="H469" t="s"/>
      <c r="I469" t="s"/>
      <c r="J469" t="n">
        <v>-0.453</v>
      </c>
      <c r="K469" t="n">
        <v>0.224</v>
      </c>
      <c r="L469" t="n">
        <v>0.701</v>
      </c>
      <c r="M469" t="n">
        <v>0.075</v>
      </c>
    </row>
    <row r="470" spans="1:13">
      <c r="A470" s="1">
        <f>HYPERLINK("http://www.twitter.com/NathanBLawrence/status/999112714923503616", "999112714923503616")</f>
        <v/>
      </c>
      <c r="B470" s="2" t="n">
        <v>43243.09731481481</v>
      </c>
      <c r="C470" t="n">
        <v>7</v>
      </c>
      <c r="D470" t="n">
        <v>4</v>
      </c>
      <c r="E470" t="s">
        <v>476</v>
      </c>
      <c r="F470" t="s"/>
      <c r="G470" t="s"/>
      <c r="H470" t="s"/>
      <c r="I470" t="s"/>
      <c r="J470" t="n">
        <v>-0.3818</v>
      </c>
      <c r="K470" t="n">
        <v>0.077</v>
      </c>
      <c r="L470" t="n">
        <v>0.923</v>
      </c>
      <c r="M470" t="n">
        <v>0</v>
      </c>
    </row>
    <row r="471" spans="1:13">
      <c r="A471" s="1">
        <f>HYPERLINK("http://www.twitter.com/NathanBLawrence/status/999112467895717888", "999112467895717888")</f>
        <v/>
      </c>
      <c r="B471" s="2" t="n">
        <v>43243.09663194444</v>
      </c>
      <c r="C471" t="n">
        <v>11</v>
      </c>
      <c r="D471" t="n">
        <v>7</v>
      </c>
      <c r="E471" t="s">
        <v>477</v>
      </c>
      <c r="F471" t="s"/>
      <c r="G471" t="s"/>
      <c r="H471" t="s"/>
      <c r="I471" t="s"/>
      <c r="J471" t="n">
        <v>0.0516</v>
      </c>
      <c r="K471" t="n">
        <v>0.093</v>
      </c>
      <c r="L471" t="n">
        <v>0.805</v>
      </c>
      <c r="M471" t="n">
        <v>0.102</v>
      </c>
    </row>
    <row r="472" spans="1:13">
      <c r="A472" s="1">
        <f>HYPERLINK("http://www.twitter.com/NathanBLawrence/status/999112338778320896", "999112338778320896")</f>
        <v/>
      </c>
      <c r="B472" s="2" t="n">
        <v>43243.09627314815</v>
      </c>
      <c r="C472" t="n">
        <v>0</v>
      </c>
      <c r="D472" t="n">
        <v>14</v>
      </c>
      <c r="E472" t="s">
        <v>478</v>
      </c>
      <c r="F472" t="s"/>
      <c r="G472" t="s"/>
      <c r="H472" t="s"/>
      <c r="I472" t="s"/>
      <c r="J472" t="n">
        <v>0.3818</v>
      </c>
      <c r="K472" t="n">
        <v>0</v>
      </c>
      <c r="L472" t="n">
        <v>0.894</v>
      </c>
      <c r="M472" t="n">
        <v>0.106</v>
      </c>
    </row>
    <row r="473" spans="1:13">
      <c r="A473" s="1">
        <f>HYPERLINK("http://www.twitter.com/NathanBLawrence/status/999112318964428800", "999112318964428800")</f>
        <v/>
      </c>
      <c r="B473" s="2" t="n">
        <v>43243.09622685185</v>
      </c>
      <c r="C473" t="n">
        <v>0</v>
      </c>
      <c r="D473" t="n">
        <v>6</v>
      </c>
      <c r="E473" t="s">
        <v>479</v>
      </c>
      <c r="F473" t="s"/>
      <c r="G473" t="s"/>
      <c r="H473" t="s"/>
      <c r="I473" t="s"/>
      <c r="J473" t="n">
        <v>0.25</v>
      </c>
      <c r="K473" t="n">
        <v>0.08599999999999999</v>
      </c>
      <c r="L473" t="n">
        <v>0.789</v>
      </c>
      <c r="M473" t="n">
        <v>0.124</v>
      </c>
    </row>
    <row r="474" spans="1:13">
      <c r="A474" s="1">
        <f>HYPERLINK("http://www.twitter.com/NathanBLawrence/status/999112295371362305", "999112295371362305")</f>
        <v/>
      </c>
      <c r="B474" s="2" t="n">
        <v>43243.09615740741</v>
      </c>
      <c r="C474" t="n">
        <v>8</v>
      </c>
      <c r="D474" t="n">
        <v>6</v>
      </c>
      <c r="E474" t="s">
        <v>480</v>
      </c>
      <c r="F474" t="s"/>
      <c r="G474" t="s"/>
      <c r="H474" t="s"/>
      <c r="I474" t="s"/>
      <c r="J474" t="n">
        <v>0.1027</v>
      </c>
      <c r="K474" t="n">
        <v>0.097</v>
      </c>
      <c r="L474" t="n">
        <v>0.797</v>
      </c>
      <c r="M474" t="n">
        <v>0.106</v>
      </c>
    </row>
    <row r="475" spans="1:13">
      <c r="A475" s="1">
        <f>HYPERLINK("http://www.twitter.com/NathanBLawrence/status/999111786023608321", "999111786023608321")</f>
        <v/>
      </c>
      <c r="B475" s="2" t="n">
        <v>43243.09475694445</v>
      </c>
      <c r="C475" t="n">
        <v>0</v>
      </c>
      <c r="D475" t="n">
        <v>8</v>
      </c>
      <c r="E475" t="s">
        <v>481</v>
      </c>
      <c r="F475" t="s"/>
      <c r="G475" t="s"/>
      <c r="H475" t="s"/>
      <c r="I475" t="s"/>
      <c r="J475" t="n">
        <v>0</v>
      </c>
      <c r="K475" t="n">
        <v>0</v>
      </c>
      <c r="L475" t="n">
        <v>1</v>
      </c>
      <c r="M475" t="n">
        <v>0</v>
      </c>
    </row>
    <row r="476" spans="1:13">
      <c r="A476" s="1">
        <f>HYPERLINK("http://www.twitter.com/NathanBLawrence/status/999084353387991040", "999084353387991040")</f>
        <v/>
      </c>
      <c r="B476" s="2" t="n">
        <v>43243.01905092593</v>
      </c>
      <c r="C476" t="n">
        <v>0</v>
      </c>
      <c r="D476" t="n">
        <v>17</v>
      </c>
      <c r="E476" t="s">
        <v>482</v>
      </c>
      <c r="F476">
        <f>HYPERLINK("http://pbs.twimg.com/media/Dd004dfUwAA9Omw.jpg", "http://pbs.twimg.com/media/Dd004dfUwAA9Omw.jpg")</f>
        <v/>
      </c>
      <c r="G476" t="s"/>
      <c r="H476" t="s"/>
      <c r="I476" t="s"/>
      <c r="J476" t="n">
        <v>-0.1759</v>
      </c>
      <c r="K476" t="n">
        <v>0.123</v>
      </c>
      <c r="L476" t="n">
        <v>0.722</v>
      </c>
      <c r="M476" t="n">
        <v>0.155</v>
      </c>
    </row>
    <row r="477" spans="1:13">
      <c r="A477" s="1">
        <f>HYPERLINK("http://www.twitter.com/NathanBLawrence/status/999084310639542272", "999084310639542272")</f>
        <v/>
      </c>
      <c r="B477" s="2" t="n">
        <v>43243.01893518519</v>
      </c>
      <c r="C477" t="n">
        <v>0</v>
      </c>
      <c r="D477" t="n">
        <v>13</v>
      </c>
      <c r="E477" t="s">
        <v>483</v>
      </c>
      <c r="F477">
        <f>HYPERLINK("http://pbs.twimg.com/media/Dd08w5NVQAA-6s4.jpg", "http://pbs.twimg.com/media/Dd08w5NVQAA-6s4.jpg")</f>
        <v/>
      </c>
      <c r="G477" t="s"/>
      <c r="H477" t="s"/>
      <c r="I477" t="s"/>
      <c r="J477" t="n">
        <v>-0.1703</v>
      </c>
      <c r="K477" t="n">
        <v>0.114</v>
      </c>
      <c r="L477" t="n">
        <v>0.72</v>
      </c>
      <c r="M477" t="n">
        <v>0.166</v>
      </c>
    </row>
    <row r="478" spans="1:13">
      <c r="A478" s="1">
        <f>HYPERLINK("http://www.twitter.com/NathanBLawrence/status/999084287906537472", "999084287906537472")</f>
        <v/>
      </c>
      <c r="B478" s="2" t="n">
        <v>43243.01886574074</v>
      </c>
      <c r="C478" t="n">
        <v>0</v>
      </c>
      <c r="D478" t="n">
        <v>19</v>
      </c>
      <c r="E478" t="s">
        <v>484</v>
      </c>
      <c r="F478">
        <f>HYPERLINK("http://pbs.twimg.com/media/Dd1JhSnVQAI3O5a.jpg", "http://pbs.twimg.com/media/Dd1JhSnVQAI3O5a.jpg")</f>
        <v/>
      </c>
      <c r="G478" t="s"/>
      <c r="H478" t="s"/>
      <c r="I478" t="s"/>
      <c r="J478" t="n">
        <v>-0.7243000000000001</v>
      </c>
      <c r="K478" t="n">
        <v>0.273</v>
      </c>
      <c r="L478" t="n">
        <v>0.647</v>
      </c>
      <c r="M478" t="n">
        <v>0.08</v>
      </c>
    </row>
    <row r="479" spans="1:13">
      <c r="A479" s="1">
        <f>HYPERLINK("http://www.twitter.com/NathanBLawrence/status/999084080418476032", "999084080418476032")</f>
        <v/>
      </c>
      <c r="B479" s="2" t="n">
        <v>43243.01829861111</v>
      </c>
      <c r="C479" t="n">
        <v>0</v>
      </c>
      <c r="D479" t="n">
        <v>62</v>
      </c>
      <c r="E479" t="s">
        <v>485</v>
      </c>
      <c r="F479">
        <f>HYPERLINK("https://video.twimg.com/ext_tw_video/998986915066998785/pu/vid/318x180/H36riKbuR6ROudNs.mp4?tag=3", "https://video.twimg.com/ext_tw_video/998986915066998785/pu/vid/318x180/H36riKbuR6ROudNs.mp4?tag=3")</f>
        <v/>
      </c>
      <c r="G479" t="s"/>
      <c r="H479" t="s"/>
      <c r="I479" t="s"/>
      <c r="J479" t="n">
        <v>0.6597</v>
      </c>
      <c r="K479" t="n">
        <v>0.092</v>
      </c>
      <c r="L479" t="n">
        <v>0.63</v>
      </c>
      <c r="M479" t="n">
        <v>0.277</v>
      </c>
    </row>
    <row r="480" spans="1:13">
      <c r="A480" s="1">
        <f>HYPERLINK("http://www.twitter.com/NathanBLawrence/status/999084016593784832", "999084016593784832")</f>
        <v/>
      </c>
      <c r="B480" s="2" t="n">
        <v>43243.018125</v>
      </c>
      <c r="C480" t="n">
        <v>0</v>
      </c>
      <c r="D480" t="n">
        <v>6</v>
      </c>
      <c r="E480" t="s">
        <v>486</v>
      </c>
      <c r="F480" t="s"/>
      <c r="G480" t="s"/>
      <c r="H480" t="s"/>
      <c r="I480" t="s"/>
      <c r="J480" t="n">
        <v>-0.25</v>
      </c>
      <c r="K480" t="n">
        <v>0.08</v>
      </c>
      <c r="L480" t="n">
        <v>0.92</v>
      </c>
      <c r="M480" t="n">
        <v>0</v>
      </c>
    </row>
    <row r="481" spans="1:13">
      <c r="A481" s="1">
        <f>HYPERLINK("http://www.twitter.com/NathanBLawrence/status/999083989808959488", "999083989808959488")</f>
        <v/>
      </c>
      <c r="B481" s="2" t="n">
        <v>43243.01804398148</v>
      </c>
      <c r="C481" t="n">
        <v>0</v>
      </c>
      <c r="D481" t="n">
        <v>12</v>
      </c>
      <c r="E481" t="s">
        <v>487</v>
      </c>
      <c r="F481">
        <f>HYPERLINK("http://pbs.twimg.com/media/Dd1orGhUwAAiSve.jpg", "http://pbs.twimg.com/media/Dd1orGhUwAAiSve.jpg")</f>
        <v/>
      </c>
      <c r="G481" t="s"/>
      <c r="H481" t="s"/>
      <c r="I481" t="s"/>
      <c r="J481" t="n">
        <v>0.7568</v>
      </c>
      <c r="K481" t="n">
        <v>0.08500000000000001</v>
      </c>
      <c r="L481" t="n">
        <v>0.608</v>
      </c>
      <c r="M481" t="n">
        <v>0.307</v>
      </c>
    </row>
    <row r="482" spans="1:13">
      <c r="A482" s="1">
        <f>HYPERLINK("http://www.twitter.com/NathanBLawrence/status/999083933454258177", "999083933454258177")</f>
        <v/>
      </c>
      <c r="B482" s="2" t="n">
        <v>43243.01789351852</v>
      </c>
      <c r="C482" t="n">
        <v>2</v>
      </c>
      <c r="D482" t="n">
        <v>1</v>
      </c>
      <c r="E482" t="s">
        <v>488</v>
      </c>
      <c r="F482" t="s"/>
      <c r="G482" t="s"/>
      <c r="H482" t="s"/>
      <c r="I482" t="s"/>
      <c r="J482" t="n">
        <v>0</v>
      </c>
      <c r="K482" t="n">
        <v>0</v>
      </c>
      <c r="L482" t="n">
        <v>1</v>
      </c>
      <c r="M482" t="n">
        <v>0</v>
      </c>
    </row>
    <row r="483" spans="1:13">
      <c r="A483" s="1">
        <f>HYPERLINK("http://www.twitter.com/NathanBLawrence/status/999083872871768070", "999083872871768070")</f>
        <v/>
      </c>
      <c r="B483" s="2" t="n">
        <v>43243.01773148148</v>
      </c>
      <c r="C483" t="n">
        <v>0</v>
      </c>
      <c r="D483" t="n">
        <v>1</v>
      </c>
      <c r="E483" t="s">
        <v>489</v>
      </c>
      <c r="F483" t="s"/>
      <c r="G483" t="s"/>
      <c r="H483" t="s"/>
      <c r="I483" t="s"/>
      <c r="J483" t="n">
        <v>0.1154</v>
      </c>
      <c r="K483" t="n">
        <v>0.06900000000000001</v>
      </c>
      <c r="L483" t="n">
        <v>0.836</v>
      </c>
      <c r="M483" t="n">
        <v>0.096</v>
      </c>
    </row>
    <row r="484" spans="1:13">
      <c r="A484" s="1">
        <f>HYPERLINK("http://www.twitter.com/NathanBLawrence/status/999083843855450112", "999083843855450112")</f>
        <v/>
      </c>
      <c r="B484" s="2" t="n">
        <v>43243.01765046296</v>
      </c>
      <c r="C484" t="n">
        <v>7</v>
      </c>
      <c r="D484" t="n">
        <v>4</v>
      </c>
      <c r="E484" t="s">
        <v>490</v>
      </c>
      <c r="F484" t="s"/>
      <c r="G484" t="s"/>
      <c r="H484" t="s"/>
      <c r="I484" t="s"/>
      <c r="J484" t="n">
        <v>0</v>
      </c>
      <c r="K484" t="n">
        <v>0</v>
      </c>
      <c r="L484" t="n">
        <v>1</v>
      </c>
      <c r="M484" t="n">
        <v>0</v>
      </c>
    </row>
    <row r="485" spans="1:13">
      <c r="A485" s="1">
        <f>HYPERLINK("http://www.twitter.com/NathanBLawrence/status/999083508990660608", "999083508990660608")</f>
        <v/>
      </c>
      <c r="B485" s="2" t="n">
        <v>43243.01672453704</v>
      </c>
      <c r="C485" t="n">
        <v>0</v>
      </c>
      <c r="D485" t="n">
        <v>12</v>
      </c>
      <c r="E485" t="s">
        <v>491</v>
      </c>
      <c r="F485">
        <f>HYPERLINK("http://pbs.twimg.com/media/Dd10oH2U0AAAE8T.jpg", "http://pbs.twimg.com/media/Dd10oH2U0AAAE8T.jpg")</f>
        <v/>
      </c>
      <c r="G485" t="s"/>
      <c r="H485" t="s"/>
      <c r="I485" t="s"/>
      <c r="J485" t="n">
        <v>-0.2714</v>
      </c>
      <c r="K485" t="n">
        <v>0.172</v>
      </c>
      <c r="L485" t="n">
        <v>0.733</v>
      </c>
      <c r="M485" t="n">
        <v>0.095</v>
      </c>
    </row>
    <row r="486" spans="1:13">
      <c r="A486" s="1">
        <f>HYPERLINK("http://www.twitter.com/NathanBLawrence/status/999068394262552576", "999068394262552576")</f>
        <v/>
      </c>
      <c r="B486" s="2" t="n">
        <v>43242.97501157408</v>
      </c>
      <c r="C486" t="n">
        <v>2</v>
      </c>
      <c r="D486" t="n">
        <v>1</v>
      </c>
      <c r="E486" t="s">
        <v>492</v>
      </c>
      <c r="F486" t="s"/>
      <c r="G486" t="s"/>
      <c r="H486" t="s"/>
      <c r="I486" t="s"/>
      <c r="J486" t="n">
        <v>0.2805</v>
      </c>
      <c r="K486" t="n">
        <v>0.165</v>
      </c>
      <c r="L486" t="n">
        <v>0.628</v>
      </c>
      <c r="M486" t="n">
        <v>0.207</v>
      </c>
    </row>
    <row r="487" spans="1:13">
      <c r="A487" s="1">
        <f>HYPERLINK("http://www.twitter.com/NathanBLawrence/status/999009250771861506", "999009250771861506")</f>
        <v/>
      </c>
      <c r="B487" s="2" t="n">
        <v>43242.81180555555</v>
      </c>
      <c r="C487" t="n">
        <v>0</v>
      </c>
      <c r="D487" t="n">
        <v>18</v>
      </c>
      <c r="E487" t="s">
        <v>493</v>
      </c>
      <c r="F487">
        <f>HYPERLINK("https://video.twimg.com/ext_tw_video/999006284857851904/pu/vid/1280x720/SCVIe9LuSmC1CvyR.mp4?tag=3", "https://video.twimg.com/ext_tw_video/999006284857851904/pu/vid/1280x720/SCVIe9LuSmC1CvyR.mp4?tag=3")</f>
        <v/>
      </c>
      <c r="G487" t="s"/>
      <c r="H487" t="s"/>
      <c r="I487" t="s"/>
      <c r="J487" t="n">
        <v>0</v>
      </c>
      <c r="K487" t="n">
        <v>0</v>
      </c>
      <c r="L487" t="n">
        <v>1</v>
      </c>
      <c r="M487" t="n">
        <v>0</v>
      </c>
    </row>
    <row r="488" spans="1:13">
      <c r="A488" s="1">
        <f>HYPERLINK("http://www.twitter.com/NathanBLawrence/status/998984184277368833", "998984184277368833")</f>
        <v/>
      </c>
      <c r="B488" s="2" t="n">
        <v>43242.74263888889</v>
      </c>
      <c r="C488" t="n">
        <v>0</v>
      </c>
      <c r="D488" t="n">
        <v>11</v>
      </c>
      <c r="E488" t="s">
        <v>494</v>
      </c>
      <c r="F488" t="s"/>
      <c r="G488" t="s"/>
      <c r="H488" t="s"/>
      <c r="I488" t="s"/>
      <c r="J488" t="n">
        <v>-0.5859</v>
      </c>
      <c r="K488" t="n">
        <v>0.22</v>
      </c>
      <c r="L488" t="n">
        <v>0.78</v>
      </c>
      <c r="M488" t="n">
        <v>0</v>
      </c>
    </row>
    <row r="489" spans="1:13">
      <c r="A489" s="1">
        <f>HYPERLINK("http://www.twitter.com/NathanBLawrence/status/998984172856365056", "998984172856365056")</f>
        <v/>
      </c>
      <c r="B489" s="2" t="n">
        <v>43242.74260416667</v>
      </c>
      <c r="C489" t="n">
        <v>0</v>
      </c>
      <c r="D489" t="n">
        <v>31</v>
      </c>
      <c r="E489" t="s">
        <v>495</v>
      </c>
      <c r="F489" t="s"/>
      <c r="G489" t="s"/>
      <c r="H489" t="s"/>
      <c r="I489" t="s"/>
      <c r="J489" t="n">
        <v>0</v>
      </c>
      <c r="K489" t="n">
        <v>0</v>
      </c>
      <c r="L489" t="n">
        <v>1</v>
      </c>
      <c r="M489" t="n">
        <v>0</v>
      </c>
    </row>
    <row r="490" spans="1:13">
      <c r="A490" s="1">
        <f>HYPERLINK("http://www.twitter.com/NathanBLawrence/status/998984153357017090", "998984153357017090")</f>
        <v/>
      </c>
      <c r="B490" s="2" t="n">
        <v>43242.74255787037</v>
      </c>
      <c r="C490" t="n">
        <v>0</v>
      </c>
      <c r="D490" t="n">
        <v>21</v>
      </c>
      <c r="E490" t="s">
        <v>496</v>
      </c>
      <c r="F490">
        <f>HYPERLINK("http://pbs.twimg.com/media/DdzVOm1U8AAYuE1.png", "http://pbs.twimg.com/media/DdzVOm1U8AAYuE1.png")</f>
        <v/>
      </c>
      <c r="G490" t="s"/>
      <c r="H490" t="s"/>
      <c r="I490" t="s"/>
      <c r="J490" t="n">
        <v>-0.2404</v>
      </c>
      <c r="K490" t="n">
        <v>0.151</v>
      </c>
      <c r="L490" t="n">
        <v>0.736</v>
      </c>
      <c r="M490" t="n">
        <v>0.114</v>
      </c>
    </row>
    <row r="491" spans="1:13">
      <c r="A491" s="1">
        <f>HYPERLINK("http://www.twitter.com/NathanBLawrence/status/998984108314365952", "998984108314365952")</f>
        <v/>
      </c>
      <c r="B491" s="2" t="n">
        <v>43242.74243055555</v>
      </c>
      <c r="C491" t="n">
        <v>0</v>
      </c>
      <c r="D491" t="n">
        <v>13</v>
      </c>
      <c r="E491" t="s">
        <v>497</v>
      </c>
      <c r="F491" t="s"/>
      <c r="G491" t="s"/>
      <c r="H491" t="s"/>
      <c r="I491" t="s"/>
      <c r="J491" t="n">
        <v>-0.4404</v>
      </c>
      <c r="K491" t="n">
        <v>0.127</v>
      </c>
      <c r="L491" t="n">
        <v>0.873</v>
      </c>
      <c r="M491" t="n">
        <v>0</v>
      </c>
    </row>
    <row r="492" spans="1:13">
      <c r="A492" s="1">
        <f>HYPERLINK("http://www.twitter.com/NathanBLawrence/status/998984072486707200", "998984072486707200")</f>
        <v/>
      </c>
      <c r="B492" s="2" t="n">
        <v>43242.74232638889</v>
      </c>
      <c r="C492" t="n">
        <v>0</v>
      </c>
      <c r="D492" t="n">
        <v>0</v>
      </c>
      <c r="E492" t="s">
        <v>498</v>
      </c>
      <c r="F492" t="s"/>
      <c r="G492" t="s"/>
      <c r="H492" t="s"/>
      <c r="I492" t="s"/>
      <c r="J492" t="n">
        <v>0</v>
      </c>
      <c r="K492" t="n">
        <v>0</v>
      </c>
      <c r="L492" t="n">
        <v>1</v>
      </c>
      <c r="M492" t="n">
        <v>0</v>
      </c>
    </row>
    <row r="493" spans="1:13">
      <c r="A493" s="1">
        <f>HYPERLINK("http://www.twitter.com/NathanBLawrence/status/998984038114349056", "998984038114349056")</f>
        <v/>
      </c>
      <c r="B493" s="2" t="n">
        <v>43242.7422337963</v>
      </c>
      <c r="C493" t="n">
        <v>0</v>
      </c>
      <c r="D493" t="n">
        <v>11</v>
      </c>
      <c r="E493" t="s">
        <v>499</v>
      </c>
      <c r="F493" t="s"/>
      <c r="G493" t="s"/>
      <c r="H493" t="s"/>
      <c r="I493" t="s"/>
      <c r="J493" t="n">
        <v>-0.1779</v>
      </c>
      <c r="K493" t="n">
        <v>0.166</v>
      </c>
      <c r="L493" t="n">
        <v>0.704</v>
      </c>
      <c r="M493" t="n">
        <v>0.131</v>
      </c>
    </row>
    <row r="494" spans="1:13">
      <c r="A494" s="1">
        <f>HYPERLINK("http://www.twitter.com/NathanBLawrence/status/998984021907566592", "998984021907566592")</f>
        <v/>
      </c>
      <c r="B494" s="2" t="n">
        <v>43242.7421875</v>
      </c>
      <c r="C494" t="n">
        <v>0</v>
      </c>
      <c r="D494" t="n">
        <v>12</v>
      </c>
      <c r="E494" t="s">
        <v>500</v>
      </c>
      <c r="F494">
        <f>HYPERLINK("http://pbs.twimg.com/media/DdwcMj5U0AEQ8AJ.jpg", "http://pbs.twimg.com/media/DdwcMj5U0AEQ8AJ.jpg")</f>
        <v/>
      </c>
      <c r="G494" t="s"/>
      <c r="H494" t="s"/>
      <c r="I494" t="s"/>
      <c r="J494" t="n">
        <v>0.4019</v>
      </c>
      <c r="K494" t="n">
        <v>0.113</v>
      </c>
      <c r="L494" t="n">
        <v>0.64</v>
      </c>
      <c r="M494" t="n">
        <v>0.246</v>
      </c>
    </row>
    <row r="495" spans="1:13">
      <c r="A495" s="1">
        <f>HYPERLINK("http://www.twitter.com/NathanBLawrence/status/998984001116430337", "998984001116430337")</f>
        <v/>
      </c>
      <c r="B495" s="2" t="n">
        <v>43242.74212962963</v>
      </c>
      <c r="C495" t="n">
        <v>0</v>
      </c>
      <c r="D495" t="n">
        <v>20</v>
      </c>
      <c r="E495" t="s">
        <v>501</v>
      </c>
      <c r="F495" t="s"/>
      <c r="G495" t="s"/>
      <c r="H495" t="s"/>
      <c r="I495" t="s"/>
      <c r="J495" t="n">
        <v>-0.3818</v>
      </c>
      <c r="K495" t="n">
        <v>0.106</v>
      </c>
      <c r="L495" t="n">
        <v>0.894</v>
      </c>
      <c r="M495" t="n">
        <v>0</v>
      </c>
    </row>
    <row r="496" spans="1:13">
      <c r="A496" s="1">
        <f>HYPERLINK("http://www.twitter.com/NathanBLawrence/status/998983975916929024", "998983975916929024")</f>
        <v/>
      </c>
      <c r="B496" s="2" t="n">
        <v>43242.74206018518</v>
      </c>
      <c r="C496" t="n">
        <v>0</v>
      </c>
      <c r="D496" t="n">
        <v>15</v>
      </c>
      <c r="E496" t="s">
        <v>502</v>
      </c>
      <c r="F496">
        <f>HYPERLINK("http://pbs.twimg.com/media/Ddwekf9VMAAOe3k.jpg", "http://pbs.twimg.com/media/Ddwekf9VMAAOe3k.jpg")</f>
        <v/>
      </c>
      <c r="G496" t="s"/>
      <c r="H496" t="s"/>
      <c r="I496" t="s"/>
      <c r="J496" t="n">
        <v>0</v>
      </c>
      <c r="K496" t="n">
        <v>0</v>
      </c>
      <c r="L496" t="n">
        <v>1</v>
      </c>
      <c r="M496" t="n">
        <v>0</v>
      </c>
    </row>
    <row r="497" spans="1:13">
      <c r="A497" s="1">
        <f>HYPERLINK("http://www.twitter.com/NathanBLawrence/status/998983960104460288", "998983960104460288")</f>
        <v/>
      </c>
      <c r="B497" s="2" t="n">
        <v>43242.74201388889</v>
      </c>
      <c r="C497" t="n">
        <v>0</v>
      </c>
      <c r="D497" t="n">
        <v>20</v>
      </c>
      <c r="E497" t="s">
        <v>503</v>
      </c>
      <c r="F497" t="s"/>
      <c r="G497" t="s"/>
      <c r="H497" t="s"/>
      <c r="I497" t="s"/>
      <c r="J497" t="n">
        <v>0</v>
      </c>
      <c r="K497" t="n">
        <v>0</v>
      </c>
      <c r="L497" t="n">
        <v>1</v>
      </c>
      <c r="M497" t="n">
        <v>0</v>
      </c>
    </row>
    <row r="498" spans="1:13">
      <c r="A498" s="1">
        <f>HYPERLINK("http://www.twitter.com/NathanBLawrence/status/998983887949893632", "998983887949893632")</f>
        <v/>
      </c>
      <c r="B498" s="2" t="n">
        <v>43242.74181712963</v>
      </c>
      <c r="C498" t="n">
        <v>0</v>
      </c>
      <c r="D498" t="n">
        <v>2</v>
      </c>
      <c r="E498" t="s">
        <v>504</v>
      </c>
      <c r="F498" t="s"/>
      <c r="G498" t="s"/>
      <c r="H498" t="s"/>
      <c r="I498" t="s"/>
      <c r="J498" t="n">
        <v>0.3818</v>
      </c>
      <c r="K498" t="n">
        <v>0</v>
      </c>
      <c r="L498" t="n">
        <v>0.89</v>
      </c>
      <c r="M498" t="n">
        <v>0.11</v>
      </c>
    </row>
    <row r="499" spans="1:13">
      <c r="A499" s="1">
        <f>HYPERLINK("http://www.twitter.com/NathanBLawrence/status/998983806664302593", "998983806664302593")</f>
        <v/>
      </c>
      <c r="B499" s="2" t="n">
        <v>43242.74159722222</v>
      </c>
      <c r="C499" t="n">
        <v>0</v>
      </c>
      <c r="D499" t="n">
        <v>3</v>
      </c>
      <c r="E499" t="s">
        <v>505</v>
      </c>
      <c r="F499" t="s"/>
      <c r="G499" t="s"/>
      <c r="H499" t="s"/>
      <c r="I499" t="s"/>
      <c r="J499" t="n">
        <v>0</v>
      </c>
      <c r="K499" t="n">
        <v>0</v>
      </c>
      <c r="L499" t="n">
        <v>1</v>
      </c>
      <c r="M499" t="n">
        <v>0</v>
      </c>
    </row>
    <row r="500" spans="1:13">
      <c r="A500" s="1">
        <f>HYPERLINK("http://www.twitter.com/NathanBLawrence/status/998983729174507520", "998983729174507520")</f>
        <v/>
      </c>
      <c r="B500" s="2" t="n">
        <v>43242.74137731481</v>
      </c>
      <c r="C500" t="n">
        <v>0</v>
      </c>
      <c r="D500" t="n">
        <v>12</v>
      </c>
      <c r="E500" t="s">
        <v>506</v>
      </c>
      <c r="F500">
        <f>HYPERLINK("http://pbs.twimg.com/media/Dd0UP-mUwAAeZbh.jpg", "http://pbs.twimg.com/media/Dd0UP-mUwAAeZbh.jpg")</f>
        <v/>
      </c>
      <c r="G500" t="s"/>
      <c r="H500" t="s"/>
      <c r="I500" t="s"/>
      <c r="J500" t="n">
        <v>-0.0258</v>
      </c>
      <c r="K500" t="n">
        <v>0.08400000000000001</v>
      </c>
      <c r="L500" t="n">
        <v>0.837</v>
      </c>
      <c r="M500" t="n">
        <v>0.08</v>
      </c>
    </row>
    <row r="501" spans="1:13">
      <c r="A501" s="1">
        <f>HYPERLINK("http://www.twitter.com/NathanBLawrence/status/998983714083364864", "998983714083364864")</f>
        <v/>
      </c>
      <c r="B501" s="2" t="n">
        <v>43242.74134259259</v>
      </c>
      <c r="C501" t="n">
        <v>0</v>
      </c>
      <c r="D501" t="n">
        <v>16</v>
      </c>
      <c r="E501" t="s">
        <v>507</v>
      </c>
      <c r="F501">
        <f>HYPERLINK("http://pbs.twimg.com/media/Dd0HmMOU0AMG3qX.jpg", "http://pbs.twimg.com/media/Dd0HmMOU0AMG3qX.jpg")</f>
        <v/>
      </c>
      <c r="G501" t="s"/>
      <c r="H501" t="s"/>
      <c r="I501" t="s"/>
      <c r="J501" t="n">
        <v>0.4449</v>
      </c>
      <c r="K501" t="n">
        <v>0</v>
      </c>
      <c r="L501" t="n">
        <v>0.883</v>
      </c>
      <c r="M501" t="n">
        <v>0.117</v>
      </c>
    </row>
    <row r="502" spans="1:13">
      <c r="A502" s="1">
        <f>HYPERLINK("http://www.twitter.com/NathanBLawrence/status/998983701244628993", "998983701244628993")</f>
        <v/>
      </c>
      <c r="B502" s="2" t="n">
        <v>43242.74130787037</v>
      </c>
      <c r="C502" t="n">
        <v>0</v>
      </c>
      <c r="D502" t="n">
        <v>14</v>
      </c>
      <c r="E502" t="s">
        <v>508</v>
      </c>
      <c r="F502">
        <f>HYPERLINK("http://pbs.twimg.com/media/Dd0G50cU0AA5bG0.jpg", "http://pbs.twimg.com/media/Dd0G50cU0AA5bG0.jpg")</f>
        <v/>
      </c>
      <c r="G502" t="s"/>
      <c r="H502" t="s"/>
      <c r="I502" t="s"/>
      <c r="J502" t="n">
        <v>0.381</v>
      </c>
      <c r="K502" t="n">
        <v>0</v>
      </c>
      <c r="L502" t="n">
        <v>0.854</v>
      </c>
      <c r="M502" t="n">
        <v>0.146</v>
      </c>
    </row>
    <row r="503" spans="1:13">
      <c r="A503" s="1">
        <f>HYPERLINK("http://www.twitter.com/NathanBLawrence/status/998983689089572864", "998983689089572864")</f>
        <v/>
      </c>
      <c r="B503" s="2" t="n">
        <v>43242.74127314815</v>
      </c>
      <c r="C503" t="n">
        <v>0</v>
      </c>
      <c r="D503" t="n">
        <v>9</v>
      </c>
      <c r="E503" t="s">
        <v>509</v>
      </c>
      <c r="F503">
        <f>HYPERLINK("https://video.twimg.com/ext_tw_video/998960364199886848/pu/vid/1280x720/1j1HXISsNb9f18un.mp4?tag=3", "https://video.twimg.com/ext_tw_video/998960364199886848/pu/vid/1280x720/1j1HXISsNb9f18un.mp4?tag=3")</f>
        <v/>
      </c>
      <c r="G503" t="s"/>
      <c r="H503" t="s"/>
      <c r="I503" t="s"/>
      <c r="J503" t="n">
        <v>-0.4023</v>
      </c>
      <c r="K503" t="n">
        <v>0.125</v>
      </c>
      <c r="L503" t="n">
        <v>0.875</v>
      </c>
      <c r="M503" t="n">
        <v>0</v>
      </c>
    </row>
    <row r="504" spans="1:13">
      <c r="A504" s="1">
        <f>HYPERLINK("http://www.twitter.com/NathanBLawrence/status/998983602481324032", "998983602481324032")</f>
        <v/>
      </c>
      <c r="B504" s="2" t="n">
        <v>43242.74103009259</v>
      </c>
      <c r="C504" t="n">
        <v>0</v>
      </c>
      <c r="D504" t="n">
        <v>2</v>
      </c>
      <c r="E504" t="s">
        <v>510</v>
      </c>
      <c r="F504" t="s"/>
      <c r="G504" t="s"/>
      <c r="H504" t="s"/>
      <c r="I504" t="s"/>
      <c r="J504" t="n">
        <v>-0.0057</v>
      </c>
      <c r="K504" t="n">
        <v>0.05</v>
      </c>
      <c r="L504" t="n">
        <v>0.901</v>
      </c>
      <c r="M504" t="n">
        <v>0.049</v>
      </c>
    </row>
    <row r="505" spans="1:13">
      <c r="A505" s="1">
        <f>HYPERLINK("http://www.twitter.com/NathanBLawrence/status/998983565441454080", "998983565441454080")</f>
        <v/>
      </c>
      <c r="B505" s="2" t="n">
        <v>43242.74092592593</v>
      </c>
      <c r="C505" t="n">
        <v>0</v>
      </c>
      <c r="D505" t="n">
        <v>7</v>
      </c>
      <c r="E505" t="s">
        <v>511</v>
      </c>
      <c r="F505" t="s"/>
      <c r="G505" t="s"/>
      <c r="H505" t="s"/>
      <c r="I505" t="s"/>
      <c r="J505" t="n">
        <v>-0.7351</v>
      </c>
      <c r="K505" t="n">
        <v>0.266</v>
      </c>
      <c r="L505" t="n">
        <v>0.6929999999999999</v>
      </c>
      <c r="M505" t="n">
        <v>0.04</v>
      </c>
    </row>
    <row r="506" spans="1:13">
      <c r="A506" s="1">
        <f>HYPERLINK("http://www.twitter.com/NathanBLawrence/status/998983476404805637", "998983476404805637")</f>
        <v/>
      </c>
      <c r="B506" s="2" t="n">
        <v>43242.74068287037</v>
      </c>
      <c r="C506" t="n">
        <v>0</v>
      </c>
      <c r="D506" t="n">
        <v>1</v>
      </c>
      <c r="E506" t="s">
        <v>512</v>
      </c>
      <c r="F506" t="s"/>
      <c r="G506" t="s"/>
      <c r="H506" t="s"/>
      <c r="I506" t="s"/>
      <c r="J506" t="n">
        <v>-0.3595</v>
      </c>
      <c r="K506" t="n">
        <v>0.111</v>
      </c>
      <c r="L506" t="n">
        <v>0.889</v>
      </c>
      <c r="M506" t="n">
        <v>0</v>
      </c>
    </row>
    <row r="507" spans="1:13">
      <c r="A507" s="1">
        <f>HYPERLINK("http://www.twitter.com/NathanBLawrence/status/998959211991175168", "998959211991175168")</f>
        <v/>
      </c>
      <c r="B507" s="2" t="n">
        <v>43242.67372685186</v>
      </c>
      <c r="C507" t="n">
        <v>0</v>
      </c>
      <c r="D507" t="n">
        <v>10</v>
      </c>
      <c r="E507" t="s">
        <v>513</v>
      </c>
      <c r="F507" t="s"/>
      <c r="G507" t="s"/>
      <c r="H507" t="s"/>
      <c r="I507" t="s"/>
      <c r="J507" t="n">
        <v>0.1779</v>
      </c>
      <c r="K507" t="n">
        <v>0.144</v>
      </c>
      <c r="L507" t="n">
        <v>0.6899999999999999</v>
      </c>
      <c r="M507" t="n">
        <v>0.166</v>
      </c>
    </row>
    <row r="508" spans="1:13">
      <c r="A508" s="1">
        <f>HYPERLINK("http://www.twitter.com/NathanBLawrence/status/998959111978016774", "998959111978016774")</f>
        <v/>
      </c>
      <c r="B508" s="2" t="n">
        <v>43242.67344907407</v>
      </c>
      <c r="C508" t="n">
        <v>0</v>
      </c>
      <c r="D508" t="n">
        <v>9</v>
      </c>
      <c r="E508" t="s">
        <v>514</v>
      </c>
      <c r="F508" t="s"/>
      <c r="G508" t="s"/>
      <c r="H508" t="s"/>
      <c r="I508" t="s"/>
      <c r="J508" t="n">
        <v>-0.3818</v>
      </c>
      <c r="K508" t="n">
        <v>0.106</v>
      </c>
      <c r="L508" t="n">
        <v>0.894</v>
      </c>
      <c r="M508" t="n">
        <v>0</v>
      </c>
    </row>
    <row r="509" spans="1:13">
      <c r="A509" s="1">
        <f>HYPERLINK("http://www.twitter.com/NathanBLawrence/status/998959091052695552", "998959091052695552")</f>
        <v/>
      </c>
      <c r="B509" s="2" t="n">
        <v>43242.6733912037</v>
      </c>
      <c r="C509" t="n">
        <v>0</v>
      </c>
      <c r="D509" t="n">
        <v>4</v>
      </c>
      <c r="E509" t="s">
        <v>515</v>
      </c>
      <c r="F509" t="s"/>
      <c r="G509" t="s"/>
      <c r="H509" t="s"/>
      <c r="I509" t="s"/>
      <c r="J509" t="n">
        <v>-0.0516</v>
      </c>
      <c r="K509" t="n">
        <v>0.111</v>
      </c>
      <c r="L509" t="n">
        <v>0.786</v>
      </c>
      <c r="M509" t="n">
        <v>0.104</v>
      </c>
    </row>
    <row r="510" spans="1:13">
      <c r="A510" s="1">
        <f>HYPERLINK("http://www.twitter.com/NathanBLawrence/status/998959027823501314", "998959027823501314")</f>
        <v/>
      </c>
      <c r="B510" s="2" t="n">
        <v>43242.67321759259</v>
      </c>
      <c r="C510" t="n">
        <v>0</v>
      </c>
      <c r="D510" t="n">
        <v>16</v>
      </c>
      <c r="E510" t="s">
        <v>516</v>
      </c>
      <c r="F510" t="s"/>
      <c r="G510" t="s"/>
      <c r="H510" t="s"/>
      <c r="I510" t="s"/>
      <c r="J510" t="n">
        <v>-0.5994</v>
      </c>
      <c r="K510" t="n">
        <v>0.255</v>
      </c>
      <c r="L510" t="n">
        <v>0.608</v>
      </c>
      <c r="M510" t="n">
        <v>0.137</v>
      </c>
    </row>
    <row r="511" spans="1:13">
      <c r="A511" s="1">
        <f>HYPERLINK("http://www.twitter.com/NathanBLawrence/status/998958981996478466", "998958981996478466")</f>
        <v/>
      </c>
      <c r="B511" s="2" t="n">
        <v>43242.67309027778</v>
      </c>
      <c r="C511" t="n">
        <v>0</v>
      </c>
      <c r="D511" t="n">
        <v>2</v>
      </c>
      <c r="E511" t="s">
        <v>517</v>
      </c>
      <c r="F511">
        <f>HYPERLINK("http://pbs.twimg.com/media/Dd0ARdUUQAA-gqq.jpg", "http://pbs.twimg.com/media/Dd0ARdUUQAA-gqq.jpg")</f>
        <v/>
      </c>
      <c r="G511" t="s"/>
      <c r="H511" t="s"/>
      <c r="I511" t="s"/>
      <c r="J511" t="n">
        <v>0</v>
      </c>
      <c r="K511" t="n">
        <v>0</v>
      </c>
      <c r="L511" t="n">
        <v>1</v>
      </c>
      <c r="M511" t="n">
        <v>0</v>
      </c>
    </row>
    <row r="512" spans="1:13">
      <c r="A512" s="1">
        <f>HYPERLINK("http://www.twitter.com/NathanBLawrence/status/998958950442852353", "998958950442852353")</f>
        <v/>
      </c>
      <c r="B512" s="2" t="n">
        <v>43242.67300925926</v>
      </c>
      <c r="C512" t="n">
        <v>0</v>
      </c>
      <c r="D512" t="n">
        <v>4</v>
      </c>
      <c r="E512" t="s">
        <v>518</v>
      </c>
      <c r="F512" t="s"/>
      <c r="G512" t="s"/>
      <c r="H512" t="s"/>
      <c r="I512" t="s"/>
      <c r="J512" t="n">
        <v>0.6249</v>
      </c>
      <c r="K512" t="n">
        <v>0</v>
      </c>
      <c r="L512" t="n">
        <v>0.661</v>
      </c>
      <c r="M512" t="n">
        <v>0.339</v>
      </c>
    </row>
    <row r="513" spans="1:13">
      <c r="A513" s="1">
        <f>HYPERLINK("http://www.twitter.com/NathanBLawrence/status/998948253638021120", "998948253638021120")</f>
        <v/>
      </c>
      <c r="B513" s="2" t="n">
        <v>43242.6434837963</v>
      </c>
      <c r="C513" t="n">
        <v>0</v>
      </c>
      <c r="D513" t="n">
        <v>7</v>
      </c>
      <c r="E513" t="s">
        <v>519</v>
      </c>
      <c r="F513" t="s"/>
      <c r="G513" t="s"/>
      <c r="H513" t="s"/>
      <c r="I513" t="s"/>
      <c r="J513" t="n">
        <v>0</v>
      </c>
      <c r="K513" t="n">
        <v>0</v>
      </c>
      <c r="L513" t="n">
        <v>1</v>
      </c>
      <c r="M513" t="n">
        <v>0</v>
      </c>
    </row>
    <row r="514" spans="1:13">
      <c r="A514" s="1">
        <f>HYPERLINK("http://www.twitter.com/NathanBLawrence/status/998948227524235265", "998948227524235265")</f>
        <v/>
      </c>
      <c r="B514" s="2" t="n">
        <v>43242.64341435185</v>
      </c>
      <c r="C514" t="n">
        <v>0</v>
      </c>
      <c r="D514" t="n">
        <v>3</v>
      </c>
      <c r="E514" t="s">
        <v>520</v>
      </c>
      <c r="F514" t="s"/>
      <c r="G514" t="s"/>
      <c r="H514" t="s"/>
      <c r="I514" t="s"/>
      <c r="J514" t="n">
        <v>0.1027</v>
      </c>
      <c r="K514" t="n">
        <v>0</v>
      </c>
      <c r="L514" t="n">
        <v>0.9379999999999999</v>
      </c>
      <c r="M514" t="n">
        <v>0.062</v>
      </c>
    </row>
    <row r="515" spans="1:13">
      <c r="A515" s="1">
        <f>HYPERLINK("http://www.twitter.com/NathanBLawrence/status/998948194523516928", "998948194523516928")</f>
        <v/>
      </c>
      <c r="B515" s="2" t="n">
        <v>43242.64332175926</v>
      </c>
      <c r="C515" t="n">
        <v>0</v>
      </c>
      <c r="D515" t="n">
        <v>8</v>
      </c>
      <c r="E515" t="s">
        <v>521</v>
      </c>
      <c r="F515" t="s"/>
      <c r="G515" t="s"/>
      <c r="H515" t="s"/>
      <c r="I515" t="s"/>
      <c r="J515" t="n">
        <v>-0.7184</v>
      </c>
      <c r="K515" t="n">
        <v>0.222</v>
      </c>
      <c r="L515" t="n">
        <v>0.778</v>
      </c>
      <c r="M515" t="n">
        <v>0</v>
      </c>
    </row>
    <row r="516" spans="1:13">
      <c r="A516" s="1">
        <f>HYPERLINK("http://www.twitter.com/NathanBLawrence/status/998948075308769280", "998948075308769280")</f>
        <v/>
      </c>
      <c r="B516" s="2" t="n">
        <v>43242.64299768519</v>
      </c>
      <c r="C516" t="n">
        <v>0</v>
      </c>
      <c r="D516" t="n">
        <v>21</v>
      </c>
      <c r="E516" t="s">
        <v>522</v>
      </c>
      <c r="F516">
        <f>HYPERLINK("http://pbs.twimg.com/media/Ddz425sVAAAc_cB.jpg", "http://pbs.twimg.com/media/Ddz425sVAAAc_cB.jpg")</f>
        <v/>
      </c>
      <c r="G516" t="s"/>
      <c r="H516" t="s"/>
      <c r="I516" t="s"/>
      <c r="J516" t="n">
        <v>0.3181</v>
      </c>
      <c r="K516" t="n">
        <v>0.14</v>
      </c>
      <c r="L516" t="n">
        <v>0.642</v>
      </c>
      <c r="M516" t="n">
        <v>0.218</v>
      </c>
    </row>
    <row r="517" spans="1:13">
      <c r="A517" s="1">
        <f>HYPERLINK("http://www.twitter.com/NathanBLawrence/status/998948045499916288", "998948045499916288")</f>
        <v/>
      </c>
      <c r="B517" s="2" t="n">
        <v>43242.64291666666</v>
      </c>
      <c r="C517" t="n">
        <v>0</v>
      </c>
      <c r="D517" t="n">
        <v>25</v>
      </c>
      <c r="E517" t="s">
        <v>523</v>
      </c>
      <c r="F517" t="s"/>
      <c r="G517" t="s"/>
      <c r="H517" t="s"/>
      <c r="I517" t="s"/>
      <c r="J517" t="n">
        <v>0.4648</v>
      </c>
      <c r="K517" t="n">
        <v>0</v>
      </c>
      <c r="L517" t="n">
        <v>0.856</v>
      </c>
      <c r="M517" t="n">
        <v>0.144</v>
      </c>
    </row>
    <row r="518" spans="1:13">
      <c r="A518" s="1">
        <f>HYPERLINK("http://www.twitter.com/NathanBLawrence/status/998948028072562688", "998948028072562688")</f>
        <v/>
      </c>
      <c r="B518" s="2" t="n">
        <v>43242.64287037037</v>
      </c>
      <c r="C518" t="n">
        <v>0</v>
      </c>
      <c r="D518" t="n">
        <v>3</v>
      </c>
      <c r="E518" t="s">
        <v>524</v>
      </c>
      <c r="F518" t="s"/>
      <c r="G518" t="s"/>
      <c r="H518" t="s"/>
      <c r="I518" t="s"/>
      <c r="J518" t="n">
        <v>0</v>
      </c>
      <c r="K518" t="n">
        <v>0</v>
      </c>
      <c r="L518" t="n">
        <v>1</v>
      </c>
      <c r="M518" t="n">
        <v>0</v>
      </c>
    </row>
    <row r="519" spans="1:13">
      <c r="A519" s="1">
        <f>HYPERLINK("http://www.twitter.com/NathanBLawrence/status/998933011596013573", "998933011596013573")</f>
        <v/>
      </c>
      <c r="B519" s="2" t="n">
        <v>43242.60142361111</v>
      </c>
      <c r="C519" t="n">
        <v>0</v>
      </c>
      <c r="D519" t="n">
        <v>7</v>
      </c>
      <c r="E519" t="s">
        <v>525</v>
      </c>
      <c r="F519" t="s"/>
      <c r="G519" t="s"/>
      <c r="H519" t="s"/>
      <c r="I519" t="s"/>
      <c r="J519" t="n">
        <v>-0.0572</v>
      </c>
      <c r="K519" t="n">
        <v>0.06</v>
      </c>
      <c r="L519" t="n">
        <v>0.9399999999999999</v>
      </c>
      <c r="M519" t="n">
        <v>0</v>
      </c>
    </row>
    <row r="520" spans="1:13">
      <c r="A520" s="1">
        <f>HYPERLINK("http://www.twitter.com/NathanBLawrence/status/998932985725575168", "998932985725575168")</f>
        <v/>
      </c>
      <c r="B520" s="2" t="n">
        <v>43242.60135416667</v>
      </c>
      <c r="C520" t="n">
        <v>0</v>
      </c>
      <c r="D520" t="n">
        <v>11</v>
      </c>
      <c r="E520" t="s">
        <v>526</v>
      </c>
      <c r="F520" t="s"/>
      <c r="G520" t="s"/>
      <c r="H520" t="s"/>
      <c r="I520" t="s"/>
      <c r="J520" t="n">
        <v>0.3802</v>
      </c>
      <c r="K520" t="n">
        <v>0.103</v>
      </c>
      <c r="L520" t="n">
        <v>0.699</v>
      </c>
      <c r="M520" t="n">
        <v>0.198</v>
      </c>
    </row>
    <row r="521" spans="1:13">
      <c r="A521" s="1">
        <f>HYPERLINK("http://www.twitter.com/NathanBLawrence/status/998932973574639616", "998932973574639616")</f>
        <v/>
      </c>
      <c r="B521" s="2" t="n">
        <v>43242.60131944445</v>
      </c>
      <c r="C521" t="n">
        <v>0</v>
      </c>
      <c r="D521" t="n">
        <v>41</v>
      </c>
      <c r="E521" t="s">
        <v>527</v>
      </c>
      <c r="F521">
        <f>HYPERLINK("https://video.twimg.com/ext_tw_video/998715155536990208/pu/vid/604x360/WM_dM28YwUC_4WI8.mp4?tag=3", "https://video.twimg.com/ext_tw_video/998715155536990208/pu/vid/604x360/WM_dM28YwUC_4WI8.mp4?tag=3")</f>
        <v/>
      </c>
      <c r="G521" t="s"/>
      <c r="H521" t="s"/>
      <c r="I521" t="s"/>
      <c r="J521" t="n">
        <v>0.1779</v>
      </c>
      <c r="K521" t="n">
        <v>0.101</v>
      </c>
      <c r="L521" t="n">
        <v>0.769</v>
      </c>
      <c r="M521" t="n">
        <v>0.13</v>
      </c>
    </row>
    <row r="522" spans="1:13">
      <c r="A522" s="1">
        <f>HYPERLINK("http://www.twitter.com/NathanBLawrence/status/998809533660192769", "998809533660192769")</f>
        <v/>
      </c>
      <c r="B522" s="2" t="n">
        <v>43242.26069444444</v>
      </c>
      <c r="C522" t="n">
        <v>9</v>
      </c>
      <c r="D522" t="n">
        <v>7</v>
      </c>
      <c r="E522" t="s">
        <v>528</v>
      </c>
      <c r="F522" t="s"/>
      <c r="G522" t="s"/>
      <c r="H522" t="s"/>
      <c r="I522" t="s"/>
      <c r="J522" t="n">
        <v>-0.3595</v>
      </c>
      <c r="K522" t="n">
        <v>0.15</v>
      </c>
      <c r="L522" t="n">
        <v>0.778</v>
      </c>
      <c r="M522" t="n">
        <v>0.073</v>
      </c>
    </row>
    <row r="523" spans="1:13">
      <c r="A523" s="1">
        <f>HYPERLINK("http://www.twitter.com/NathanBLawrence/status/998808957484457984", "998808957484457984")</f>
        <v/>
      </c>
      <c r="B523" s="2" t="n">
        <v>43242.25910879629</v>
      </c>
      <c r="C523" t="n">
        <v>12</v>
      </c>
      <c r="D523" t="n">
        <v>8</v>
      </c>
      <c r="E523" t="s">
        <v>529</v>
      </c>
      <c r="F523" t="s"/>
      <c r="G523" t="s"/>
      <c r="H523" t="s"/>
      <c r="I523" t="s"/>
      <c r="J523" t="n">
        <v>-0.296</v>
      </c>
      <c r="K523" t="n">
        <v>0.124</v>
      </c>
      <c r="L523" t="n">
        <v>0.8100000000000001</v>
      </c>
      <c r="M523" t="n">
        <v>0.067</v>
      </c>
    </row>
    <row r="524" spans="1:13">
      <c r="A524" s="1">
        <f>HYPERLINK("http://www.twitter.com/NathanBLawrence/status/998808661274308608", "998808661274308608")</f>
        <v/>
      </c>
      <c r="B524" s="2" t="n">
        <v>43242.25828703704</v>
      </c>
      <c r="C524" t="n">
        <v>8</v>
      </c>
      <c r="D524" t="n">
        <v>4</v>
      </c>
      <c r="E524" t="s">
        <v>530</v>
      </c>
      <c r="F524" t="s"/>
      <c r="G524" t="s"/>
      <c r="H524" t="s"/>
      <c r="I524" t="s"/>
      <c r="J524" t="n">
        <v>-0.5106000000000001</v>
      </c>
      <c r="K524" t="n">
        <v>0.219</v>
      </c>
      <c r="L524" t="n">
        <v>0.681</v>
      </c>
      <c r="M524" t="n">
        <v>0.1</v>
      </c>
    </row>
    <row r="525" spans="1:13">
      <c r="A525" s="1">
        <f>HYPERLINK("http://www.twitter.com/NathanBLawrence/status/998807134900023296", "998807134900023296")</f>
        <v/>
      </c>
      <c r="B525" s="2" t="n">
        <v>43242.25407407407</v>
      </c>
      <c r="C525" t="n">
        <v>0</v>
      </c>
      <c r="D525" t="n">
        <v>17661</v>
      </c>
      <c r="E525" t="s">
        <v>531</v>
      </c>
      <c r="F525" t="s"/>
      <c r="G525" t="s"/>
      <c r="H525" t="s"/>
      <c r="I525" t="s"/>
      <c r="J525" t="n">
        <v>-0.4871</v>
      </c>
      <c r="K525" t="n">
        <v>0.131</v>
      </c>
      <c r="L525" t="n">
        <v>0.869</v>
      </c>
      <c r="M525" t="n">
        <v>0</v>
      </c>
    </row>
    <row r="526" spans="1:13">
      <c r="A526" s="1">
        <f>HYPERLINK("http://www.twitter.com/NathanBLawrence/status/998806369716326401", "998806369716326401")</f>
        <v/>
      </c>
      <c r="B526" s="2" t="n">
        <v>43242.25196759259</v>
      </c>
      <c r="C526" t="n">
        <v>0</v>
      </c>
      <c r="D526" t="n">
        <v>8</v>
      </c>
      <c r="E526" t="s">
        <v>532</v>
      </c>
      <c r="F526">
        <f>HYPERLINK("https://video.twimg.com/ext_tw_video/998799105827614721/pu/vid/1280x720/9-IT_eqxZNlFd0yj.mp4?tag=3", "https://video.twimg.com/ext_tw_video/998799105827614721/pu/vid/1280x720/9-IT_eqxZNlFd0yj.mp4?tag=3")</f>
        <v/>
      </c>
      <c r="G526" t="s"/>
      <c r="H526" t="s"/>
      <c r="I526" t="s"/>
      <c r="J526" t="n">
        <v>-0.2284</v>
      </c>
      <c r="K526" t="n">
        <v>0.126</v>
      </c>
      <c r="L526" t="n">
        <v>0.789</v>
      </c>
      <c r="M526" t="n">
        <v>0.08400000000000001</v>
      </c>
    </row>
    <row r="527" spans="1:13">
      <c r="A527" s="1">
        <f>HYPERLINK("http://www.twitter.com/NathanBLawrence/status/998806338372292609", "998806338372292609")</f>
        <v/>
      </c>
      <c r="B527" s="2" t="n">
        <v>43242.251875</v>
      </c>
      <c r="C527" t="n">
        <v>0</v>
      </c>
      <c r="D527" t="n">
        <v>4</v>
      </c>
      <c r="E527" t="s">
        <v>533</v>
      </c>
      <c r="F527">
        <f>HYPERLINK("http://pbs.twimg.com/media/DdxVuKRVAAAfD3U.jpg", "http://pbs.twimg.com/media/DdxVuKRVAAAfD3U.jpg")</f>
        <v/>
      </c>
      <c r="G527" t="s"/>
      <c r="H527" t="s"/>
      <c r="I527" t="s"/>
      <c r="J527" t="n">
        <v>-0.296</v>
      </c>
      <c r="K527" t="n">
        <v>0.104</v>
      </c>
      <c r="L527" t="n">
        <v>0.896</v>
      </c>
      <c r="M527" t="n">
        <v>0</v>
      </c>
    </row>
    <row r="528" spans="1:13">
      <c r="A528" s="1">
        <f>HYPERLINK("http://www.twitter.com/NathanBLawrence/status/998806154863087616", "998806154863087616")</f>
        <v/>
      </c>
      <c r="B528" s="2" t="n">
        <v>43242.25136574074</v>
      </c>
      <c r="C528" t="n">
        <v>0</v>
      </c>
      <c r="D528" t="n">
        <v>11</v>
      </c>
      <c r="E528" t="s">
        <v>534</v>
      </c>
      <c r="F528">
        <f>HYPERLINK("http://pbs.twimg.com/media/Ddw7HcTVQAEoNWC.jpg", "http://pbs.twimg.com/media/Ddw7HcTVQAEoNWC.jpg")</f>
        <v/>
      </c>
      <c r="G528" t="s"/>
      <c r="H528" t="s"/>
      <c r="I528" t="s"/>
      <c r="J528" t="n">
        <v>-0.5106000000000001</v>
      </c>
      <c r="K528" t="n">
        <v>0.125</v>
      </c>
      <c r="L528" t="n">
        <v>0.875</v>
      </c>
      <c r="M528" t="n">
        <v>0</v>
      </c>
    </row>
    <row r="529" spans="1:13">
      <c r="A529" s="1">
        <f>HYPERLINK("http://www.twitter.com/NathanBLawrence/status/998806123783258112", "998806123783258112")</f>
        <v/>
      </c>
      <c r="B529" s="2" t="n">
        <v>43242.25128472222</v>
      </c>
      <c r="C529" t="n">
        <v>0</v>
      </c>
      <c r="D529" t="n">
        <v>10</v>
      </c>
      <c r="E529" t="s">
        <v>535</v>
      </c>
      <c r="F529" t="s"/>
      <c r="G529" t="s"/>
      <c r="H529" t="s"/>
      <c r="I529" t="s"/>
      <c r="J529" t="n">
        <v>0</v>
      </c>
      <c r="K529" t="n">
        <v>0</v>
      </c>
      <c r="L529" t="n">
        <v>1</v>
      </c>
      <c r="M529" t="n">
        <v>0</v>
      </c>
    </row>
    <row r="530" spans="1:13">
      <c r="A530" s="1">
        <f>HYPERLINK("http://www.twitter.com/NathanBLawrence/status/998803965658660865", "998803965658660865")</f>
        <v/>
      </c>
      <c r="B530" s="2" t="n">
        <v>43242.24532407407</v>
      </c>
      <c r="C530" t="n">
        <v>7</v>
      </c>
      <c r="D530" t="n">
        <v>3</v>
      </c>
      <c r="E530" t="s">
        <v>536</v>
      </c>
      <c r="F530" t="s"/>
      <c r="G530" t="s"/>
      <c r="H530" t="s"/>
      <c r="I530" t="s"/>
      <c r="J530" t="n">
        <v>-0.5859</v>
      </c>
      <c r="K530" t="n">
        <v>0.281</v>
      </c>
      <c r="L530" t="n">
        <v>0.619</v>
      </c>
      <c r="M530" t="n">
        <v>0.1</v>
      </c>
    </row>
    <row r="531" spans="1:13">
      <c r="A531" s="1">
        <f>HYPERLINK("http://www.twitter.com/NathanBLawrence/status/998802845716623360", "998802845716623360")</f>
        <v/>
      </c>
      <c r="B531" s="2" t="n">
        <v>43242.2422337963</v>
      </c>
      <c r="C531" t="n">
        <v>18</v>
      </c>
      <c r="D531" t="n">
        <v>10</v>
      </c>
      <c r="E531" t="s">
        <v>537</v>
      </c>
      <c r="F531" t="s"/>
      <c r="G531" t="s"/>
      <c r="H531" t="s"/>
      <c r="I531" t="s"/>
      <c r="J531" t="n">
        <v>0.7096</v>
      </c>
      <c r="K531" t="n">
        <v>0</v>
      </c>
      <c r="L531" t="n">
        <v>0.891</v>
      </c>
      <c r="M531" t="n">
        <v>0.109</v>
      </c>
    </row>
    <row r="532" spans="1:13">
      <c r="A532" s="1">
        <f>HYPERLINK("http://www.twitter.com/NathanBLawrence/status/998737740257783809", "998737740257783809")</f>
        <v/>
      </c>
      <c r="B532" s="2" t="n">
        <v>43242.06258101852</v>
      </c>
      <c r="C532" t="n">
        <v>0</v>
      </c>
      <c r="D532" t="n">
        <v>3</v>
      </c>
      <c r="E532" t="s">
        <v>538</v>
      </c>
      <c r="F532">
        <f>HYPERLINK("http://pbs.twimg.com/media/DdwuHVAVMAA2Zdv.jpg", "http://pbs.twimg.com/media/DdwuHVAVMAA2Zdv.jpg")</f>
        <v/>
      </c>
      <c r="G532" t="s"/>
      <c r="H532" t="s"/>
      <c r="I532" t="s"/>
      <c r="J532" t="n">
        <v>-0.915</v>
      </c>
      <c r="K532" t="n">
        <v>0.378</v>
      </c>
      <c r="L532" t="n">
        <v>0.622</v>
      </c>
      <c r="M532" t="n">
        <v>0</v>
      </c>
    </row>
    <row r="533" spans="1:13">
      <c r="A533" s="1">
        <f>HYPERLINK("http://www.twitter.com/NathanBLawrence/status/998737718229307393", "998737718229307393")</f>
        <v/>
      </c>
      <c r="B533" s="2" t="n">
        <v>43242.06252314815</v>
      </c>
      <c r="C533" t="n">
        <v>0</v>
      </c>
      <c r="D533" t="n">
        <v>11</v>
      </c>
      <c r="E533" t="s">
        <v>539</v>
      </c>
      <c r="F533">
        <f>HYPERLINK("http://pbs.twimg.com/media/DdwrrI7VwAAHCnR.jpg", "http://pbs.twimg.com/media/DdwrrI7VwAAHCnR.jpg")</f>
        <v/>
      </c>
      <c r="G533" t="s"/>
      <c r="H533" t="s"/>
      <c r="I533" t="s"/>
      <c r="J533" t="n">
        <v>-0.8622</v>
      </c>
      <c r="K533" t="n">
        <v>0.361</v>
      </c>
      <c r="L533" t="n">
        <v>0.639</v>
      </c>
      <c r="M533" t="n">
        <v>0</v>
      </c>
    </row>
    <row r="534" spans="1:13">
      <c r="A534" s="1">
        <f>HYPERLINK("http://www.twitter.com/NathanBLawrence/status/998717587671396352", "998717587671396352")</f>
        <v/>
      </c>
      <c r="B534" s="2" t="n">
        <v>43242.00696759259</v>
      </c>
      <c r="C534" t="n">
        <v>0</v>
      </c>
      <c r="D534" t="n">
        <v>4</v>
      </c>
      <c r="E534" t="s">
        <v>540</v>
      </c>
      <c r="F534" t="s"/>
      <c r="G534" t="s"/>
      <c r="H534" t="s"/>
      <c r="I534" t="s"/>
      <c r="J534" t="n">
        <v>0</v>
      </c>
      <c r="K534" t="n">
        <v>0</v>
      </c>
      <c r="L534" t="n">
        <v>1</v>
      </c>
      <c r="M534" t="n">
        <v>0</v>
      </c>
    </row>
    <row r="535" spans="1:13">
      <c r="A535" s="1">
        <f>HYPERLINK("http://www.twitter.com/NathanBLawrence/status/998717406385201153", "998717406385201153")</f>
        <v/>
      </c>
      <c r="B535" s="2" t="n">
        <v>43242.00646990741</v>
      </c>
      <c r="C535" t="n">
        <v>0</v>
      </c>
      <c r="D535" t="n">
        <v>5863</v>
      </c>
      <c r="E535" t="s">
        <v>541</v>
      </c>
      <c r="F535" t="s"/>
      <c r="G535" t="s"/>
      <c r="H535" t="s"/>
      <c r="I535" t="s"/>
      <c r="J535" t="n">
        <v>-0.4019</v>
      </c>
      <c r="K535" t="n">
        <v>0.194</v>
      </c>
      <c r="L535" t="n">
        <v>0.698</v>
      </c>
      <c r="M535" t="n">
        <v>0.108</v>
      </c>
    </row>
    <row r="536" spans="1:13">
      <c r="A536" s="1">
        <f>HYPERLINK("http://www.twitter.com/NathanBLawrence/status/998692632854499328", "998692632854499328")</f>
        <v/>
      </c>
      <c r="B536" s="2" t="n">
        <v>43241.93811342592</v>
      </c>
      <c r="C536" t="n">
        <v>0</v>
      </c>
      <c r="D536" t="n">
        <v>10</v>
      </c>
      <c r="E536" t="s">
        <v>542</v>
      </c>
      <c r="F536" t="s"/>
      <c r="G536" t="s"/>
      <c r="H536" t="s"/>
      <c r="I536" t="s"/>
      <c r="J536" t="n">
        <v>-0.8158</v>
      </c>
      <c r="K536" t="n">
        <v>0.325</v>
      </c>
      <c r="L536" t="n">
        <v>0.624</v>
      </c>
      <c r="M536" t="n">
        <v>0.051</v>
      </c>
    </row>
    <row r="537" spans="1:13">
      <c r="A537" s="1">
        <f>HYPERLINK("http://www.twitter.com/NathanBLawrence/status/998692595093180416", "998692595093180416")</f>
        <v/>
      </c>
      <c r="B537" s="2" t="n">
        <v>43241.93800925926</v>
      </c>
      <c r="C537" t="n">
        <v>0</v>
      </c>
      <c r="D537" t="n">
        <v>11</v>
      </c>
      <c r="E537" t="s">
        <v>543</v>
      </c>
      <c r="F537" t="s"/>
      <c r="G537" t="s"/>
      <c r="H537" t="s"/>
      <c r="I537" t="s"/>
      <c r="J537" t="n">
        <v>-0.3612</v>
      </c>
      <c r="K537" t="n">
        <v>0.106</v>
      </c>
      <c r="L537" t="n">
        <v>0.894</v>
      </c>
      <c r="M537" t="n">
        <v>0</v>
      </c>
    </row>
    <row r="538" spans="1:13">
      <c r="A538" s="1">
        <f>HYPERLINK("http://www.twitter.com/NathanBLawrence/status/998692580597657601", "998692580597657601")</f>
        <v/>
      </c>
      <c r="B538" s="2" t="n">
        <v>43241.93796296296</v>
      </c>
      <c r="C538" t="n">
        <v>0</v>
      </c>
      <c r="D538" t="n">
        <v>8</v>
      </c>
      <c r="E538" t="s">
        <v>544</v>
      </c>
      <c r="F538" t="s"/>
      <c r="G538" t="s"/>
      <c r="H538" t="s"/>
      <c r="I538" t="s"/>
      <c r="J538" t="n">
        <v>-0.5719</v>
      </c>
      <c r="K538" t="n">
        <v>0.144</v>
      </c>
      <c r="L538" t="n">
        <v>0.856</v>
      </c>
      <c r="M538" t="n">
        <v>0</v>
      </c>
    </row>
    <row r="539" spans="1:13">
      <c r="A539" s="1">
        <f>HYPERLINK("http://www.twitter.com/NathanBLawrence/status/998692541343109121", "998692541343109121")</f>
        <v/>
      </c>
      <c r="B539" s="2" t="n">
        <v>43241.93785879629</v>
      </c>
      <c r="C539" t="n">
        <v>0</v>
      </c>
      <c r="D539" t="n">
        <v>4</v>
      </c>
      <c r="E539" t="s">
        <v>545</v>
      </c>
      <c r="F539" t="s"/>
      <c r="G539" t="s"/>
      <c r="H539" t="s"/>
      <c r="I539" t="s"/>
      <c r="J539" t="n">
        <v>0.4019</v>
      </c>
      <c r="K539" t="n">
        <v>0</v>
      </c>
      <c r="L539" t="n">
        <v>0.803</v>
      </c>
      <c r="M539" t="n">
        <v>0.197</v>
      </c>
    </row>
    <row r="540" spans="1:13">
      <c r="A540" s="1">
        <f>HYPERLINK("http://www.twitter.com/NathanBLawrence/status/998692513358675968", "998692513358675968")</f>
        <v/>
      </c>
      <c r="B540" s="2" t="n">
        <v>43241.93777777778</v>
      </c>
      <c r="C540" t="n">
        <v>10</v>
      </c>
      <c r="D540" t="n">
        <v>7</v>
      </c>
      <c r="E540" t="s">
        <v>546</v>
      </c>
      <c r="F540" t="s"/>
      <c r="G540" t="s"/>
      <c r="H540" t="s"/>
      <c r="I540" t="s"/>
      <c r="J540" t="n">
        <v>-0.4466</v>
      </c>
      <c r="K540" t="n">
        <v>0.113</v>
      </c>
      <c r="L540" t="n">
        <v>0.887</v>
      </c>
      <c r="M540" t="n">
        <v>0</v>
      </c>
    </row>
    <row r="541" spans="1:13">
      <c r="A541" s="1">
        <f>HYPERLINK("http://www.twitter.com/NathanBLawrence/status/998692235288948738", "998692235288948738")</f>
        <v/>
      </c>
      <c r="B541" s="2" t="n">
        <v>43241.93701388889</v>
      </c>
      <c r="C541" t="n">
        <v>3</v>
      </c>
      <c r="D541" t="n">
        <v>1</v>
      </c>
      <c r="E541" t="s">
        <v>547</v>
      </c>
      <c r="F541" t="s"/>
      <c r="G541" t="s"/>
      <c r="H541" t="s"/>
      <c r="I541" t="s"/>
      <c r="J541" t="n">
        <v>0.6037</v>
      </c>
      <c r="K541" t="n">
        <v>0</v>
      </c>
      <c r="L541" t="n">
        <v>0.67</v>
      </c>
      <c r="M541" t="n">
        <v>0.33</v>
      </c>
    </row>
    <row r="542" spans="1:13">
      <c r="A542" s="1">
        <f>HYPERLINK("http://www.twitter.com/NathanBLawrence/status/998691985945956353", "998691985945956353")</f>
        <v/>
      </c>
      <c r="B542" s="2" t="n">
        <v>43241.93631944444</v>
      </c>
      <c r="C542" t="n">
        <v>0</v>
      </c>
      <c r="D542" t="n">
        <v>2</v>
      </c>
      <c r="E542" t="s">
        <v>548</v>
      </c>
      <c r="F542" t="s"/>
      <c r="G542" t="s"/>
      <c r="H542" t="s"/>
      <c r="I542" t="s"/>
      <c r="J542" t="n">
        <v>0</v>
      </c>
      <c r="K542" t="n">
        <v>0</v>
      </c>
      <c r="L542" t="n">
        <v>1</v>
      </c>
      <c r="M542" t="n">
        <v>0</v>
      </c>
    </row>
    <row r="543" spans="1:13">
      <c r="A543" s="1">
        <f>HYPERLINK("http://www.twitter.com/NathanBLawrence/status/998691947563888640", "998691947563888640")</f>
        <v/>
      </c>
      <c r="B543" s="2" t="n">
        <v>43241.93621527778</v>
      </c>
      <c r="C543" t="n">
        <v>0</v>
      </c>
      <c r="D543" t="n">
        <v>11</v>
      </c>
      <c r="E543" t="s">
        <v>549</v>
      </c>
      <c r="F543">
        <f>HYPERLINK("http://pbs.twimg.com/media/DdwEcvbU8AEr7FF.jpg", "http://pbs.twimg.com/media/DdwEcvbU8AEr7FF.jpg")</f>
        <v/>
      </c>
      <c r="G543" t="s"/>
      <c r="H543" t="s"/>
      <c r="I543" t="s"/>
      <c r="J543" t="n">
        <v>0.3204</v>
      </c>
      <c r="K543" t="n">
        <v>0</v>
      </c>
      <c r="L543" t="n">
        <v>0.88</v>
      </c>
      <c r="M543" t="n">
        <v>0.12</v>
      </c>
    </row>
    <row r="544" spans="1:13">
      <c r="A544" s="1">
        <f>HYPERLINK("http://www.twitter.com/NathanBLawrence/status/998691866601238528", "998691866601238528")</f>
        <v/>
      </c>
      <c r="B544" s="2" t="n">
        <v>43241.93599537037</v>
      </c>
      <c r="C544" t="n">
        <v>0</v>
      </c>
      <c r="D544" t="n">
        <v>3</v>
      </c>
      <c r="E544" t="s">
        <v>550</v>
      </c>
      <c r="F544" t="s"/>
      <c r="G544" t="s"/>
      <c r="H544" t="s"/>
      <c r="I544" t="s"/>
      <c r="J544" t="n">
        <v>-0.296</v>
      </c>
      <c r="K544" t="n">
        <v>0.099</v>
      </c>
      <c r="L544" t="n">
        <v>0.901</v>
      </c>
      <c r="M544" t="n">
        <v>0</v>
      </c>
    </row>
    <row r="545" spans="1:13">
      <c r="A545" s="1">
        <f>HYPERLINK("http://www.twitter.com/NathanBLawrence/status/998691789312856064", "998691789312856064")</f>
        <v/>
      </c>
      <c r="B545" s="2" t="n">
        <v>43241.93578703704</v>
      </c>
      <c r="C545" t="n">
        <v>3</v>
      </c>
      <c r="D545" t="n">
        <v>1</v>
      </c>
      <c r="E545" t="s">
        <v>551</v>
      </c>
      <c r="F545" t="s"/>
      <c r="G545" t="s"/>
      <c r="H545" t="s"/>
      <c r="I545" t="s"/>
      <c r="J545" t="n">
        <v>-0.7891</v>
      </c>
      <c r="K545" t="n">
        <v>0.257</v>
      </c>
      <c r="L545" t="n">
        <v>0.743</v>
      </c>
      <c r="M545" t="n">
        <v>0</v>
      </c>
    </row>
    <row r="546" spans="1:13">
      <c r="A546" s="1">
        <f>HYPERLINK("http://www.twitter.com/NathanBLawrence/status/998691328455335937", "998691328455335937")</f>
        <v/>
      </c>
      <c r="B546" s="2" t="n">
        <v>43241.93451388889</v>
      </c>
      <c r="C546" t="n">
        <v>0</v>
      </c>
      <c r="D546" t="n">
        <v>11</v>
      </c>
      <c r="E546" t="s">
        <v>552</v>
      </c>
      <c r="F546">
        <f>HYPERLINK("http://pbs.twimg.com/media/Ddv-G9gU8AAqMXV.jpg", "http://pbs.twimg.com/media/Ddv-G9gU8AAqMXV.jpg")</f>
        <v/>
      </c>
      <c r="G546" t="s"/>
      <c r="H546" t="s"/>
      <c r="I546" t="s"/>
      <c r="J546" t="n">
        <v>0.34</v>
      </c>
      <c r="K546" t="n">
        <v>0</v>
      </c>
      <c r="L546" t="n">
        <v>0.862</v>
      </c>
      <c r="M546" t="n">
        <v>0.138</v>
      </c>
    </row>
    <row r="547" spans="1:13">
      <c r="A547" s="1">
        <f>HYPERLINK("http://www.twitter.com/NathanBLawrence/status/998691207646674944", "998691207646674944")</f>
        <v/>
      </c>
      <c r="B547" s="2" t="n">
        <v>43241.93417824074</v>
      </c>
      <c r="C547" t="n">
        <v>0</v>
      </c>
      <c r="D547" t="n">
        <v>0</v>
      </c>
      <c r="E547" t="s">
        <v>553</v>
      </c>
      <c r="F547" t="s"/>
      <c r="G547" t="s"/>
      <c r="H547" t="s"/>
      <c r="I547" t="s"/>
      <c r="J547" t="n">
        <v>0</v>
      </c>
      <c r="K547" t="n">
        <v>0</v>
      </c>
      <c r="L547" t="n">
        <v>1</v>
      </c>
      <c r="M547" t="n">
        <v>0</v>
      </c>
    </row>
    <row r="548" spans="1:13">
      <c r="A548" s="1">
        <f>HYPERLINK("http://www.twitter.com/NathanBLawrence/status/998691082362867713", "998691082362867713")</f>
        <v/>
      </c>
      <c r="B548" s="2" t="n">
        <v>43241.93383101852</v>
      </c>
      <c r="C548" t="n">
        <v>8</v>
      </c>
      <c r="D548" t="n">
        <v>4</v>
      </c>
      <c r="E548" t="s">
        <v>554</v>
      </c>
      <c r="F548" t="s"/>
      <c r="G548" t="s"/>
      <c r="H548" t="s"/>
      <c r="I548" t="s"/>
      <c r="J548" t="n">
        <v>0</v>
      </c>
      <c r="K548" t="n">
        <v>0</v>
      </c>
      <c r="L548" t="n">
        <v>1</v>
      </c>
      <c r="M548" t="n">
        <v>0</v>
      </c>
    </row>
    <row r="549" spans="1:13">
      <c r="A549" s="1">
        <f>HYPERLINK("http://www.twitter.com/NathanBLawrence/status/998667412412293121", "998667412412293121")</f>
        <v/>
      </c>
      <c r="B549" s="2" t="n">
        <v>43241.86851851852</v>
      </c>
      <c r="C549" t="n">
        <v>1</v>
      </c>
      <c r="D549" t="n">
        <v>0</v>
      </c>
      <c r="E549" t="s">
        <v>555</v>
      </c>
      <c r="F549" t="s"/>
      <c r="G549" t="s"/>
      <c r="H549" t="s"/>
      <c r="I549" t="s"/>
      <c r="J549" t="n">
        <v>0.0772</v>
      </c>
      <c r="K549" t="n">
        <v>0</v>
      </c>
      <c r="L549" t="n">
        <v>0.885</v>
      </c>
      <c r="M549" t="n">
        <v>0.115</v>
      </c>
    </row>
    <row r="550" spans="1:13">
      <c r="A550" s="1">
        <f>HYPERLINK("http://www.twitter.com/NathanBLawrence/status/998667343864705025", "998667343864705025")</f>
        <v/>
      </c>
      <c r="B550" s="2" t="n">
        <v>43241.86832175926</v>
      </c>
      <c r="C550" t="n">
        <v>0</v>
      </c>
      <c r="D550" t="n">
        <v>19</v>
      </c>
      <c r="E550" t="s">
        <v>556</v>
      </c>
      <c r="F550" t="s"/>
      <c r="G550" t="s"/>
      <c r="H550" t="s"/>
      <c r="I550" t="s"/>
      <c r="J550" t="n">
        <v>0.3182</v>
      </c>
      <c r="K550" t="n">
        <v>0</v>
      </c>
      <c r="L550" t="n">
        <v>0.892</v>
      </c>
      <c r="M550" t="n">
        <v>0.108</v>
      </c>
    </row>
    <row r="551" spans="1:13">
      <c r="A551" s="1">
        <f>HYPERLINK("http://www.twitter.com/NathanBLawrence/status/998667324654784512", "998667324654784512")</f>
        <v/>
      </c>
      <c r="B551" s="2" t="n">
        <v>43241.86827546296</v>
      </c>
      <c r="C551" t="n">
        <v>0</v>
      </c>
      <c r="D551" t="n">
        <v>3</v>
      </c>
      <c r="E551" t="s">
        <v>557</v>
      </c>
      <c r="F551" t="s"/>
      <c r="G551" t="s"/>
      <c r="H551" t="s"/>
      <c r="I551" t="s"/>
      <c r="J551" t="n">
        <v>0</v>
      </c>
      <c r="K551" t="n">
        <v>0</v>
      </c>
      <c r="L551" t="n">
        <v>1</v>
      </c>
      <c r="M551" t="n">
        <v>0</v>
      </c>
    </row>
    <row r="552" spans="1:13">
      <c r="A552" s="1">
        <f>HYPERLINK("http://www.twitter.com/NathanBLawrence/status/998667284532035589", "998667284532035589")</f>
        <v/>
      </c>
      <c r="B552" s="2" t="n">
        <v>43241.86815972222</v>
      </c>
      <c r="C552" t="n">
        <v>0</v>
      </c>
      <c r="D552" t="n">
        <v>1</v>
      </c>
      <c r="E552" t="s">
        <v>558</v>
      </c>
      <c r="F552" t="s"/>
      <c r="G552" t="s"/>
      <c r="H552" t="s"/>
      <c r="I552" t="s"/>
      <c r="J552" t="n">
        <v>0</v>
      </c>
      <c r="K552" t="n">
        <v>0</v>
      </c>
      <c r="L552" t="n">
        <v>1</v>
      </c>
      <c r="M552" t="n">
        <v>0</v>
      </c>
    </row>
    <row r="553" spans="1:13">
      <c r="A553" s="1">
        <f>HYPERLINK("http://www.twitter.com/NathanBLawrence/status/998667097961091073", "998667097961091073")</f>
        <v/>
      </c>
      <c r="B553" s="2" t="n">
        <v>43241.86765046296</v>
      </c>
      <c r="C553" t="n">
        <v>0</v>
      </c>
      <c r="D553" t="n">
        <v>2</v>
      </c>
      <c r="E553" t="s">
        <v>559</v>
      </c>
      <c r="F553">
        <f>HYPERLINK("http://pbs.twimg.com/media/Ddubk8XUwAAvxYv.jpg", "http://pbs.twimg.com/media/Ddubk8XUwAAvxYv.jpg")</f>
        <v/>
      </c>
      <c r="G553" t="s"/>
      <c r="H553" t="s"/>
      <c r="I553" t="s"/>
      <c r="J553" t="n">
        <v>0</v>
      </c>
      <c r="K553" t="n">
        <v>0</v>
      </c>
      <c r="L553" t="n">
        <v>1</v>
      </c>
      <c r="M553" t="n">
        <v>0</v>
      </c>
    </row>
    <row r="554" spans="1:13">
      <c r="A554" s="1">
        <f>HYPERLINK("http://www.twitter.com/NathanBLawrence/status/998667017250066432", "998667017250066432")</f>
        <v/>
      </c>
      <c r="B554" s="2" t="n">
        <v>43241.86741898148</v>
      </c>
      <c r="C554" t="n">
        <v>0</v>
      </c>
      <c r="D554" t="n">
        <v>0</v>
      </c>
      <c r="E554" t="s">
        <v>560</v>
      </c>
      <c r="F554" t="s"/>
      <c r="G554" t="s"/>
      <c r="H554" t="s"/>
      <c r="I554" t="s"/>
      <c r="J554" t="n">
        <v>-0.3182</v>
      </c>
      <c r="K554" t="n">
        <v>0.315</v>
      </c>
      <c r="L554" t="n">
        <v>0.6850000000000001</v>
      </c>
      <c r="M554" t="n">
        <v>0</v>
      </c>
    </row>
    <row r="555" spans="1:13">
      <c r="A555" s="1">
        <f>HYPERLINK("http://www.twitter.com/NathanBLawrence/status/998666657223626752", "998666657223626752")</f>
        <v/>
      </c>
      <c r="B555" s="2" t="n">
        <v>43241.86643518518</v>
      </c>
      <c r="C555" t="n">
        <v>0</v>
      </c>
      <c r="D555" t="n">
        <v>5</v>
      </c>
      <c r="E555" t="s">
        <v>561</v>
      </c>
      <c r="F555" t="s"/>
      <c r="G555" t="s"/>
      <c r="H555" t="s"/>
      <c r="I555" t="s"/>
      <c r="J555" t="n">
        <v>-0.1007</v>
      </c>
      <c r="K555" t="n">
        <v>0.113</v>
      </c>
      <c r="L555" t="n">
        <v>0.79</v>
      </c>
      <c r="M555" t="n">
        <v>0.098</v>
      </c>
    </row>
    <row r="556" spans="1:13">
      <c r="A556" s="1">
        <f>HYPERLINK("http://www.twitter.com/NathanBLawrence/status/998666642832941067", "998666642832941067")</f>
        <v/>
      </c>
      <c r="B556" s="2" t="n">
        <v>43241.86638888889</v>
      </c>
      <c r="C556" t="n">
        <v>0</v>
      </c>
      <c r="D556" t="n">
        <v>17</v>
      </c>
      <c r="E556" t="s">
        <v>562</v>
      </c>
      <c r="F556" t="s"/>
      <c r="G556" t="s"/>
      <c r="H556" t="s"/>
      <c r="I556" t="s"/>
      <c r="J556" t="n">
        <v>0</v>
      </c>
      <c r="K556" t="n">
        <v>0</v>
      </c>
      <c r="L556" t="n">
        <v>1</v>
      </c>
      <c r="M556" t="n">
        <v>0</v>
      </c>
    </row>
    <row r="557" spans="1:13">
      <c r="A557" s="1">
        <f>HYPERLINK("http://www.twitter.com/NathanBLawrence/status/998666522586419201", "998666522586419201")</f>
        <v/>
      </c>
      <c r="B557" s="2" t="n">
        <v>43241.86605324074</v>
      </c>
      <c r="C557" t="n">
        <v>1</v>
      </c>
      <c r="D557" t="n">
        <v>0</v>
      </c>
      <c r="E557" t="s">
        <v>563</v>
      </c>
      <c r="F557" t="s"/>
      <c r="G557" t="s"/>
      <c r="H557" t="s"/>
      <c r="I557" t="s"/>
      <c r="J557" t="n">
        <v>0.5266999999999999</v>
      </c>
      <c r="K557" t="n">
        <v>0</v>
      </c>
      <c r="L557" t="n">
        <v>0.726</v>
      </c>
      <c r="M557" t="n">
        <v>0.274</v>
      </c>
    </row>
    <row r="558" spans="1:13">
      <c r="A558" s="1">
        <f>HYPERLINK("http://www.twitter.com/NathanBLawrence/status/998666422514483201", "998666422514483201")</f>
        <v/>
      </c>
      <c r="B558" s="2" t="n">
        <v>43241.86578703704</v>
      </c>
      <c r="C558" t="n">
        <v>0</v>
      </c>
      <c r="D558" t="n">
        <v>53</v>
      </c>
      <c r="E558" t="s">
        <v>564</v>
      </c>
      <c r="F558" t="s"/>
      <c r="G558" t="s"/>
      <c r="H558" t="s"/>
      <c r="I558" t="s"/>
      <c r="J558" t="n">
        <v>0.2023</v>
      </c>
      <c r="K558" t="n">
        <v>0.091</v>
      </c>
      <c r="L558" t="n">
        <v>0.787</v>
      </c>
      <c r="M558" t="n">
        <v>0.122</v>
      </c>
    </row>
    <row r="559" spans="1:13">
      <c r="A559" s="1">
        <f>HYPERLINK("http://www.twitter.com/NathanBLawrence/status/998666394395906048", "998666394395906048")</f>
        <v/>
      </c>
      <c r="B559" s="2" t="n">
        <v>43241.86570601852</v>
      </c>
      <c r="C559" t="n">
        <v>0</v>
      </c>
      <c r="D559" t="n">
        <v>2</v>
      </c>
      <c r="E559" t="s">
        <v>565</v>
      </c>
      <c r="F559" t="s"/>
      <c r="G559" t="s"/>
      <c r="H559" t="s"/>
      <c r="I559" t="s"/>
      <c r="J559" t="n">
        <v>0.0516</v>
      </c>
      <c r="K559" t="n">
        <v>0.115</v>
      </c>
      <c r="L559" t="n">
        <v>0.729</v>
      </c>
      <c r="M559" t="n">
        <v>0.156</v>
      </c>
    </row>
    <row r="560" spans="1:13">
      <c r="A560" s="1">
        <f>HYPERLINK("http://www.twitter.com/NathanBLawrence/status/998666301026590730", "998666301026590730")</f>
        <v/>
      </c>
      <c r="B560" s="2" t="n">
        <v>43241.86545138889</v>
      </c>
      <c r="C560" t="n">
        <v>0</v>
      </c>
      <c r="D560" t="n">
        <v>0</v>
      </c>
      <c r="E560" t="s">
        <v>566</v>
      </c>
      <c r="F560" t="s"/>
      <c r="G560" t="s"/>
      <c r="H560" t="s"/>
      <c r="I560" t="s"/>
      <c r="J560" t="n">
        <v>0.3612</v>
      </c>
      <c r="K560" t="n">
        <v>0</v>
      </c>
      <c r="L560" t="n">
        <v>0.444</v>
      </c>
      <c r="M560" t="n">
        <v>0.556</v>
      </c>
    </row>
    <row r="561" spans="1:13">
      <c r="A561" s="1">
        <f>HYPERLINK("http://www.twitter.com/NathanBLawrence/status/998666255346405376", "998666255346405376")</f>
        <v/>
      </c>
      <c r="B561" s="2" t="n">
        <v>43241.86532407408</v>
      </c>
      <c r="C561" t="n">
        <v>0</v>
      </c>
      <c r="D561" t="n">
        <v>8</v>
      </c>
      <c r="E561" t="s">
        <v>567</v>
      </c>
      <c r="F561" t="s"/>
      <c r="G561" t="s"/>
      <c r="H561" t="s"/>
      <c r="I561" t="s"/>
      <c r="J561" t="n">
        <v>0</v>
      </c>
      <c r="K561" t="n">
        <v>0</v>
      </c>
      <c r="L561" t="n">
        <v>1</v>
      </c>
      <c r="M561" t="n">
        <v>0</v>
      </c>
    </row>
    <row r="562" spans="1:13">
      <c r="A562" s="1">
        <f>HYPERLINK("http://www.twitter.com/NathanBLawrence/status/998666040107257856", "998666040107257856")</f>
        <v/>
      </c>
      <c r="B562" s="2" t="n">
        <v>43241.86472222222</v>
      </c>
      <c r="C562" t="n">
        <v>3</v>
      </c>
      <c r="D562" t="n">
        <v>2</v>
      </c>
      <c r="E562" t="s">
        <v>568</v>
      </c>
      <c r="F562" t="s"/>
      <c r="G562" t="s"/>
      <c r="H562" t="s"/>
      <c r="I562" t="s"/>
      <c r="J562" t="n">
        <v>0.0516</v>
      </c>
      <c r="K562" t="n">
        <v>0.098</v>
      </c>
      <c r="L562" t="n">
        <v>0.769</v>
      </c>
      <c r="M562" t="n">
        <v>0.133</v>
      </c>
    </row>
    <row r="563" spans="1:13">
      <c r="A563" s="1">
        <f>HYPERLINK("http://www.twitter.com/NathanBLawrence/status/998663595587186689", "998663595587186689")</f>
        <v/>
      </c>
      <c r="B563" s="2" t="n">
        <v>43241.85798611111</v>
      </c>
      <c r="C563" t="n">
        <v>2</v>
      </c>
      <c r="D563" t="n">
        <v>2</v>
      </c>
      <c r="E563" t="s">
        <v>569</v>
      </c>
      <c r="F563" t="s"/>
      <c r="G563" t="s"/>
      <c r="H563" t="s"/>
      <c r="I563" t="s"/>
      <c r="J563" t="n">
        <v>0</v>
      </c>
      <c r="K563" t="n">
        <v>0</v>
      </c>
      <c r="L563" t="n">
        <v>1</v>
      </c>
      <c r="M563" t="n">
        <v>0</v>
      </c>
    </row>
    <row r="564" spans="1:13">
      <c r="A564" s="1">
        <f>HYPERLINK("http://www.twitter.com/NathanBLawrence/status/998663529694720000", "998663529694720000")</f>
        <v/>
      </c>
      <c r="B564" s="2" t="n">
        <v>43241.85780092593</v>
      </c>
      <c r="C564" t="n">
        <v>3</v>
      </c>
      <c r="D564" t="n">
        <v>1</v>
      </c>
      <c r="E564" t="s">
        <v>570</v>
      </c>
      <c r="F564" t="s"/>
      <c r="G564" t="s"/>
      <c r="H564" t="s"/>
      <c r="I564" t="s"/>
      <c r="J564" t="n">
        <v>0.743</v>
      </c>
      <c r="K564" t="n">
        <v>0</v>
      </c>
      <c r="L564" t="n">
        <v>0.835</v>
      </c>
      <c r="M564" t="n">
        <v>0.165</v>
      </c>
    </row>
    <row r="565" spans="1:13">
      <c r="A565" s="1">
        <f>HYPERLINK("http://www.twitter.com/NathanBLawrence/status/998661294541729792", "998661294541729792")</f>
        <v/>
      </c>
      <c r="B565" s="2" t="n">
        <v>43241.85163194445</v>
      </c>
      <c r="C565" t="n">
        <v>8</v>
      </c>
      <c r="D565" t="n">
        <v>8</v>
      </c>
      <c r="E565" t="s">
        <v>571</v>
      </c>
      <c r="F565" t="s"/>
      <c r="G565" t="s"/>
      <c r="H565" t="s"/>
      <c r="I565" t="s"/>
      <c r="J565" t="n">
        <v>-0.7096</v>
      </c>
      <c r="K565" t="n">
        <v>0.123</v>
      </c>
      <c r="L565" t="n">
        <v>0.877</v>
      </c>
      <c r="M565" t="n">
        <v>0</v>
      </c>
    </row>
    <row r="566" spans="1:13">
      <c r="A566" s="1">
        <f>HYPERLINK("http://www.twitter.com/NathanBLawrence/status/998660934531977216", "998660934531977216")</f>
        <v/>
      </c>
      <c r="B566" s="2" t="n">
        <v>43241.85063657408</v>
      </c>
      <c r="C566" t="n">
        <v>3</v>
      </c>
      <c r="D566" t="n">
        <v>2</v>
      </c>
      <c r="E566" t="s">
        <v>572</v>
      </c>
      <c r="F566" t="s"/>
      <c r="G566" t="s"/>
      <c r="H566" t="s"/>
      <c r="I566" t="s"/>
      <c r="J566" t="n">
        <v>0</v>
      </c>
      <c r="K566" t="n">
        <v>0</v>
      </c>
      <c r="L566" t="n">
        <v>1</v>
      </c>
      <c r="M566" t="n">
        <v>0</v>
      </c>
    </row>
    <row r="567" spans="1:13">
      <c r="A567" s="1">
        <f>HYPERLINK("http://www.twitter.com/NathanBLawrence/status/998660440778510337", "998660440778510337")</f>
        <v/>
      </c>
      <c r="B567" s="2" t="n">
        <v>43241.84927083334</v>
      </c>
      <c r="C567" t="n">
        <v>3</v>
      </c>
      <c r="D567" t="n">
        <v>2</v>
      </c>
      <c r="E567" t="s">
        <v>573</v>
      </c>
      <c r="F567" t="s"/>
      <c r="G567" t="s"/>
      <c r="H567" t="s"/>
      <c r="I567" t="s"/>
      <c r="J567" t="n">
        <v>0.7579</v>
      </c>
      <c r="K567" t="n">
        <v>0</v>
      </c>
      <c r="L567" t="n">
        <v>0.806</v>
      </c>
      <c r="M567" t="n">
        <v>0.194</v>
      </c>
    </row>
    <row r="568" spans="1:13">
      <c r="A568" s="1">
        <f>HYPERLINK("http://www.twitter.com/NathanBLawrence/status/998658645838778374", "998658645838778374")</f>
        <v/>
      </c>
      <c r="B568" s="2" t="n">
        <v>43241.8443287037</v>
      </c>
      <c r="C568" t="n">
        <v>14</v>
      </c>
      <c r="D568" t="n">
        <v>11</v>
      </c>
      <c r="E568" t="s">
        <v>574</v>
      </c>
      <c r="F568" t="s"/>
      <c r="G568" t="s"/>
      <c r="H568" t="s"/>
      <c r="I568" t="s"/>
      <c r="J568" t="n">
        <v>-0.8356</v>
      </c>
      <c r="K568" t="n">
        <v>0.232</v>
      </c>
      <c r="L568" t="n">
        <v>0.7</v>
      </c>
      <c r="M568" t="n">
        <v>0.068</v>
      </c>
    </row>
    <row r="569" spans="1:13">
      <c r="A569" s="1">
        <f>HYPERLINK("http://www.twitter.com/NathanBLawrence/status/998635057333096448", "998635057333096448")</f>
        <v/>
      </c>
      <c r="B569" s="2" t="n">
        <v>43241.77923611111</v>
      </c>
      <c r="C569" t="n">
        <v>0</v>
      </c>
      <c r="D569" t="n">
        <v>5</v>
      </c>
      <c r="E569" t="s">
        <v>575</v>
      </c>
      <c r="F569" t="s"/>
      <c r="G569" t="s"/>
      <c r="H569" t="s"/>
      <c r="I569" t="s"/>
      <c r="J569" t="n">
        <v>0.4588</v>
      </c>
      <c r="K569" t="n">
        <v>0</v>
      </c>
      <c r="L569" t="n">
        <v>0.885</v>
      </c>
      <c r="M569" t="n">
        <v>0.115</v>
      </c>
    </row>
    <row r="570" spans="1:13">
      <c r="A570" s="1">
        <f>HYPERLINK("http://www.twitter.com/NathanBLawrence/status/998615404741320704", "998615404741320704")</f>
        <v/>
      </c>
      <c r="B570" s="2" t="n">
        <v>43241.725</v>
      </c>
      <c r="C570" t="n">
        <v>0</v>
      </c>
      <c r="D570" t="n">
        <v>10</v>
      </c>
      <c r="E570" t="s">
        <v>576</v>
      </c>
      <c r="F570" t="s"/>
      <c r="G570" t="s"/>
      <c r="H570" t="s"/>
      <c r="I570" t="s"/>
      <c r="J570" t="n">
        <v>0</v>
      </c>
      <c r="K570" t="n">
        <v>0</v>
      </c>
      <c r="L570" t="n">
        <v>1</v>
      </c>
      <c r="M570" t="n">
        <v>0</v>
      </c>
    </row>
    <row r="571" spans="1:13">
      <c r="A571" s="1">
        <f>HYPERLINK("http://www.twitter.com/NathanBLawrence/status/998615358247460864", "998615358247460864")</f>
        <v/>
      </c>
      <c r="B571" s="2" t="n">
        <v>43241.72487268518</v>
      </c>
      <c r="C571" t="n">
        <v>0</v>
      </c>
      <c r="D571" t="n">
        <v>5</v>
      </c>
      <c r="E571" t="s">
        <v>577</v>
      </c>
      <c r="F571" t="s"/>
      <c r="G571" t="s"/>
      <c r="H571" t="s"/>
      <c r="I571" t="s"/>
      <c r="J571" t="n">
        <v>0</v>
      </c>
      <c r="K571" t="n">
        <v>0</v>
      </c>
      <c r="L571" t="n">
        <v>1</v>
      </c>
      <c r="M571" t="n">
        <v>0</v>
      </c>
    </row>
    <row r="572" spans="1:13">
      <c r="A572" s="1">
        <f>HYPERLINK("http://www.twitter.com/NathanBLawrence/status/998606836566720513", "998606836566720513")</f>
        <v/>
      </c>
      <c r="B572" s="2" t="n">
        <v>43241.70135416667</v>
      </c>
      <c r="C572" t="n">
        <v>8</v>
      </c>
      <c r="D572" t="n">
        <v>5</v>
      </c>
      <c r="E572" t="s">
        <v>578</v>
      </c>
      <c r="F572" t="s"/>
      <c r="G572" t="s"/>
      <c r="H572" t="s"/>
      <c r="I572" t="s"/>
      <c r="J572" t="n">
        <v>0.4588</v>
      </c>
      <c r="K572" t="n">
        <v>0</v>
      </c>
      <c r="L572" t="n">
        <v>0.927</v>
      </c>
      <c r="M572" t="n">
        <v>0.073</v>
      </c>
    </row>
    <row r="573" spans="1:13">
      <c r="A573" s="1">
        <f>HYPERLINK("http://www.twitter.com/NathanBLawrence/status/998606272776859648", "998606272776859648")</f>
        <v/>
      </c>
      <c r="B573" s="2" t="n">
        <v>43241.69980324074</v>
      </c>
      <c r="C573" t="n">
        <v>7</v>
      </c>
      <c r="D573" t="n">
        <v>5</v>
      </c>
      <c r="E573" t="s">
        <v>579</v>
      </c>
      <c r="F573" t="s"/>
      <c r="G573" t="s"/>
      <c r="H573" t="s"/>
      <c r="I573" t="s"/>
      <c r="J573" t="n">
        <v>0</v>
      </c>
      <c r="K573" t="n">
        <v>0</v>
      </c>
      <c r="L573" t="n">
        <v>1</v>
      </c>
      <c r="M573" t="n">
        <v>0</v>
      </c>
    </row>
    <row r="574" spans="1:13">
      <c r="A574" s="1">
        <f>HYPERLINK("http://www.twitter.com/NathanBLawrence/status/998592851331207169", "998592851331207169")</f>
        <v/>
      </c>
      <c r="B574" s="2" t="n">
        <v>43241.66276620371</v>
      </c>
      <c r="C574" t="n">
        <v>0</v>
      </c>
      <c r="D574" t="n">
        <v>7</v>
      </c>
      <c r="E574" t="s">
        <v>580</v>
      </c>
      <c r="F574" t="s"/>
      <c r="G574" t="s"/>
      <c r="H574" t="s"/>
      <c r="I574" t="s"/>
      <c r="J574" t="n">
        <v>0.6705</v>
      </c>
      <c r="K574" t="n">
        <v>0</v>
      </c>
      <c r="L574" t="n">
        <v>0.732</v>
      </c>
      <c r="M574" t="n">
        <v>0.268</v>
      </c>
    </row>
    <row r="575" spans="1:13">
      <c r="A575" s="1">
        <f>HYPERLINK("http://www.twitter.com/NathanBLawrence/status/998592107106521089", "998592107106521089")</f>
        <v/>
      </c>
      <c r="B575" s="2" t="n">
        <v>43241.66070601852</v>
      </c>
      <c r="C575" t="n">
        <v>10</v>
      </c>
      <c r="D575" t="n">
        <v>7</v>
      </c>
      <c r="E575" t="s">
        <v>581</v>
      </c>
      <c r="F575" t="s"/>
      <c r="G575" t="s"/>
      <c r="H575" t="s"/>
      <c r="I575" t="s"/>
      <c r="J575" t="n">
        <v>0.4019</v>
      </c>
      <c r="K575" t="n">
        <v>0.068</v>
      </c>
      <c r="L575" t="n">
        <v>0.799</v>
      </c>
      <c r="M575" t="n">
        <v>0.133</v>
      </c>
    </row>
    <row r="576" spans="1:13">
      <c r="A576" s="1">
        <f>HYPERLINK("http://www.twitter.com/NathanBLawrence/status/998591791086653445", "998591791086653445")</f>
        <v/>
      </c>
      <c r="B576" s="2" t="n">
        <v>43241.65983796296</v>
      </c>
      <c r="C576" t="n">
        <v>0</v>
      </c>
      <c r="D576" t="n">
        <v>16</v>
      </c>
      <c r="E576" t="s">
        <v>582</v>
      </c>
      <c r="F576">
        <f>HYPERLINK("http://pbs.twimg.com/media/DdpzWo8VMAAcJx7.jpg", "http://pbs.twimg.com/media/DdpzWo8VMAAcJx7.jpg")</f>
        <v/>
      </c>
      <c r="G576" t="s"/>
      <c r="H576" t="s"/>
      <c r="I576" t="s"/>
      <c r="J576" t="n">
        <v>0.34</v>
      </c>
      <c r="K576" t="n">
        <v>0</v>
      </c>
      <c r="L576" t="n">
        <v>0.888</v>
      </c>
      <c r="M576" t="n">
        <v>0.112</v>
      </c>
    </row>
    <row r="577" spans="1:13">
      <c r="A577" s="1">
        <f>HYPERLINK("http://www.twitter.com/NathanBLawrence/status/998591692029734912", "998591692029734912")</f>
        <v/>
      </c>
      <c r="B577" s="2" t="n">
        <v>43241.65956018519</v>
      </c>
      <c r="C577" t="n">
        <v>0</v>
      </c>
      <c r="D577" t="n">
        <v>207</v>
      </c>
      <c r="E577" t="s">
        <v>583</v>
      </c>
      <c r="F577" t="s"/>
      <c r="G577" t="s"/>
      <c r="H577" t="s"/>
      <c r="I577" t="s"/>
      <c r="J577" t="n">
        <v>0</v>
      </c>
      <c r="K577" t="n">
        <v>0</v>
      </c>
      <c r="L577" t="n">
        <v>1</v>
      </c>
      <c r="M577" t="n">
        <v>0</v>
      </c>
    </row>
    <row r="578" spans="1:13">
      <c r="A578" s="1">
        <f>HYPERLINK("http://www.twitter.com/NathanBLawrence/status/998585648717189120", "998585648717189120")</f>
        <v/>
      </c>
      <c r="B578" s="2" t="n">
        <v>43241.64289351852</v>
      </c>
      <c r="C578" t="n">
        <v>0</v>
      </c>
      <c r="D578" t="n">
        <v>6</v>
      </c>
      <c r="E578" t="s">
        <v>584</v>
      </c>
      <c r="F578" t="s"/>
      <c r="G578" t="s"/>
      <c r="H578" t="s"/>
      <c r="I578" t="s"/>
      <c r="J578" t="n">
        <v>0</v>
      </c>
      <c r="K578" t="n">
        <v>0</v>
      </c>
      <c r="L578" t="n">
        <v>1</v>
      </c>
      <c r="M578" t="n">
        <v>0</v>
      </c>
    </row>
    <row r="579" spans="1:13">
      <c r="A579" s="1">
        <f>HYPERLINK("http://www.twitter.com/NathanBLawrence/status/998585590810542080", "998585590810542080")</f>
        <v/>
      </c>
      <c r="B579" s="2" t="n">
        <v>43241.64273148148</v>
      </c>
      <c r="C579" t="n">
        <v>0</v>
      </c>
      <c r="D579" t="n">
        <v>11</v>
      </c>
      <c r="E579" t="s">
        <v>585</v>
      </c>
      <c r="F579" t="s"/>
      <c r="G579" t="s"/>
      <c r="H579" t="s"/>
      <c r="I579" t="s"/>
      <c r="J579" t="n">
        <v>0.4939</v>
      </c>
      <c r="K579" t="n">
        <v>0</v>
      </c>
      <c r="L579" t="n">
        <v>0.856</v>
      </c>
      <c r="M579" t="n">
        <v>0.144</v>
      </c>
    </row>
    <row r="580" spans="1:13">
      <c r="A580" s="1">
        <f>HYPERLINK("http://www.twitter.com/NathanBLawrence/status/998585247481647105", "998585247481647105")</f>
        <v/>
      </c>
      <c r="B580" s="2" t="n">
        <v>43241.64178240741</v>
      </c>
      <c r="C580" t="n">
        <v>0</v>
      </c>
      <c r="D580" t="n">
        <v>1558</v>
      </c>
      <c r="E580" t="s">
        <v>586</v>
      </c>
      <c r="F580" t="s"/>
      <c r="G580" t="s"/>
      <c r="H580" t="s"/>
      <c r="I580" t="s"/>
      <c r="J580" t="n">
        <v>0.4278</v>
      </c>
      <c r="K580" t="n">
        <v>0</v>
      </c>
      <c r="L580" t="n">
        <v>0.89</v>
      </c>
      <c r="M580" t="n">
        <v>0.11</v>
      </c>
    </row>
    <row r="581" spans="1:13">
      <c r="A581" s="1">
        <f>HYPERLINK("http://www.twitter.com/NathanBLawrence/status/998584463104856064", "998584463104856064")</f>
        <v/>
      </c>
      <c r="B581" s="2" t="n">
        <v>43241.63961805555</v>
      </c>
      <c r="C581" t="n">
        <v>0</v>
      </c>
      <c r="D581" t="n">
        <v>3567</v>
      </c>
      <c r="E581" t="s">
        <v>587</v>
      </c>
      <c r="F581" t="s"/>
      <c r="G581" t="s"/>
      <c r="H581" t="s"/>
      <c r="I581" t="s"/>
      <c r="J581" t="n">
        <v>0.5719</v>
      </c>
      <c r="K581" t="n">
        <v>0.098</v>
      </c>
      <c r="L581" t="n">
        <v>0.678</v>
      </c>
      <c r="M581" t="n">
        <v>0.224</v>
      </c>
    </row>
    <row r="582" spans="1:13">
      <c r="A582" s="1">
        <f>HYPERLINK("http://www.twitter.com/NathanBLawrence/status/998584438870216704", "998584438870216704")</f>
        <v/>
      </c>
      <c r="B582" s="2" t="n">
        <v>43241.63954861111</v>
      </c>
      <c r="C582" t="n">
        <v>0</v>
      </c>
      <c r="D582" t="n">
        <v>6453</v>
      </c>
      <c r="E582" t="s">
        <v>588</v>
      </c>
      <c r="F582" t="s"/>
      <c r="G582" t="s"/>
      <c r="H582" t="s"/>
      <c r="I582" t="s"/>
      <c r="J582" t="n">
        <v>-0.6697</v>
      </c>
      <c r="K582" t="n">
        <v>0.215</v>
      </c>
      <c r="L582" t="n">
        <v>0.785</v>
      </c>
      <c r="M582" t="n">
        <v>0</v>
      </c>
    </row>
    <row r="583" spans="1:13">
      <c r="A583" s="1">
        <f>HYPERLINK("http://www.twitter.com/NathanBLawrence/status/998584408742514689", "998584408742514689")</f>
        <v/>
      </c>
      <c r="B583" s="2" t="n">
        <v>43241.63946759259</v>
      </c>
      <c r="C583" t="n">
        <v>0</v>
      </c>
      <c r="D583" t="n">
        <v>5512</v>
      </c>
      <c r="E583" t="s">
        <v>589</v>
      </c>
      <c r="F583" t="s"/>
      <c r="G583" t="s"/>
      <c r="H583" t="s"/>
      <c r="I583" t="s"/>
      <c r="J583" t="n">
        <v>-0.4767</v>
      </c>
      <c r="K583" t="n">
        <v>0.129</v>
      </c>
      <c r="L583" t="n">
        <v>0.871</v>
      </c>
      <c r="M583" t="n">
        <v>0</v>
      </c>
    </row>
    <row r="584" spans="1:13">
      <c r="A584" s="1">
        <f>HYPERLINK("http://www.twitter.com/NathanBLawrence/status/998584390442766336", "998584390442766336")</f>
        <v/>
      </c>
      <c r="B584" s="2" t="n">
        <v>43241.6394212963</v>
      </c>
      <c r="C584" t="n">
        <v>0</v>
      </c>
      <c r="D584" t="n">
        <v>5923</v>
      </c>
      <c r="E584" t="s">
        <v>590</v>
      </c>
      <c r="F584" t="s"/>
      <c r="G584" t="s"/>
      <c r="H584" t="s"/>
      <c r="I584" t="s"/>
      <c r="J584" t="n">
        <v>-0.5423</v>
      </c>
      <c r="K584" t="n">
        <v>0.176</v>
      </c>
      <c r="L584" t="n">
        <v>0.824</v>
      </c>
      <c r="M584" t="n">
        <v>0</v>
      </c>
    </row>
    <row r="585" spans="1:13">
      <c r="A585" s="1">
        <f>HYPERLINK("http://www.twitter.com/NathanBLawrence/status/998584302265872390", "998584302265872390")</f>
        <v/>
      </c>
      <c r="B585" s="2" t="n">
        <v>43241.63917824074</v>
      </c>
      <c r="C585" t="n">
        <v>0</v>
      </c>
      <c r="D585" t="n">
        <v>33</v>
      </c>
      <c r="E585" t="s">
        <v>591</v>
      </c>
      <c r="F585" t="s"/>
      <c r="G585" t="s"/>
      <c r="H585" t="s"/>
      <c r="I585" t="s"/>
      <c r="J585" t="n">
        <v>0.6588000000000001</v>
      </c>
      <c r="K585" t="n">
        <v>0</v>
      </c>
      <c r="L585" t="n">
        <v>0.646</v>
      </c>
      <c r="M585" t="n">
        <v>0.354</v>
      </c>
    </row>
    <row r="586" spans="1:13">
      <c r="A586" s="1">
        <f>HYPERLINK("http://www.twitter.com/NathanBLawrence/status/998584252122959872", "998584252122959872")</f>
        <v/>
      </c>
      <c r="B586" s="2" t="n">
        <v>43241.63903935185</v>
      </c>
      <c r="C586" t="n">
        <v>0</v>
      </c>
      <c r="D586" t="n">
        <v>155</v>
      </c>
      <c r="E586" t="s">
        <v>592</v>
      </c>
      <c r="F586" t="s"/>
      <c r="G586" t="s"/>
      <c r="H586" t="s"/>
      <c r="I586" t="s"/>
      <c r="J586" t="n">
        <v>-0.5574</v>
      </c>
      <c r="K586" t="n">
        <v>0.126</v>
      </c>
      <c r="L586" t="n">
        <v>0.874</v>
      </c>
      <c r="M586" t="n">
        <v>0</v>
      </c>
    </row>
    <row r="587" spans="1:13">
      <c r="A587" s="1">
        <f>HYPERLINK("http://www.twitter.com/NathanBLawrence/status/998584224788701185", "998584224788701185")</f>
        <v/>
      </c>
      <c r="B587" s="2" t="n">
        <v>43241.63895833334</v>
      </c>
      <c r="C587" t="n">
        <v>0</v>
      </c>
      <c r="D587" t="n">
        <v>33643</v>
      </c>
      <c r="E587" t="s">
        <v>593</v>
      </c>
      <c r="F587" t="s"/>
      <c r="G587" t="s"/>
      <c r="H587" t="s"/>
      <c r="I587" t="s"/>
      <c r="J587" t="n">
        <v>-0.8979</v>
      </c>
      <c r="K587" t="n">
        <v>0.412</v>
      </c>
      <c r="L587" t="n">
        <v>0.588</v>
      </c>
      <c r="M587" t="n">
        <v>0</v>
      </c>
    </row>
    <row r="588" spans="1:13">
      <c r="A588" s="1">
        <f>HYPERLINK("http://www.twitter.com/NathanBLawrence/status/998584114918969344", "998584114918969344")</f>
        <v/>
      </c>
      <c r="B588" s="2" t="n">
        <v>43241.63865740741</v>
      </c>
      <c r="C588" t="n">
        <v>0</v>
      </c>
      <c r="D588" t="n">
        <v>4</v>
      </c>
      <c r="E588" t="s">
        <v>594</v>
      </c>
      <c r="F588" t="s"/>
      <c r="G588" t="s"/>
      <c r="H588" t="s"/>
      <c r="I588" t="s"/>
      <c r="J588" t="n">
        <v>0</v>
      </c>
      <c r="K588" t="n">
        <v>0</v>
      </c>
      <c r="L588" t="n">
        <v>1</v>
      </c>
      <c r="M588" t="n">
        <v>0</v>
      </c>
    </row>
    <row r="589" spans="1:13">
      <c r="A589" s="1">
        <f>HYPERLINK("http://www.twitter.com/NathanBLawrence/status/998584030579871744", "998584030579871744")</f>
        <v/>
      </c>
      <c r="B589" s="2" t="n">
        <v>43241.63842592593</v>
      </c>
      <c r="C589" t="n">
        <v>0</v>
      </c>
      <c r="D589" t="n">
        <v>17</v>
      </c>
      <c r="E589" t="s">
        <v>595</v>
      </c>
      <c r="F589">
        <f>HYPERLINK("http://pbs.twimg.com/media/DdurkRqU0AASyPs.jpg", "http://pbs.twimg.com/media/DdurkRqU0AASyPs.jpg")</f>
        <v/>
      </c>
      <c r="G589" t="s"/>
      <c r="H589" t="s"/>
      <c r="I589" t="s"/>
      <c r="J589" t="n">
        <v>-0.4696</v>
      </c>
      <c r="K589" t="n">
        <v>0.127</v>
      </c>
      <c r="L589" t="n">
        <v>0.873</v>
      </c>
      <c r="M589" t="n">
        <v>0</v>
      </c>
    </row>
    <row r="590" spans="1:13">
      <c r="A590" s="1">
        <f>HYPERLINK("http://www.twitter.com/NathanBLawrence/status/998418811190685697", "998418811190685697")</f>
        <v/>
      </c>
      <c r="B590" s="2" t="n">
        <v>43241.1825</v>
      </c>
      <c r="C590" t="n">
        <v>0</v>
      </c>
      <c r="D590" t="n">
        <v>8</v>
      </c>
      <c r="E590" t="s">
        <v>596</v>
      </c>
      <c r="F590" t="s"/>
      <c r="G590" t="s"/>
      <c r="H590" t="s"/>
      <c r="I590" t="s"/>
      <c r="J590" t="n">
        <v>0.4215</v>
      </c>
      <c r="K590" t="n">
        <v>0</v>
      </c>
      <c r="L590" t="n">
        <v>0.896</v>
      </c>
      <c r="M590" t="n">
        <v>0.104</v>
      </c>
    </row>
    <row r="591" spans="1:13">
      <c r="A591" s="1">
        <f>HYPERLINK("http://www.twitter.com/NathanBLawrence/status/998417550764642304", "998417550764642304")</f>
        <v/>
      </c>
      <c r="B591" s="2" t="n">
        <v>43241.17902777778</v>
      </c>
      <c r="C591" t="n">
        <v>0</v>
      </c>
      <c r="D591" t="n">
        <v>6</v>
      </c>
      <c r="E591" t="s">
        <v>597</v>
      </c>
      <c r="F591" t="s"/>
      <c r="G591" t="s"/>
      <c r="H591" t="s"/>
      <c r="I591" t="s"/>
      <c r="J591" t="n">
        <v>0.4545</v>
      </c>
      <c r="K591" t="n">
        <v>0.075</v>
      </c>
      <c r="L591" t="n">
        <v>0.783</v>
      </c>
      <c r="M591" t="n">
        <v>0.142</v>
      </c>
    </row>
    <row r="592" spans="1:13">
      <c r="A592" s="1">
        <f>HYPERLINK("http://www.twitter.com/NathanBLawrence/status/998415657292222464", "998415657292222464")</f>
        <v/>
      </c>
      <c r="B592" s="2" t="n">
        <v>43241.17380787037</v>
      </c>
      <c r="C592" t="n">
        <v>0</v>
      </c>
      <c r="D592" t="n">
        <v>3766</v>
      </c>
      <c r="E592" t="s">
        <v>598</v>
      </c>
      <c r="F592" t="s"/>
      <c r="G592" t="s"/>
      <c r="H592" t="s"/>
      <c r="I592" t="s"/>
      <c r="J592" t="n">
        <v>0.4404</v>
      </c>
      <c r="K592" t="n">
        <v>0</v>
      </c>
      <c r="L592" t="n">
        <v>0.888</v>
      </c>
      <c r="M592" t="n">
        <v>0.112</v>
      </c>
    </row>
    <row r="593" spans="1:13">
      <c r="A593" s="1">
        <f>HYPERLINK("http://www.twitter.com/NathanBLawrence/status/998408033473572871", "998408033473572871")</f>
        <v/>
      </c>
      <c r="B593" s="2" t="n">
        <v>43241.1527662037</v>
      </c>
      <c r="C593" t="n">
        <v>11</v>
      </c>
      <c r="D593" t="n">
        <v>8</v>
      </c>
      <c r="E593" t="s">
        <v>599</v>
      </c>
      <c r="F593" t="s"/>
      <c r="G593" t="s"/>
      <c r="H593" t="s"/>
      <c r="I593" t="s"/>
      <c r="J593" t="n">
        <v>0.4753</v>
      </c>
      <c r="K593" t="n">
        <v>0</v>
      </c>
      <c r="L593" t="n">
        <v>0.9370000000000001</v>
      </c>
      <c r="M593" t="n">
        <v>0.063</v>
      </c>
    </row>
    <row r="594" spans="1:13">
      <c r="A594" s="1">
        <f>HYPERLINK("http://www.twitter.com/NathanBLawrence/status/998389534399303680", "998389534399303680")</f>
        <v/>
      </c>
      <c r="B594" s="2" t="n">
        <v>43241.10171296296</v>
      </c>
      <c r="C594" t="n">
        <v>0</v>
      </c>
      <c r="D594" t="n">
        <v>4</v>
      </c>
      <c r="E594" t="s">
        <v>600</v>
      </c>
      <c r="F594" t="s"/>
      <c r="G594" t="s"/>
      <c r="H594" t="s"/>
      <c r="I594" t="s"/>
      <c r="J594" t="n">
        <v>0</v>
      </c>
      <c r="K594" t="n">
        <v>0</v>
      </c>
      <c r="L594" t="n">
        <v>1</v>
      </c>
      <c r="M594" t="n">
        <v>0</v>
      </c>
    </row>
    <row r="595" spans="1:13">
      <c r="A595" s="1">
        <f>HYPERLINK("http://www.twitter.com/NathanBLawrence/status/998389394653540352", "998389394653540352")</f>
        <v/>
      </c>
      <c r="B595" s="2" t="n">
        <v>43241.10133101852</v>
      </c>
      <c r="C595" t="n">
        <v>0</v>
      </c>
      <c r="D595" t="n">
        <v>9</v>
      </c>
      <c r="E595" t="s">
        <v>601</v>
      </c>
      <c r="F595">
        <f>HYPERLINK("http://pbs.twimg.com/media/DdrOZbDUwAIs4yI.jpg", "http://pbs.twimg.com/media/DdrOZbDUwAIs4yI.jpg")</f>
        <v/>
      </c>
      <c r="G595" t="s"/>
      <c r="H595" t="s"/>
      <c r="I595" t="s"/>
      <c r="J595" t="n">
        <v>-0.4767</v>
      </c>
      <c r="K595" t="n">
        <v>0.163</v>
      </c>
      <c r="L595" t="n">
        <v>0.837</v>
      </c>
      <c r="M595" t="n">
        <v>0</v>
      </c>
    </row>
    <row r="596" spans="1:13">
      <c r="A596" s="1">
        <f>HYPERLINK("http://www.twitter.com/NathanBLawrence/status/998389208199974912", "998389208199974912")</f>
        <v/>
      </c>
      <c r="B596" s="2" t="n">
        <v>43241.10082175926</v>
      </c>
      <c r="C596" t="n">
        <v>0</v>
      </c>
      <c r="D596" t="n">
        <v>8</v>
      </c>
      <c r="E596" t="s">
        <v>602</v>
      </c>
      <c r="F596" t="s"/>
      <c r="G596" t="s"/>
      <c r="H596" t="s"/>
      <c r="I596" t="s"/>
      <c r="J596" t="n">
        <v>0</v>
      </c>
      <c r="K596" t="n">
        <v>0</v>
      </c>
      <c r="L596" t="n">
        <v>1</v>
      </c>
      <c r="M596" t="n">
        <v>0</v>
      </c>
    </row>
    <row r="597" spans="1:13">
      <c r="A597" s="1">
        <f>HYPERLINK("http://www.twitter.com/NathanBLawrence/status/998388926502064128", "998388926502064128")</f>
        <v/>
      </c>
      <c r="B597" s="2" t="n">
        <v>43241.10003472222</v>
      </c>
      <c r="C597" t="n">
        <v>0</v>
      </c>
      <c r="D597" t="n">
        <v>14</v>
      </c>
      <c r="E597" t="s">
        <v>603</v>
      </c>
      <c r="F597">
        <f>HYPERLINK("http://pbs.twimg.com/media/DdiLNLrVwAA7uNN.jpg", "http://pbs.twimg.com/media/DdiLNLrVwAA7uNN.jpg")</f>
        <v/>
      </c>
      <c r="G597" t="s"/>
      <c r="H597" t="s"/>
      <c r="I597" t="s"/>
      <c r="J597" t="n">
        <v>-0.3382</v>
      </c>
      <c r="K597" t="n">
        <v>0.098</v>
      </c>
      <c r="L597" t="n">
        <v>0.902</v>
      </c>
      <c r="M597" t="n">
        <v>0</v>
      </c>
    </row>
    <row r="598" spans="1:13">
      <c r="A598" s="1">
        <f>HYPERLINK("http://www.twitter.com/NathanBLawrence/status/998364182285307905", "998364182285307905")</f>
        <v/>
      </c>
      <c r="B598" s="2" t="n">
        <v>43241.03175925926</v>
      </c>
      <c r="C598" t="n">
        <v>0</v>
      </c>
      <c r="D598" t="n">
        <v>0</v>
      </c>
      <c r="E598" t="s">
        <v>604</v>
      </c>
      <c r="F598" t="s"/>
      <c r="G598" t="s"/>
      <c r="H598" t="s"/>
      <c r="I598" t="s"/>
      <c r="J598" t="n">
        <v>-0.4588</v>
      </c>
      <c r="K598" t="n">
        <v>0.143</v>
      </c>
      <c r="L598" t="n">
        <v>0.761</v>
      </c>
      <c r="M598" t="n">
        <v>0.096</v>
      </c>
    </row>
    <row r="599" spans="1:13">
      <c r="A599" s="1">
        <f>HYPERLINK("http://www.twitter.com/NathanBLawrence/status/998315597992747009", "998315597992747009")</f>
        <v/>
      </c>
      <c r="B599" s="2" t="n">
        <v>43240.89769675926</v>
      </c>
      <c r="C599" t="n">
        <v>0</v>
      </c>
      <c r="D599" t="n">
        <v>0</v>
      </c>
      <c r="E599" t="s">
        <v>605</v>
      </c>
      <c r="F599" t="s"/>
      <c r="G599" t="s"/>
      <c r="H599" t="s"/>
      <c r="I599" t="s"/>
      <c r="J599" t="n">
        <v>0.2023</v>
      </c>
      <c r="K599" t="n">
        <v>0</v>
      </c>
      <c r="L599" t="n">
        <v>0.769</v>
      </c>
      <c r="M599" t="n">
        <v>0.231</v>
      </c>
    </row>
    <row r="600" spans="1:13">
      <c r="A600" s="1">
        <f>HYPERLINK("http://www.twitter.com/NathanBLawrence/status/998313567781826566", "998313567781826566")</f>
        <v/>
      </c>
      <c r="B600" s="2" t="n">
        <v>43240.89208333333</v>
      </c>
      <c r="C600" t="n">
        <v>0</v>
      </c>
      <c r="D600" t="n">
        <v>13</v>
      </c>
      <c r="E600" t="s">
        <v>606</v>
      </c>
      <c r="F600" t="s"/>
      <c r="G600" t="s"/>
      <c r="H600" t="s"/>
      <c r="I600" t="s"/>
      <c r="J600" t="n">
        <v>0.2023</v>
      </c>
      <c r="K600" t="n">
        <v>0.08799999999999999</v>
      </c>
      <c r="L600" t="n">
        <v>0.787</v>
      </c>
      <c r="M600" t="n">
        <v>0.125</v>
      </c>
    </row>
    <row r="601" spans="1:13">
      <c r="A601" s="1">
        <f>HYPERLINK("http://www.twitter.com/NathanBLawrence/status/998313484512358405", "998313484512358405")</f>
        <v/>
      </c>
      <c r="B601" s="2" t="n">
        <v>43240.89186342592</v>
      </c>
      <c r="C601" t="n">
        <v>0</v>
      </c>
      <c r="D601" t="n">
        <v>3</v>
      </c>
      <c r="E601" t="s">
        <v>607</v>
      </c>
      <c r="F601" t="s"/>
      <c r="G601" t="s"/>
      <c r="H601" t="s"/>
      <c r="I601" t="s"/>
      <c r="J601" t="n">
        <v>0.7297</v>
      </c>
      <c r="K601" t="n">
        <v>0</v>
      </c>
      <c r="L601" t="n">
        <v>0.746</v>
      </c>
      <c r="M601" t="n">
        <v>0.254</v>
      </c>
    </row>
    <row r="602" spans="1:13">
      <c r="A602" s="1">
        <f>HYPERLINK("http://www.twitter.com/NathanBLawrence/status/998313425800441856", "998313425800441856")</f>
        <v/>
      </c>
      <c r="B602" s="2" t="n">
        <v>43240.89170138889</v>
      </c>
      <c r="C602" t="n">
        <v>0</v>
      </c>
      <c r="D602" t="n">
        <v>7</v>
      </c>
      <c r="E602" t="s">
        <v>608</v>
      </c>
      <c r="F602">
        <f>HYPERLINK("http://pbs.twimg.com/media/Ddqyxh2V4AAzjcT.jpg", "http://pbs.twimg.com/media/Ddqyxh2V4AAzjcT.jpg")</f>
        <v/>
      </c>
      <c r="G602">
        <f>HYPERLINK("http://pbs.twimg.com/media/Ddqyxh1UwAEEIHu.jpg", "http://pbs.twimg.com/media/Ddqyxh1UwAEEIHu.jpg")</f>
        <v/>
      </c>
      <c r="H602">
        <f>HYPERLINK("http://pbs.twimg.com/media/Ddqyxh0UQAEnGWI.jpg", "http://pbs.twimg.com/media/Ddqyxh0UQAEnGWI.jpg")</f>
        <v/>
      </c>
      <c r="I602">
        <f>HYPERLINK("http://pbs.twimg.com/media/DdqyxhyU8AE0DlJ.jpg", "http://pbs.twimg.com/media/DdqyxhyU8AE0DlJ.jpg")</f>
        <v/>
      </c>
      <c r="J602" t="n">
        <v>-0.6476</v>
      </c>
      <c r="K602" t="n">
        <v>0.209</v>
      </c>
      <c r="L602" t="n">
        <v>0.791</v>
      </c>
      <c r="M602" t="n">
        <v>0</v>
      </c>
    </row>
    <row r="603" spans="1:13">
      <c r="A603" s="1">
        <f>HYPERLINK("http://www.twitter.com/NathanBLawrence/status/998313059688042498", "998313059688042498")</f>
        <v/>
      </c>
      <c r="B603" s="2" t="n">
        <v>43240.89068287037</v>
      </c>
      <c r="C603" t="n">
        <v>0</v>
      </c>
      <c r="D603" t="n">
        <v>2124</v>
      </c>
      <c r="E603" t="s">
        <v>609</v>
      </c>
      <c r="F603" t="s"/>
      <c r="G603" t="s"/>
      <c r="H603" t="s"/>
      <c r="I603" t="s"/>
      <c r="J603" t="n">
        <v>0</v>
      </c>
      <c r="K603" t="n">
        <v>0</v>
      </c>
      <c r="L603" t="n">
        <v>1</v>
      </c>
      <c r="M603" t="n">
        <v>0</v>
      </c>
    </row>
    <row r="604" spans="1:13">
      <c r="A604" s="1">
        <f>HYPERLINK("http://www.twitter.com/NathanBLawrence/status/998297015925772288", "998297015925772288")</f>
        <v/>
      </c>
      <c r="B604" s="2" t="n">
        <v>43240.84641203703</v>
      </c>
      <c r="C604" t="n">
        <v>0</v>
      </c>
      <c r="D604" t="n">
        <v>3857</v>
      </c>
      <c r="E604" t="s">
        <v>610</v>
      </c>
      <c r="F604" t="s"/>
      <c r="G604" t="s"/>
      <c r="H604" t="s"/>
      <c r="I604" t="s"/>
      <c r="J604" t="n">
        <v>0.3182</v>
      </c>
      <c r="K604" t="n">
        <v>0</v>
      </c>
      <c r="L604" t="n">
        <v>0.909</v>
      </c>
      <c r="M604" t="n">
        <v>0.091</v>
      </c>
    </row>
    <row r="605" spans="1:13">
      <c r="A605" s="1">
        <f>HYPERLINK("http://www.twitter.com/NathanBLawrence/status/998296972040769536", "998296972040769536")</f>
        <v/>
      </c>
      <c r="B605" s="2" t="n">
        <v>43240.84629629629</v>
      </c>
      <c r="C605" t="n">
        <v>0</v>
      </c>
      <c r="D605" t="n">
        <v>22892</v>
      </c>
      <c r="E605" t="s">
        <v>611</v>
      </c>
      <c r="F605" t="s"/>
      <c r="G605" t="s"/>
      <c r="H605" t="s"/>
      <c r="I605" t="s"/>
      <c r="J605" t="n">
        <v>-0.7251</v>
      </c>
      <c r="K605" t="n">
        <v>0.242</v>
      </c>
      <c r="L605" t="n">
        <v>0.758</v>
      </c>
      <c r="M605" t="n">
        <v>0</v>
      </c>
    </row>
    <row r="606" spans="1:13">
      <c r="A606" s="1">
        <f>HYPERLINK("http://www.twitter.com/NathanBLawrence/status/998296961433440257", "998296961433440257")</f>
        <v/>
      </c>
      <c r="B606" s="2" t="n">
        <v>43240.84626157407</v>
      </c>
      <c r="C606" t="n">
        <v>0</v>
      </c>
      <c r="D606" t="n">
        <v>32043</v>
      </c>
      <c r="E606" t="s">
        <v>612</v>
      </c>
      <c r="F606" t="s"/>
      <c r="G606" t="s"/>
      <c r="H606" t="s"/>
      <c r="I606" t="s"/>
      <c r="J606" t="n">
        <v>0</v>
      </c>
      <c r="K606" t="n">
        <v>0</v>
      </c>
      <c r="L606" t="n">
        <v>1</v>
      </c>
      <c r="M606" t="n">
        <v>0</v>
      </c>
    </row>
    <row r="607" spans="1:13">
      <c r="A607" s="1">
        <f>HYPERLINK("http://www.twitter.com/NathanBLawrence/status/998296899546484736", "998296899546484736")</f>
        <v/>
      </c>
      <c r="B607" s="2" t="n">
        <v>43240.84608796296</v>
      </c>
      <c r="C607" t="n">
        <v>0</v>
      </c>
      <c r="D607" t="n">
        <v>686</v>
      </c>
      <c r="E607" t="s">
        <v>613</v>
      </c>
      <c r="F607" t="s"/>
      <c r="G607" t="s"/>
      <c r="H607" t="s"/>
      <c r="I607" t="s"/>
      <c r="J607" t="n">
        <v>0</v>
      </c>
      <c r="K607" t="n">
        <v>0</v>
      </c>
      <c r="L607" t="n">
        <v>1</v>
      </c>
      <c r="M607" t="n">
        <v>0</v>
      </c>
    </row>
    <row r="608" spans="1:13">
      <c r="A608" s="1">
        <f>HYPERLINK("http://www.twitter.com/NathanBLawrence/status/998296849902723073", "998296849902723073")</f>
        <v/>
      </c>
      <c r="B608" s="2" t="n">
        <v>43240.84596064815</v>
      </c>
      <c r="C608" t="n">
        <v>0</v>
      </c>
      <c r="D608" t="n">
        <v>273</v>
      </c>
      <c r="E608" t="s">
        <v>614</v>
      </c>
      <c r="F608" t="s"/>
      <c r="G608" t="s"/>
      <c r="H608" t="s"/>
      <c r="I608" t="s"/>
      <c r="J608" t="n">
        <v>0.3818</v>
      </c>
      <c r="K608" t="n">
        <v>0</v>
      </c>
      <c r="L608" t="n">
        <v>0.902</v>
      </c>
      <c r="M608" t="n">
        <v>0.098</v>
      </c>
    </row>
    <row r="609" spans="1:13">
      <c r="A609" s="1">
        <f>HYPERLINK("http://www.twitter.com/NathanBLawrence/status/998296829791006720", "998296829791006720")</f>
        <v/>
      </c>
      <c r="B609" s="2" t="n">
        <v>43240.84590277778</v>
      </c>
      <c r="C609" t="n">
        <v>0</v>
      </c>
      <c r="D609" t="n">
        <v>230</v>
      </c>
      <c r="E609" t="s">
        <v>615</v>
      </c>
      <c r="F609" t="s"/>
      <c r="G609" t="s"/>
      <c r="H609" t="s"/>
      <c r="I609" t="s"/>
      <c r="J609" t="n">
        <v>0</v>
      </c>
      <c r="K609" t="n">
        <v>0</v>
      </c>
      <c r="L609" t="n">
        <v>1</v>
      </c>
      <c r="M609" t="n">
        <v>0</v>
      </c>
    </row>
    <row r="610" spans="1:13">
      <c r="A610" s="1">
        <f>HYPERLINK("http://www.twitter.com/NathanBLawrence/status/998296763718078466", "998296763718078466")</f>
        <v/>
      </c>
      <c r="B610" s="2" t="n">
        <v>43240.84571759259</v>
      </c>
      <c r="C610" t="n">
        <v>0</v>
      </c>
      <c r="D610" t="n">
        <v>48</v>
      </c>
      <c r="E610" t="s">
        <v>616</v>
      </c>
      <c r="F610" t="s"/>
      <c r="G610" t="s"/>
      <c r="H610" t="s"/>
      <c r="I610" t="s"/>
      <c r="J610" t="n">
        <v>0</v>
      </c>
      <c r="K610" t="n">
        <v>0</v>
      </c>
      <c r="L610" t="n">
        <v>1</v>
      </c>
      <c r="M610" t="n">
        <v>0</v>
      </c>
    </row>
    <row r="611" spans="1:13">
      <c r="A611" s="1">
        <f>HYPERLINK("http://www.twitter.com/NathanBLawrence/status/998296737344380930", "998296737344380930")</f>
        <v/>
      </c>
      <c r="B611" s="2" t="n">
        <v>43240.84564814815</v>
      </c>
      <c r="C611" t="n">
        <v>0</v>
      </c>
      <c r="D611" t="n">
        <v>19148</v>
      </c>
      <c r="E611" t="s">
        <v>617</v>
      </c>
      <c r="F611" t="s"/>
      <c r="G611" t="s"/>
      <c r="H611" t="s"/>
      <c r="I611" t="s"/>
      <c r="J611" t="n">
        <v>0.1027</v>
      </c>
      <c r="K611" t="n">
        <v>0.109</v>
      </c>
      <c r="L611" t="n">
        <v>0.766</v>
      </c>
      <c r="M611" t="n">
        <v>0.124</v>
      </c>
    </row>
    <row r="612" spans="1:13">
      <c r="A612" s="1">
        <f>HYPERLINK("http://www.twitter.com/NathanBLawrence/status/998296712375566336", "998296712375566336")</f>
        <v/>
      </c>
      <c r="B612" s="2" t="n">
        <v>43240.8455787037</v>
      </c>
      <c r="C612" t="n">
        <v>0</v>
      </c>
      <c r="D612" t="n">
        <v>481</v>
      </c>
      <c r="E612" t="s">
        <v>618</v>
      </c>
      <c r="F612" t="s"/>
      <c r="G612" t="s"/>
      <c r="H612" t="s"/>
      <c r="I612" t="s"/>
      <c r="J612" t="n">
        <v>0.4995</v>
      </c>
      <c r="K612" t="n">
        <v>0.077</v>
      </c>
      <c r="L612" t="n">
        <v>0.729</v>
      </c>
      <c r="M612" t="n">
        <v>0.194</v>
      </c>
    </row>
    <row r="613" spans="1:13">
      <c r="A613" s="1">
        <f>HYPERLINK("http://www.twitter.com/NathanBLawrence/status/998296099017428992", "998296099017428992")</f>
        <v/>
      </c>
      <c r="B613" s="2" t="n">
        <v>43240.84388888889</v>
      </c>
      <c r="C613" t="n">
        <v>15</v>
      </c>
      <c r="D613" t="n">
        <v>9</v>
      </c>
      <c r="E613" t="s">
        <v>619</v>
      </c>
      <c r="F613">
        <f>HYPERLINK("http://pbs.twimg.com/media/DdqpAeJU8AABOWQ.jpg", "http://pbs.twimg.com/media/DdqpAeJU8AABOWQ.jpg")</f>
        <v/>
      </c>
      <c r="G613" t="s"/>
      <c r="H613" t="s"/>
      <c r="I613" t="s"/>
      <c r="J613" t="n">
        <v>0.6588000000000001</v>
      </c>
      <c r="K613" t="n">
        <v>0</v>
      </c>
      <c r="L613" t="n">
        <v>0.761</v>
      </c>
      <c r="M613" t="n">
        <v>0.239</v>
      </c>
    </row>
    <row r="614" spans="1:13">
      <c r="A614" s="1">
        <f>HYPERLINK("http://www.twitter.com/NathanBLawrence/status/998295685366734848", "998295685366734848")</f>
        <v/>
      </c>
      <c r="B614" s="2" t="n">
        <v>43240.84274305555</v>
      </c>
      <c r="C614" t="n">
        <v>0</v>
      </c>
      <c r="D614" t="n">
        <v>24</v>
      </c>
      <c r="E614" t="s">
        <v>620</v>
      </c>
      <c r="F614" t="s"/>
      <c r="G614" t="s"/>
      <c r="H614" t="s"/>
      <c r="I614" t="s"/>
      <c r="J614" t="n">
        <v>0.25</v>
      </c>
      <c r="K614" t="n">
        <v>0.102</v>
      </c>
      <c r="L614" t="n">
        <v>0.72</v>
      </c>
      <c r="M614" t="n">
        <v>0.178</v>
      </c>
    </row>
    <row r="615" spans="1:13">
      <c r="A615" s="1">
        <f>HYPERLINK("http://www.twitter.com/NathanBLawrence/status/998295650986090496", "998295650986090496")</f>
        <v/>
      </c>
      <c r="B615" s="2" t="n">
        <v>43240.84265046296</v>
      </c>
      <c r="C615" t="n">
        <v>0</v>
      </c>
      <c r="D615" t="n">
        <v>539</v>
      </c>
      <c r="E615" t="s">
        <v>621</v>
      </c>
      <c r="F615" t="s"/>
      <c r="G615" t="s"/>
      <c r="H615" t="s"/>
      <c r="I615" t="s"/>
      <c r="J615" t="n">
        <v>0.1779</v>
      </c>
      <c r="K615" t="n">
        <v>0</v>
      </c>
      <c r="L615" t="n">
        <v>0.922</v>
      </c>
      <c r="M615" t="n">
        <v>0.078</v>
      </c>
    </row>
    <row r="616" spans="1:13">
      <c r="A616" s="1">
        <f>HYPERLINK("http://www.twitter.com/NathanBLawrence/status/998295626164121600", "998295626164121600")</f>
        <v/>
      </c>
      <c r="B616" s="2" t="n">
        <v>43240.84258101852</v>
      </c>
      <c r="C616" t="n">
        <v>0</v>
      </c>
      <c r="D616" t="n">
        <v>9139</v>
      </c>
      <c r="E616" t="s">
        <v>622</v>
      </c>
      <c r="F616" t="s"/>
      <c r="G616" t="s"/>
      <c r="H616" t="s"/>
      <c r="I616" t="s"/>
      <c r="J616" t="n">
        <v>0.5266999999999999</v>
      </c>
      <c r="K616" t="n">
        <v>0</v>
      </c>
      <c r="L616" t="n">
        <v>0.805</v>
      </c>
      <c r="M616" t="n">
        <v>0.195</v>
      </c>
    </row>
    <row r="617" spans="1:13">
      <c r="A617" s="1">
        <f>HYPERLINK("http://www.twitter.com/NathanBLawrence/status/998295596309065730", "998295596309065730")</f>
        <v/>
      </c>
      <c r="B617" s="2" t="n">
        <v>43240.8425</v>
      </c>
      <c r="C617" t="n">
        <v>0</v>
      </c>
      <c r="D617" t="n">
        <v>10633</v>
      </c>
      <c r="E617" t="s">
        <v>623</v>
      </c>
      <c r="F617" t="s"/>
      <c r="G617" t="s"/>
      <c r="H617" t="s"/>
      <c r="I617" t="s"/>
      <c r="J617" t="n">
        <v>-0.296</v>
      </c>
      <c r="K617" t="n">
        <v>0.08699999999999999</v>
      </c>
      <c r="L617" t="n">
        <v>0.913</v>
      </c>
      <c r="M617" t="n">
        <v>0</v>
      </c>
    </row>
    <row r="618" spans="1:13">
      <c r="A618" s="1">
        <f>HYPERLINK("http://www.twitter.com/NathanBLawrence/status/998245978741313536", "998245978741313536")</f>
        <v/>
      </c>
      <c r="B618" s="2" t="n">
        <v>43240.7055787037</v>
      </c>
      <c r="C618" t="n">
        <v>0</v>
      </c>
      <c r="D618" t="n">
        <v>11</v>
      </c>
      <c r="E618" t="s">
        <v>624</v>
      </c>
      <c r="F618">
        <f>HYPERLINK("http://pbs.twimg.com/media/DdptqP7VMAAcr-H.jpg", "http://pbs.twimg.com/media/DdptqP7VMAAcr-H.jpg")</f>
        <v/>
      </c>
      <c r="G618">
        <f>HYPERLINK("http://pbs.twimg.com/media/DdptqP7VwAAEjTy.jpg", "http://pbs.twimg.com/media/DdptqP7VwAAEjTy.jpg")</f>
        <v/>
      </c>
      <c r="H618" t="s"/>
      <c r="I618" t="s"/>
      <c r="J618" t="n">
        <v>-0.4648</v>
      </c>
      <c r="K618" t="n">
        <v>0.117</v>
      </c>
      <c r="L618" t="n">
        <v>0.827</v>
      </c>
      <c r="M618" t="n">
        <v>0.055</v>
      </c>
    </row>
    <row r="619" spans="1:13">
      <c r="A619" s="1">
        <f>HYPERLINK("http://www.twitter.com/NathanBLawrence/status/998245872952635395", "998245872952635395")</f>
        <v/>
      </c>
      <c r="B619" s="2" t="n">
        <v>43240.70528935185</v>
      </c>
      <c r="C619" t="n">
        <v>0</v>
      </c>
      <c r="D619" t="n">
        <v>6</v>
      </c>
      <c r="E619" t="s">
        <v>625</v>
      </c>
      <c r="F619" t="s"/>
      <c r="G619" t="s"/>
      <c r="H619" t="s"/>
      <c r="I619" t="s"/>
      <c r="J619" t="n">
        <v>-0.6249</v>
      </c>
      <c r="K619" t="n">
        <v>0.212</v>
      </c>
      <c r="L619" t="n">
        <v>0.734</v>
      </c>
      <c r="M619" t="n">
        <v>0.054</v>
      </c>
    </row>
    <row r="620" spans="1:13">
      <c r="A620" s="1">
        <f>HYPERLINK("http://www.twitter.com/NathanBLawrence/status/998238596409774080", "998238596409774080")</f>
        <v/>
      </c>
      <c r="B620" s="2" t="n">
        <v>43240.68520833334</v>
      </c>
      <c r="C620" t="n">
        <v>7</v>
      </c>
      <c r="D620" t="n">
        <v>6</v>
      </c>
      <c r="E620" t="s">
        <v>626</v>
      </c>
      <c r="F620" t="s"/>
      <c r="G620" t="s"/>
      <c r="H620" t="s"/>
      <c r="I620" t="s"/>
      <c r="J620" t="n">
        <v>-0.6662</v>
      </c>
      <c r="K620" t="n">
        <v>0.142</v>
      </c>
      <c r="L620" t="n">
        <v>0.824</v>
      </c>
      <c r="M620" t="n">
        <v>0.034</v>
      </c>
    </row>
    <row r="621" spans="1:13">
      <c r="A621" s="1">
        <f>HYPERLINK("http://www.twitter.com/NathanBLawrence/status/998230843867975680", "998230843867975680")</f>
        <v/>
      </c>
      <c r="B621" s="2" t="n">
        <v>43240.66381944445</v>
      </c>
      <c r="C621" t="n">
        <v>13</v>
      </c>
      <c r="D621" t="n">
        <v>11</v>
      </c>
      <c r="E621" t="s">
        <v>627</v>
      </c>
      <c r="F621">
        <f>HYPERLINK("http://pbs.twimg.com/media/DdptqP7VMAAcr-H.jpg", "http://pbs.twimg.com/media/DdptqP7VMAAcr-H.jpg")</f>
        <v/>
      </c>
      <c r="G621">
        <f>HYPERLINK("http://pbs.twimg.com/media/DdptqP7VwAAEjTy.jpg", "http://pbs.twimg.com/media/DdptqP7VwAAEjTy.jpg")</f>
        <v/>
      </c>
      <c r="H621" t="s"/>
      <c r="I621" t="s"/>
      <c r="J621" t="n">
        <v>-0.1091</v>
      </c>
      <c r="K621" t="n">
        <v>0.101</v>
      </c>
      <c r="L621" t="n">
        <v>0.761</v>
      </c>
      <c r="M621" t="n">
        <v>0.137</v>
      </c>
    </row>
    <row r="622" spans="1:13">
      <c r="A622" s="1">
        <f>HYPERLINK("http://www.twitter.com/NathanBLawrence/status/998229271868043269", "998229271868043269")</f>
        <v/>
      </c>
      <c r="B622" s="2" t="n">
        <v>43240.65947916666</v>
      </c>
      <c r="C622" t="n">
        <v>2</v>
      </c>
      <c r="D622" t="n">
        <v>0</v>
      </c>
      <c r="E622" t="s">
        <v>628</v>
      </c>
      <c r="F622" t="s"/>
      <c r="G622" t="s"/>
      <c r="H622" t="s"/>
      <c r="I622" t="s"/>
      <c r="J622" t="n">
        <v>-0.6114000000000001</v>
      </c>
      <c r="K622" t="n">
        <v>0.499</v>
      </c>
      <c r="L622" t="n">
        <v>0.501</v>
      </c>
      <c r="M622" t="n">
        <v>0</v>
      </c>
    </row>
    <row r="623" spans="1:13">
      <c r="A623" s="1">
        <f>HYPERLINK("http://www.twitter.com/NathanBLawrence/status/998229241773920256", "998229241773920256")</f>
        <v/>
      </c>
      <c r="B623" s="2" t="n">
        <v>43240.65939814815</v>
      </c>
      <c r="C623" t="n">
        <v>0</v>
      </c>
      <c r="D623" t="n">
        <v>4</v>
      </c>
      <c r="E623" t="s">
        <v>629</v>
      </c>
      <c r="F623">
        <f>HYPERLINK("http://pbs.twimg.com/media/DdpaVBuV0AE3BLy.jpg", "http://pbs.twimg.com/media/DdpaVBuV0AE3BLy.jpg")</f>
        <v/>
      </c>
      <c r="G623" t="s"/>
      <c r="H623" t="s"/>
      <c r="I623" t="s"/>
      <c r="J623" t="n">
        <v>0</v>
      </c>
      <c r="K623" t="n">
        <v>0</v>
      </c>
      <c r="L623" t="n">
        <v>1</v>
      </c>
      <c r="M623" t="n">
        <v>0</v>
      </c>
    </row>
    <row r="624" spans="1:13">
      <c r="A624" s="1">
        <f>HYPERLINK("http://www.twitter.com/NathanBLawrence/status/998228827540197377", "998228827540197377")</f>
        <v/>
      </c>
      <c r="B624" s="2" t="n">
        <v>43240.65825231482</v>
      </c>
      <c r="C624" t="n">
        <v>33</v>
      </c>
      <c r="D624" t="n">
        <v>24</v>
      </c>
      <c r="E624" t="s">
        <v>630</v>
      </c>
      <c r="F624" t="s"/>
      <c r="G624" t="s"/>
      <c r="H624" t="s"/>
      <c r="I624" t="s"/>
      <c r="J624" t="n">
        <v>0.5848</v>
      </c>
      <c r="K624" t="n">
        <v>0.054</v>
      </c>
      <c r="L624" t="n">
        <v>0.797</v>
      </c>
      <c r="M624" t="n">
        <v>0.149</v>
      </c>
    </row>
    <row r="625" spans="1:13">
      <c r="A625" s="1">
        <f>HYPERLINK("http://www.twitter.com/NathanBLawrence/status/998092817804259328", "998092817804259328")</f>
        <v/>
      </c>
      <c r="B625" s="2" t="n">
        <v>43240.28293981482</v>
      </c>
      <c r="C625" t="n">
        <v>1</v>
      </c>
      <c r="D625" t="n">
        <v>0</v>
      </c>
      <c r="E625" t="s">
        <v>631</v>
      </c>
      <c r="F625" t="s"/>
      <c r="G625" t="s"/>
      <c r="H625" t="s"/>
      <c r="I625" t="s"/>
      <c r="J625" t="n">
        <v>0</v>
      </c>
      <c r="K625" t="n">
        <v>0</v>
      </c>
      <c r="L625" t="n">
        <v>1</v>
      </c>
      <c r="M625" t="n">
        <v>0</v>
      </c>
    </row>
    <row r="626" spans="1:13">
      <c r="A626" s="1">
        <f>HYPERLINK("http://www.twitter.com/NathanBLawrence/status/998086684553162753", "998086684553162753")</f>
        <v/>
      </c>
      <c r="B626" s="2" t="n">
        <v>43240.26600694445</v>
      </c>
      <c r="C626" t="n">
        <v>0</v>
      </c>
      <c r="D626" t="n">
        <v>1068</v>
      </c>
      <c r="E626" t="s">
        <v>632</v>
      </c>
      <c r="F626" t="s"/>
      <c r="G626" t="s"/>
      <c r="H626" t="s"/>
      <c r="I626" t="s"/>
      <c r="J626" t="n">
        <v>-0.296</v>
      </c>
      <c r="K626" t="n">
        <v>0.18</v>
      </c>
      <c r="L626" t="n">
        <v>0.82</v>
      </c>
      <c r="M626" t="n">
        <v>0</v>
      </c>
    </row>
    <row r="627" spans="1:13">
      <c r="A627" s="1">
        <f>HYPERLINK("http://www.twitter.com/NathanBLawrence/status/998086677284446208", "998086677284446208")</f>
        <v/>
      </c>
      <c r="B627" s="2" t="n">
        <v>43240.26599537037</v>
      </c>
      <c r="C627" t="n">
        <v>0</v>
      </c>
      <c r="D627" t="n">
        <v>4279</v>
      </c>
      <c r="E627" t="s">
        <v>633</v>
      </c>
      <c r="F627">
        <f>HYPERLINK("http://pbs.twimg.com/media/Ddl5CN3VQAAs90N.jpg", "http://pbs.twimg.com/media/Ddl5CN3VQAAs90N.jpg")</f>
        <v/>
      </c>
      <c r="G627">
        <f>HYPERLINK("http://pbs.twimg.com/media/Ddl5CN1VMAAvS4R.jpg", "http://pbs.twimg.com/media/Ddl5CN1VMAAvS4R.jpg")</f>
        <v/>
      </c>
      <c r="H627" t="s"/>
      <c r="I627" t="s"/>
      <c r="J627" t="n">
        <v>0.128</v>
      </c>
      <c r="K627" t="n">
        <v>0.184</v>
      </c>
      <c r="L627" t="n">
        <v>0.575</v>
      </c>
      <c r="M627" t="n">
        <v>0.241</v>
      </c>
    </row>
    <row r="628" spans="1:13">
      <c r="A628" s="1">
        <f>HYPERLINK("http://www.twitter.com/NathanBLawrence/status/998086342520254464", "998086342520254464")</f>
        <v/>
      </c>
      <c r="B628" s="2" t="n">
        <v>43240.26506944445</v>
      </c>
      <c r="C628" t="n">
        <v>0</v>
      </c>
      <c r="D628" t="n">
        <v>7</v>
      </c>
      <c r="E628" t="s">
        <v>634</v>
      </c>
      <c r="F628" t="s"/>
      <c r="G628" t="s"/>
      <c r="H628" t="s"/>
      <c r="I628" t="s"/>
      <c r="J628" t="n">
        <v>-0.6899999999999999</v>
      </c>
      <c r="K628" t="n">
        <v>0.213</v>
      </c>
      <c r="L628" t="n">
        <v>0.787</v>
      </c>
      <c r="M628" t="n">
        <v>0</v>
      </c>
    </row>
    <row r="629" spans="1:13">
      <c r="A629" s="1">
        <f>HYPERLINK("http://www.twitter.com/NathanBLawrence/status/998086269598134272", "998086269598134272")</f>
        <v/>
      </c>
      <c r="B629" s="2" t="n">
        <v>43240.26486111111</v>
      </c>
      <c r="C629" t="n">
        <v>0</v>
      </c>
      <c r="D629" t="n">
        <v>43</v>
      </c>
      <c r="E629" t="s">
        <v>635</v>
      </c>
      <c r="F629" t="s"/>
      <c r="G629" t="s"/>
      <c r="H629" t="s"/>
      <c r="I629" t="s"/>
      <c r="J629" t="n">
        <v>-0.5574</v>
      </c>
      <c r="K629" t="n">
        <v>0.18</v>
      </c>
      <c r="L629" t="n">
        <v>0.82</v>
      </c>
      <c r="M629" t="n">
        <v>0</v>
      </c>
    </row>
    <row r="630" spans="1:13">
      <c r="A630" s="1">
        <f>HYPERLINK("http://www.twitter.com/NathanBLawrence/status/998086003016466432", "998086003016466432")</f>
        <v/>
      </c>
      <c r="B630" s="2" t="n">
        <v>43240.26413194444</v>
      </c>
      <c r="C630" t="n">
        <v>0</v>
      </c>
      <c r="D630" t="n">
        <v>1282</v>
      </c>
      <c r="E630" t="s">
        <v>636</v>
      </c>
      <c r="F630" t="s"/>
      <c r="G630" t="s"/>
      <c r="H630" t="s"/>
      <c r="I630" t="s"/>
      <c r="J630" t="n">
        <v>0</v>
      </c>
      <c r="K630" t="n">
        <v>0</v>
      </c>
      <c r="L630" t="n">
        <v>1</v>
      </c>
      <c r="M630" t="n">
        <v>0</v>
      </c>
    </row>
    <row r="631" spans="1:13">
      <c r="A631" s="1">
        <f>HYPERLINK("http://www.twitter.com/NathanBLawrence/status/998085991159169024", "998085991159169024")</f>
        <v/>
      </c>
      <c r="B631" s="2" t="n">
        <v>43240.26409722222</v>
      </c>
      <c r="C631" t="n">
        <v>0</v>
      </c>
      <c r="D631" t="n">
        <v>1454</v>
      </c>
      <c r="E631" t="s">
        <v>637</v>
      </c>
      <c r="F631" t="s"/>
      <c r="G631" t="s"/>
      <c r="H631" t="s"/>
      <c r="I631" t="s"/>
      <c r="J631" t="n">
        <v>0.4199</v>
      </c>
      <c r="K631" t="n">
        <v>0</v>
      </c>
      <c r="L631" t="n">
        <v>0.896</v>
      </c>
      <c r="M631" t="n">
        <v>0.104</v>
      </c>
    </row>
    <row r="632" spans="1:13">
      <c r="A632" s="1">
        <f>HYPERLINK("http://www.twitter.com/NathanBLawrence/status/998085949518237696", "998085949518237696")</f>
        <v/>
      </c>
      <c r="B632" s="2" t="n">
        <v>43240.26398148148</v>
      </c>
      <c r="C632" t="n">
        <v>0</v>
      </c>
      <c r="D632" t="n">
        <v>535</v>
      </c>
      <c r="E632" t="s">
        <v>638</v>
      </c>
      <c r="F632">
        <f>HYPERLINK("http://pbs.twimg.com/media/DdkDa3LW0AAxSn9.jpg", "http://pbs.twimg.com/media/DdkDa3LW0AAxSn9.jpg")</f>
        <v/>
      </c>
      <c r="G632" t="s"/>
      <c r="H632" t="s"/>
      <c r="I632" t="s"/>
      <c r="J632" t="n">
        <v>0</v>
      </c>
      <c r="K632" t="n">
        <v>0</v>
      </c>
      <c r="L632" t="n">
        <v>1</v>
      </c>
      <c r="M632" t="n">
        <v>0</v>
      </c>
    </row>
    <row r="633" spans="1:13">
      <c r="A633" s="1">
        <f>HYPERLINK("http://www.twitter.com/NathanBLawrence/status/998085871369846785", "998085871369846785")</f>
        <v/>
      </c>
      <c r="B633" s="2" t="n">
        <v>43240.26376157408</v>
      </c>
      <c r="C633" t="n">
        <v>1</v>
      </c>
      <c r="D633" t="n">
        <v>0</v>
      </c>
      <c r="E633" t="s">
        <v>639</v>
      </c>
      <c r="F633" t="s"/>
      <c r="G633" t="s"/>
      <c r="H633" t="s"/>
      <c r="I633" t="s"/>
      <c r="J633" t="n">
        <v>-0.6369</v>
      </c>
      <c r="K633" t="n">
        <v>0.51</v>
      </c>
      <c r="L633" t="n">
        <v>0.49</v>
      </c>
      <c r="M633" t="n">
        <v>0</v>
      </c>
    </row>
    <row r="634" spans="1:13">
      <c r="A634" s="1">
        <f>HYPERLINK("http://www.twitter.com/NathanBLawrence/status/998085777912410112", "998085777912410112")</f>
        <v/>
      </c>
      <c r="B634" s="2" t="n">
        <v>43240.26350694444</v>
      </c>
      <c r="C634" t="n">
        <v>0</v>
      </c>
      <c r="D634" t="n">
        <v>1891</v>
      </c>
      <c r="E634" t="s">
        <v>640</v>
      </c>
      <c r="F634" t="s"/>
      <c r="G634" t="s"/>
      <c r="H634" t="s"/>
      <c r="I634" t="s"/>
      <c r="J634" t="n">
        <v>0.3182</v>
      </c>
      <c r="K634" t="n">
        <v>0</v>
      </c>
      <c r="L634" t="n">
        <v>0.777</v>
      </c>
      <c r="M634" t="n">
        <v>0.223</v>
      </c>
    </row>
    <row r="635" spans="1:13">
      <c r="A635" s="1">
        <f>HYPERLINK("http://www.twitter.com/NathanBLawrence/status/998085685675520000", "998085685675520000")</f>
        <v/>
      </c>
      <c r="B635" s="2" t="n">
        <v>43240.26325231481</v>
      </c>
      <c r="C635" t="n">
        <v>0</v>
      </c>
      <c r="D635" t="n">
        <v>3</v>
      </c>
      <c r="E635" t="s">
        <v>641</v>
      </c>
      <c r="F635" t="s"/>
      <c r="G635" t="s"/>
      <c r="H635" t="s"/>
      <c r="I635" t="s"/>
      <c r="J635" t="n">
        <v>0.508</v>
      </c>
      <c r="K635" t="n">
        <v>0</v>
      </c>
      <c r="L635" t="n">
        <v>0.733</v>
      </c>
      <c r="M635" t="n">
        <v>0.267</v>
      </c>
    </row>
    <row r="636" spans="1:13">
      <c r="A636" s="1">
        <f>HYPERLINK("http://www.twitter.com/NathanBLawrence/status/998085642335768577", "998085642335768577")</f>
        <v/>
      </c>
      <c r="B636" s="2" t="n">
        <v>43240.26313657407</v>
      </c>
      <c r="C636" t="n">
        <v>0</v>
      </c>
      <c r="D636" t="n">
        <v>2783</v>
      </c>
      <c r="E636" t="s">
        <v>642</v>
      </c>
      <c r="F636" t="s"/>
      <c r="G636" t="s"/>
      <c r="H636" t="s"/>
      <c r="I636" t="s"/>
      <c r="J636" t="n">
        <v>-0.2023</v>
      </c>
      <c r="K636" t="n">
        <v>0.136</v>
      </c>
      <c r="L636" t="n">
        <v>0.763</v>
      </c>
      <c r="M636" t="n">
        <v>0.102</v>
      </c>
    </row>
    <row r="637" spans="1:13">
      <c r="A637" s="1">
        <f>HYPERLINK("http://www.twitter.com/NathanBLawrence/status/998085622450532352", "998085622450532352")</f>
        <v/>
      </c>
      <c r="B637" s="2" t="n">
        <v>43240.26307870371</v>
      </c>
      <c r="C637" t="n">
        <v>0</v>
      </c>
      <c r="D637" t="n">
        <v>69</v>
      </c>
      <c r="E637" t="s">
        <v>643</v>
      </c>
      <c r="F637" t="s"/>
      <c r="G637" t="s"/>
      <c r="H637" t="s"/>
      <c r="I637" t="s"/>
      <c r="J637" t="n">
        <v>0</v>
      </c>
      <c r="K637" t="n">
        <v>0</v>
      </c>
      <c r="L637" t="n">
        <v>1</v>
      </c>
      <c r="M637" t="n">
        <v>0</v>
      </c>
    </row>
    <row r="638" spans="1:13">
      <c r="A638" s="1">
        <f>HYPERLINK("http://www.twitter.com/NathanBLawrence/status/998085614921748480", "998085614921748480")</f>
        <v/>
      </c>
      <c r="B638" s="2" t="n">
        <v>43240.26305555556</v>
      </c>
      <c r="C638" t="n">
        <v>0</v>
      </c>
      <c r="D638" t="n">
        <v>300</v>
      </c>
      <c r="E638" t="s">
        <v>644</v>
      </c>
      <c r="F638" t="s"/>
      <c r="G638" t="s"/>
      <c r="H638" t="s"/>
      <c r="I638" t="s"/>
      <c r="J638" t="n">
        <v>0.6486</v>
      </c>
      <c r="K638" t="n">
        <v>0</v>
      </c>
      <c r="L638" t="n">
        <v>0.602</v>
      </c>
      <c r="M638" t="n">
        <v>0.398</v>
      </c>
    </row>
    <row r="639" spans="1:13">
      <c r="A639" s="1">
        <f>HYPERLINK("http://www.twitter.com/NathanBLawrence/status/998085591433646080", "998085591433646080")</f>
        <v/>
      </c>
      <c r="B639" s="2" t="n">
        <v>43240.26299768518</v>
      </c>
      <c r="C639" t="n">
        <v>0</v>
      </c>
      <c r="D639" t="n">
        <v>5914</v>
      </c>
      <c r="E639" t="s">
        <v>645</v>
      </c>
      <c r="F639" t="s"/>
      <c r="G639" t="s"/>
      <c r="H639" t="s"/>
      <c r="I639" t="s"/>
      <c r="J639" t="n">
        <v>0.4019</v>
      </c>
      <c r="K639" t="n">
        <v>0</v>
      </c>
      <c r="L639" t="n">
        <v>0.828</v>
      </c>
      <c r="M639" t="n">
        <v>0.172</v>
      </c>
    </row>
    <row r="640" spans="1:13">
      <c r="A640" s="1">
        <f>HYPERLINK("http://www.twitter.com/NathanBLawrence/status/998085571053588480", "998085571053588480")</f>
        <v/>
      </c>
      <c r="B640" s="2" t="n">
        <v>43240.26293981481</v>
      </c>
      <c r="C640" t="n">
        <v>0</v>
      </c>
      <c r="D640" t="n">
        <v>6116</v>
      </c>
      <c r="E640" t="s">
        <v>646</v>
      </c>
      <c r="F640" t="s"/>
      <c r="G640" t="s"/>
      <c r="H640" t="s"/>
      <c r="I640" t="s"/>
      <c r="J640" t="n">
        <v>0.4767</v>
      </c>
      <c r="K640" t="n">
        <v>0</v>
      </c>
      <c r="L640" t="n">
        <v>0.8070000000000001</v>
      </c>
      <c r="M640" t="n">
        <v>0.193</v>
      </c>
    </row>
    <row r="641" spans="1:13">
      <c r="A641" s="1">
        <f>HYPERLINK("http://www.twitter.com/NathanBLawrence/status/998085558743322624", "998085558743322624")</f>
        <v/>
      </c>
      <c r="B641" s="2" t="n">
        <v>43240.26290509259</v>
      </c>
      <c r="C641" t="n">
        <v>0</v>
      </c>
      <c r="D641" t="n">
        <v>7505</v>
      </c>
      <c r="E641" t="s">
        <v>647</v>
      </c>
      <c r="F641" t="s"/>
      <c r="G641" t="s"/>
      <c r="H641" t="s"/>
      <c r="I641" t="s"/>
      <c r="J641" t="n">
        <v>-0.7783</v>
      </c>
      <c r="K641" t="n">
        <v>0.307</v>
      </c>
      <c r="L641" t="n">
        <v>0.644</v>
      </c>
      <c r="M641" t="n">
        <v>0.049</v>
      </c>
    </row>
    <row r="642" spans="1:13">
      <c r="A642" s="1">
        <f>HYPERLINK("http://www.twitter.com/NathanBLawrence/status/998085538119847936", "998085538119847936")</f>
        <v/>
      </c>
      <c r="B642" s="2" t="n">
        <v>43240.26284722222</v>
      </c>
      <c r="C642" t="n">
        <v>0</v>
      </c>
      <c r="D642" t="n">
        <v>7773</v>
      </c>
      <c r="E642" t="s">
        <v>648</v>
      </c>
      <c r="F642" t="s"/>
      <c r="G642" t="s"/>
      <c r="H642" t="s"/>
      <c r="I642" t="s"/>
      <c r="J642" t="n">
        <v>0.2023</v>
      </c>
      <c r="K642" t="n">
        <v>0.128</v>
      </c>
      <c r="L642" t="n">
        <v>0.698</v>
      </c>
      <c r="M642" t="n">
        <v>0.174</v>
      </c>
    </row>
    <row r="643" spans="1:13">
      <c r="A643" s="1">
        <f>HYPERLINK("http://www.twitter.com/NathanBLawrence/status/998085512979197953", "998085512979197953")</f>
        <v/>
      </c>
      <c r="B643" s="2" t="n">
        <v>43240.26277777777</v>
      </c>
      <c r="C643" t="n">
        <v>0</v>
      </c>
      <c r="D643" t="n">
        <v>9246</v>
      </c>
      <c r="E643" t="s">
        <v>649</v>
      </c>
      <c r="F643">
        <f>HYPERLINK("https://video.twimg.com/ext_tw_video/997859740679131136/pu/vid/480x480/BgXIxySD93ehCB8H.mp4?tag=3", "https://video.twimg.com/ext_tw_video/997859740679131136/pu/vid/480x480/BgXIxySD93ehCB8H.mp4?tag=3")</f>
        <v/>
      </c>
      <c r="G643" t="s"/>
      <c r="H643" t="s"/>
      <c r="I643" t="s"/>
      <c r="J643" t="n">
        <v>0.0258</v>
      </c>
      <c r="K643" t="n">
        <v>0</v>
      </c>
      <c r="L643" t="n">
        <v>0.948</v>
      </c>
      <c r="M643" t="n">
        <v>0.052</v>
      </c>
    </row>
    <row r="644" spans="1:13">
      <c r="A644" s="1">
        <f>HYPERLINK("http://www.twitter.com/NathanBLawrence/status/998085485913354240", "998085485913354240")</f>
        <v/>
      </c>
      <c r="B644" s="2" t="n">
        <v>43240.26270833334</v>
      </c>
      <c r="C644" t="n">
        <v>0</v>
      </c>
      <c r="D644" t="n">
        <v>4149</v>
      </c>
      <c r="E644" t="s">
        <v>650</v>
      </c>
      <c r="F644" t="s"/>
      <c r="G644" t="s"/>
      <c r="H644" t="s"/>
      <c r="I644" t="s"/>
      <c r="J644" t="n">
        <v>-0.0516</v>
      </c>
      <c r="K644" t="n">
        <v>0.175</v>
      </c>
      <c r="L644" t="n">
        <v>0.657</v>
      </c>
      <c r="M644" t="n">
        <v>0.168</v>
      </c>
    </row>
    <row r="645" spans="1:13">
      <c r="A645" s="1">
        <f>HYPERLINK("http://www.twitter.com/NathanBLawrence/status/998085436017963008", "998085436017963008")</f>
        <v/>
      </c>
      <c r="B645" s="2" t="n">
        <v>43240.26256944444</v>
      </c>
      <c r="C645" t="n">
        <v>0</v>
      </c>
      <c r="D645" t="n">
        <v>8</v>
      </c>
      <c r="E645" t="s">
        <v>651</v>
      </c>
      <c r="F645" t="s"/>
      <c r="G645" t="s"/>
      <c r="H645" t="s"/>
      <c r="I645" t="s"/>
      <c r="J645" t="n">
        <v>-0.5574</v>
      </c>
      <c r="K645" t="n">
        <v>0.194</v>
      </c>
      <c r="L645" t="n">
        <v>0.806</v>
      </c>
      <c r="M645" t="n">
        <v>0</v>
      </c>
    </row>
    <row r="646" spans="1:13">
      <c r="A646" s="1">
        <f>HYPERLINK("http://www.twitter.com/NathanBLawrence/status/998085362135240705", "998085362135240705")</f>
        <v/>
      </c>
      <c r="B646" s="2" t="n">
        <v>43240.26236111111</v>
      </c>
      <c r="C646" t="n">
        <v>0</v>
      </c>
      <c r="D646" t="n">
        <v>5641</v>
      </c>
      <c r="E646" t="s">
        <v>652</v>
      </c>
      <c r="F646" t="s"/>
      <c r="G646" t="s"/>
      <c r="H646" t="s"/>
      <c r="I646" t="s"/>
      <c r="J646" t="n">
        <v>0</v>
      </c>
      <c r="K646" t="n">
        <v>0</v>
      </c>
      <c r="L646" t="n">
        <v>1</v>
      </c>
      <c r="M646" t="n">
        <v>0</v>
      </c>
    </row>
    <row r="647" spans="1:13">
      <c r="A647" s="1">
        <f>HYPERLINK("http://www.twitter.com/NathanBLawrence/status/998056609258639360", "998056609258639360")</f>
        <v/>
      </c>
      <c r="B647" s="2" t="n">
        <v>43240.18302083333</v>
      </c>
      <c r="C647" t="n">
        <v>0</v>
      </c>
      <c r="D647" t="n">
        <v>30</v>
      </c>
      <c r="E647" t="s">
        <v>653</v>
      </c>
      <c r="F647">
        <f>HYPERLINK("http://pbs.twimg.com/media/DdnJwjCVQAAXKjJ.jpg", "http://pbs.twimg.com/media/DdnJwjCVQAAXKjJ.jpg")</f>
        <v/>
      </c>
      <c r="G647" t="s"/>
      <c r="H647" t="s"/>
      <c r="I647" t="s"/>
      <c r="J647" t="n">
        <v>0</v>
      </c>
      <c r="K647" t="n">
        <v>0</v>
      </c>
      <c r="L647" t="n">
        <v>1</v>
      </c>
      <c r="M647" t="n">
        <v>0</v>
      </c>
    </row>
    <row r="648" spans="1:13">
      <c r="A648" s="1">
        <f>HYPERLINK("http://www.twitter.com/NathanBLawrence/status/998056592544280576", "998056592544280576")</f>
        <v/>
      </c>
      <c r="B648" s="2" t="n">
        <v>43240.18297453703</v>
      </c>
      <c r="C648" t="n">
        <v>0</v>
      </c>
      <c r="D648" t="n">
        <v>22</v>
      </c>
      <c r="E648" t="s">
        <v>654</v>
      </c>
      <c r="F648">
        <f>HYPERLINK("http://pbs.twimg.com/media/DdnKggXU0AIkJrN.jpg", "http://pbs.twimg.com/media/DdnKggXU0AIkJrN.jpg")</f>
        <v/>
      </c>
      <c r="G648" t="s"/>
      <c r="H648" t="s"/>
      <c r="I648" t="s"/>
      <c r="J648" t="n">
        <v>-0.6124000000000001</v>
      </c>
      <c r="K648" t="n">
        <v>0.248</v>
      </c>
      <c r="L648" t="n">
        <v>0.647</v>
      </c>
      <c r="M648" t="n">
        <v>0.104</v>
      </c>
    </row>
    <row r="649" spans="1:13">
      <c r="A649" s="1">
        <f>HYPERLINK("http://www.twitter.com/NathanBLawrence/status/998056457592549376", "998056457592549376")</f>
        <v/>
      </c>
      <c r="B649" s="2" t="n">
        <v>43240.18260416666</v>
      </c>
      <c r="C649" t="n">
        <v>0</v>
      </c>
      <c r="D649" t="n">
        <v>14</v>
      </c>
      <c r="E649" t="s">
        <v>655</v>
      </c>
      <c r="F649" t="s"/>
      <c r="G649" t="s"/>
      <c r="H649" t="s"/>
      <c r="I649" t="s"/>
      <c r="J649" t="n">
        <v>0</v>
      </c>
      <c r="K649" t="n">
        <v>0</v>
      </c>
      <c r="L649" t="n">
        <v>1</v>
      </c>
      <c r="M649" t="n">
        <v>0</v>
      </c>
    </row>
    <row r="650" spans="1:13">
      <c r="A650" s="1">
        <f>HYPERLINK("http://www.twitter.com/NathanBLawrence/status/998056437124300800", "998056437124300800")</f>
        <v/>
      </c>
      <c r="B650" s="2" t="n">
        <v>43240.1825462963</v>
      </c>
      <c r="C650" t="n">
        <v>0</v>
      </c>
      <c r="D650" t="n">
        <v>7</v>
      </c>
      <c r="E650" t="s">
        <v>656</v>
      </c>
      <c r="F650" t="s"/>
      <c r="G650" t="s"/>
      <c r="H650" t="s"/>
      <c r="I650" t="s"/>
      <c r="J650" t="n">
        <v>-0.6067</v>
      </c>
      <c r="K650" t="n">
        <v>0.236</v>
      </c>
      <c r="L650" t="n">
        <v>0.764</v>
      </c>
      <c r="M650" t="n">
        <v>0</v>
      </c>
    </row>
    <row r="651" spans="1:13">
      <c r="A651" s="1">
        <f>HYPERLINK("http://www.twitter.com/NathanBLawrence/status/998056364307042304", "998056364307042304")</f>
        <v/>
      </c>
      <c r="B651" s="2" t="n">
        <v>43240.18233796296</v>
      </c>
      <c r="C651" t="n">
        <v>0</v>
      </c>
      <c r="D651" t="n">
        <v>15</v>
      </c>
      <c r="E651" t="s">
        <v>657</v>
      </c>
      <c r="F651" t="s"/>
      <c r="G651" t="s"/>
      <c r="H651" t="s"/>
      <c r="I651" t="s"/>
      <c r="J651" t="n">
        <v>0.2878</v>
      </c>
      <c r="K651" t="n">
        <v>0</v>
      </c>
      <c r="L651" t="n">
        <v>0.902</v>
      </c>
      <c r="M651" t="n">
        <v>0.098</v>
      </c>
    </row>
    <row r="652" spans="1:13">
      <c r="A652" s="1">
        <f>HYPERLINK("http://www.twitter.com/NathanBLawrence/status/998056164356247552", "998056164356247552")</f>
        <v/>
      </c>
      <c r="B652" s="2" t="n">
        <v>43240.18179398148</v>
      </c>
      <c r="C652" t="n">
        <v>0</v>
      </c>
      <c r="D652" t="n">
        <v>4</v>
      </c>
      <c r="E652" t="s">
        <v>658</v>
      </c>
      <c r="F652" t="s"/>
      <c r="G652" t="s"/>
      <c r="H652" t="s"/>
      <c r="I652" t="s"/>
      <c r="J652" t="n">
        <v>0.5232</v>
      </c>
      <c r="K652" t="n">
        <v>0.049</v>
      </c>
      <c r="L652" t="n">
        <v>0.806</v>
      </c>
      <c r="M652" t="n">
        <v>0.145</v>
      </c>
    </row>
    <row r="653" spans="1:13">
      <c r="A653" s="1">
        <f>HYPERLINK("http://www.twitter.com/NathanBLawrence/status/998055978947014656", "998055978947014656")</f>
        <v/>
      </c>
      <c r="B653" s="2" t="n">
        <v>43240.18128472222</v>
      </c>
      <c r="C653" t="n">
        <v>0</v>
      </c>
      <c r="D653" t="n">
        <v>26</v>
      </c>
      <c r="E653" t="s">
        <v>659</v>
      </c>
      <c r="F653" t="s"/>
      <c r="G653" t="s"/>
      <c r="H653" t="s"/>
      <c r="I653" t="s"/>
      <c r="J653" t="n">
        <v>0.6705</v>
      </c>
      <c r="K653" t="n">
        <v>0</v>
      </c>
      <c r="L653" t="n">
        <v>0.756</v>
      </c>
      <c r="M653" t="n">
        <v>0.244</v>
      </c>
    </row>
    <row r="654" spans="1:13">
      <c r="A654" s="1">
        <f>HYPERLINK("http://www.twitter.com/NathanBLawrence/status/997981605888167939", "997981605888167939")</f>
        <v/>
      </c>
      <c r="B654" s="2" t="n">
        <v>43239.97605324074</v>
      </c>
      <c r="C654" t="n">
        <v>34</v>
      </c>
      <c r="D654" t="n">
        <v>26</v>
      </c>
      <c r="E654" t="s">
        <v>660</v>
      </c>
      <c r="F654" t="s"/>
      <c r="G654" t="s"/>
      <c r="H654" t="s"/>
      <c r="I654" t="s"/>
      <c r="J654" t="n">
        <v>0.4019</v>
      </c>
      <c r="K654" t="n">
        <v>0.065</v>
      </c>
      <c r="L654" t="n">
        <v>0.8080000000000001</v>
      </c>
      <c r="M654" t="n">
        <v>0.127</v>
      </c>
    </row>
    <row r="655" spans="1:13">
      <c r="A655" s="1">
        <f>HYPERLINK("http://www.twitter.com/NathanBLawrence/status/997964462073184257", "997964462073184257")</f>
        <v/>
      </c>
      <c r="B655" s="2" t="n">
        <v>43239.92873842592</v>
      </c>
      <c r="C655" t="n">
        <v>0</v>
      </c>
      <c r="D655" t="n">
        <v>6</v>
      </c>
      <c r="E655" t="s">
        <v>661</v>
      </c>
      <c r="F655" t="s"/>
      <c r="G655" t="s"/>
      <c r="H655" t="s"/>
      <c r="I655" t="s"/>
      <c r="J655" t="n">
        <v>0.4019</v>
      </c>
      <c r="K655" t="n">
        <v>0</v>
      </c>
      <c r="L655" t="n">
        <v>0.748</v>
      </c>
      <c r="M655" t="n">
        <v>0.252</v>
      </c>
    </row>
    <row r="656" spans="1:13">
      <c r="A656" s="1">
        <f>HYPERLINK("http://www.twitter.com/NathanBLawrence/status/997964446378135557", "997964446378135557")</f>
        <v/>
      </c>
      <c r="B656" s="2" t="n">
        <v>43239.92869212963</v>
      </c>
      <c r="C656" t="n">
        <v>0</v>
      </c>
      <c r="D656" t="n">
        <v>6</v>
      </c>
      <c r="E656" t="s">
        <v>662</v>
      </c>
      <c r="F656" t="s"/>
      <c r="G656" t="s"/>
      <c r="H656" t="s"/>
      <c r="I656" t="s"/>
      <c r="J656" t="n">
        <v>0</v>
      </c>
      <c r="K656" t="n">
        <v>0</v>
      </c>
      <c r="L656" t="n">
        <v>1</v>
      </c>
      <c r="M656" t="n">
        <v>0</v>
      </c>
    </row>
    <row r="657" spans="1:13">
      <c r="A657" s="1">
        <f>HYPERLINK("http://www.twitter.com/NathanBLawrence/status/997964388840689665", "997964388840689665")</f>
        <v/>
      </c>
      <c r="B657" s="2" t="n">
        <v>43239.92854166667</v>
      </c>
      <c r="C657" t="n">
        <v>0</v>
      </c>
      <c r="D657" t="n">
        <v>15</v>
      </c>
      <c r="E657" t="s">
        <v>663</v>
      </c>
      <c r="F657" t="s"/>
      <c r="G657" t="s"/>
      <c r="H657" t="s"/>
      <c r="I657" t="s"/>
      <c r="J657" t="n">
        <v>0.0516</v>
      </c>
      <c r="K657" t="n">
        <v>0.097</v>
      </c>
      <c r="L657" t="n">
        <v>0.798</v>
      </c>
      <c r="M657" t="n">
        <v>0.105</v>
      </c>
    </row>
    <row r="658" spans="1:13">
      <c r="A658" s="1">
        <f>HYPERLINK("http://www.twitter.com/NathanBLawrence/status/997964375519526912", "997964375519526912")</f>
        <v/>
      </c>
      <c r="B658" s="2" t="n">
        <v>43239.92850694444</v>
      </c>
      <c r="C658" t="n">
        <v>0</v>
      </c>
      <c r="D658" t="n">
        <v>32</v>
      </c>
      <c r="E658" t="s">
        <v>664</v>
      </c>
      <c r="F658" t="s"/>
      <c r="G658" t="s"/>
      <c r="H658" t="s"/>
      <c r="I658" t="s"/>
      <c r="J658" t="n">
        <v>-0.7258</v>
      </c>
      <c r="K658" t="n">
        <v>0.307</v>
      </c>
      <c r="L658" t="n">
        <v>0.6929999999999999</v>
      </c>
      <c r="M658" t="n">
        <v>0</v>
      </c>
    </row>
    <row r="659" spans="1:13">
      <c r="A659" s="1">
        <f>HYPERLINK("http://www.twitter.com/NathanBLawrence/status/997964333433937921", "997964333433937921")</f>
        <v/>
      </c>
      <c r="B659" s="2" t="n">
        <v>43239.92839120371</v>
      </c>
      <c r="C659" t="n">
        <v>0</v>
      </c>
      <c r="D659" t="n">
        <v>18</v>
      </c>
      <c r="E659" t="s">
        <v>665</v>
      </c>
      <c r="F659" t="s"/>
      <c r="G659" t="s"/>
      <c r="H659" t="s"/>
      <c r="I659" t="s"/>
      <c r="J659" t="n">
        <v>0.6705</v>
      </c>
      <c r="K659" t="n">
        <v>0</v>
      </c>
      <c r="L659" t="n">
        <v>0.776</v>
      </c>
      <c r="M659" t="n">
        <v>0.224</v>
      </c>
    </row>
    <row r="660" spans="1:13">
      <c r="A660" s="1">
        <f>HYPERLINK("http://www.twitter.com/NathanBLawrence/status/997964319513104390", "997964319513104390")</f>
        <v/>
      </c>
      <c r="B660" s="2" t="n">
        <v>43239.92834490741</v>
      </c>
      <c r="C660" t="n">
        <v>0</v>
      </c>
      <c r="D660" t="n">
        <v>5</v>
      </c>
      <c r="E660" t="s">
        <v>666</v>
      </c>
      <c r="F660" t="s"/>
      <c r="G660" t="s"/>
      <c r="H660" t="s"/>
      <c r="I660" t="s"/>
      <c r="J660" t="n">
        <v>0.34</v>
      </c>
      <c r="K660" t="n">
        <v>0</v>
      </c>
      <c r="L660" t="n">
        <v>0.906</v>
      </c>
      <c r="M660" t="n">
        <v>0.094</v>
      </c>
    </row>
    <row r="661" spans="1:13">
      <c r="A661" s="1">
        <f>HYPERLINK("http://www.twitter.com/NathanBLawrence/status/997964272004190208", "997964272004190208")</f>
        <v/>
      </c>
      <c r="B661" s="2" t="n">
        <v>43239.92821759259</v>
      </c>
      <c r="C661" t="n">
        <v>0</v>
      </c>
      <c r="D661" t="n">
        <v>13</v>
      </c>
      <c r="E661" t="s">
        <v>667</v>
      </c>
      <c r="F661">
        <f>HYPERLINK("http://pbs.twimg.com/media/Ddlxeb7U8AAIKe2.jpg", "http://pbs.twimg.com/media/Ddlxeb7U8AAIKe2.jpg")</f>
        <v/>
      </c>
      <c r="G661" t="s"/>
      <c r="H661" t="s"/>
      <c r="I661" t="s"/>
      <c r="J661" t="n">
        <v>0.4404</v>
      </c>
      <c r="K661" t="n">
        <v>0</v>
      </c>
      <c r="L661" t="n">
        <v>0.892</v>
      </c>
      <c r="M661" t="n">
        <v>0.108</v>
      </c>
    </row>
    <row r="662" spans="1:13">
      <c r="A662" s="1">
        <f>HYPERLINK("http://www.twitter.com/NathanBLawrence/status/997964254937481216", "997964254937481216")</f>
        <v/>
      </c>
      <c r="B662" s="2" t="n">
        <v>43239.9281712963</v>
      </c>
      <c r="C662" t="n">
        <v>0</v>
      </c>
      <c r="D662" t="n">
        <v>9</v>
      </c>
      <c r="E662" t="s">
        <v>668</v>
      </c>
      <c r="F662" t="s"/>
      <c r="G662" t="s"/>
      <c r="H662" t="s"/>
      <c r="I662" t="s"/>
      <c r="J662" t="n">
        <v>0.5321</v>
      </c>
      <c r="K662" t="n">
        <v>0.067</v>
      </c>
      <c r="L662" t="n">
        <v>0.727</v>
      </c>
      <c r="M662" t="n">
        <v>0.206</v>
      </c>
    </row>
    <row r="663" spans="1:13">
      <c r="A663" s="1">
        <f>HYPERLINK("http://www.twitter.com/NathanBLawrence/status/997964239368282112", "997964239368282112")</f>
        <v/>
      </c>
      <c r="B663" s="2" t="n">
        <v>43239.928125</v>
      </c>
      <c r="C663" t="n">
        <v>0</v>
      </c>
      <c r="D663" t="n">
        <v>11</v>
      </c>
      <c r="E663" t="s">
        <v>669</v>
      </c>
      <c r="F663" t="s"/>
      <c r="G663" t="s"/>
      <c r="H663" t="s"/>
      <c r="I663" t="s"/>
      <c r="J663" t="n">
        <v>-0.34</v>
      </c>
      <c r="K663" t="n">
        <v>0.175</v>
      </c>
      <c r="L663" t="n">
        <v>0.825</v>
      </c>
      <c r="M663" t="n">
        <v>0</v>
      </c>
    </row>
    <row r="664" spans="1:13">
      <c r="A664" s="1">
        <f>HYPERLINK("http://www.twitter.com/NathanBLawrence/status/997964225216765958", "997964225216765958")</f>
        <v/>
      </c>
      <c r="B664" s="2" t="n">
        <v>43239.92809027778</v>
      </c>
      <c r="C664" t="n">
        <v>0</v>
      </c>
      <c r="D664" t="n">
        <v>5</v>
      </c>
      <c r="E664" t="s">
        <v>670</v>
      </c>
      <c r="F664" t="s"/>
      <c r="G664" t="s"/>
      <c r="H664" t="s"/>
      <c r="I664" t="s"/>
      <c r="J664" t="n">
        <v>0.2263</v>
      </c>
      <c r="K664" t="n">
        <v>0</v>
      </c>
      <c r="L664" t="n">
        <v>0.909</v>
      </c>
      <c r="M664" t="n">
        <v>0.091</v>
      </c>
    </row>
    <row r="665" spans="1:13">
      <c r="A665" s="1">
        <f>HYPERLINK("http://www.twitter.com/NathanBLawrence/status/997964193235161088", "997964193235161088")</f>
        <v/>
      </c>
      <c r="B665" s="2" t="n">
        <v>43239.92799768518</v>
      </c>
      <c r="C665" t="n">
        <v>0</v>
      </c>
      <c r="D665" t="n">
        <v>4</v>
      </c>
      <c r="E665" t="s">
        <v>671</v>
      </c>
      <c r="F665">
        <f>HYPERLINK("http://pbs.twimg.com/media/Ddl6rVJV4AA-V5d.jpg", "http://pbs.twimg.com/media/Ddl6rVJV4AA-V5d.jpg")</f>
        <v/>
      </c>
      <c r="G665" t="s"/>
      <c r="H665" t="s"/>
      <c r="I665" t="s"/>
      <c r="J665" t="n">
        <v>0</v>
      </c>
      <c r="K665" t="n">
        <v>0</v>
      </c>
      <c r="L665" t="n">
        <v>1</v>
      </c>
      <c r="M665" t="n">
        <v>0</v>
      </c>
    </row>
    <row r="666" spans="1:13">
      <c r="A666" s="1">
        <f>HYPERLINK("http://www.twitter.com/NathanBLawrence/status/997722566960828417", "997722566960828417")</f>
        <v/>
      </c>
      <c r="B666" s="2" t="n">
        <v>43239.26123842593</v>
      </c>
      <c r="C666" t="n">
        <v>0</v>
      </c>
      <c r="D666" t="n">
        <v>8743</v>
      </c>
      <c r="E666" t="s">
        <v>672</v>
      </c>
      <c r="F666" t="s"/>
      <c r="G666" t="s"/>
      <c r="H666" t="s"/>
      <c r="I666" t="s"/>
      <c r="J666" t="n">
        <v>0</v>
      </c>
      <c r="K666" t="n">
        <v>0</v>
      </c>
      <c r="L666" t="n">
        <v>1</v>
      </c>
      <c r="M666" t="n">
        <v>0</v>
      </c>
    </row>
    <row r="667" spans="1:13">
      <c r="A667" s="1">
        <f>HYPERLINK("http://www.twitter.com/NathanBLawrence/status/997722541933375489", "997722541933375489")</f>
        <v/>
      </c>
      <c r="B667" s="2" t="n">
        <v>43239.26116898148</v>
      </c>
      <c r="C667" t="n">
        <v>0</v>
      </c>
      <c r="D667" t="n">
        <v>2248</v>
      </c>
      <c r="E667" t="s">
        <v>673</v>
      </c>
      <c r="F667" t="s"/>
      <c r="G667" t="s"/>
      <c r="H667" t="s"/>
      <c r="I667" t="s"/>
      <c r="J667" t="n">
        <v>0</v>
      </c>
      <c r="K667" t="n">
        <v>0</v>
      </c>
      <c r="L667" t="n">
        <v>1</v>
      </c>
      <c r="M667" t="n">
        <v>0</v>
      </c>
    </row>
    <row r="668" spans="1:13">
      <c r="A668" s="1">
        <f>HYPERLINK("http://www.twitter.com/NathanBLawrence/status/997722529967075329", "997722529967075329")</f>
        <v/>
      </c>
      <c r="B668" s="2" t="n">
        <v>43239.26113425926</v>
      </c>
      <c r="C668" t="n">
        <v>0</v>
      </c>
      <c r="D668" t="n">
        <v>196</v>
      </c>
      <c r="E668" t="s">
        <v>674</v>
      </c>
      <c r="F668" t="s"/>
      <c r="G668" t="s"/>
      <c r="H668" t="s"/>
      <c r="I668" t="s"/>
      <c r="J668" t="n">
        <v>0</v>
      </c>
      <c r="K668" t="n">
        <v>0</v>
      </c>
      <c r="L668" t="n">
        <v>1</v>
      </c>
      <c r="M668" t="n">
        <v>0</v>
      </c>
    </row>
    <row r="669" spans="1:13">
      <c r="A669" s="1">
        <f>HYPERLINK("http://www.twitter.com/NathanBLawrence/status/997722510975225856", "997722510975225856")</f>
        <v/>
      </c>
      <c r="B669" s="2" t="n">
        <v>43239.26108796296</v>
      </c>
      <c r="C669" t="n">
        <v>0</v>
      </c>
      <c r="D669" t="n">
        <v>5049</v>
      </c>
      <c r="E669" t="s">
        <v>675</v>
      </c>
      <c r="F669" t="s"/>
      <c r="G669" t="s"/>
      <c r="H669" t="s"/>
      <c r="I669" t="s"/>
      <c r="J669" t="n">
        <v>0.3327</v>
      </c>
      <c r="K669" t="n">
        <v>0</v>
      </c>
      <c r="L669" t="n">
        <v>0.91</v>
      </c>
      <c r="M669" t="n">
        <v>0.09</v>
      </c>
    </row>
    <row r="670" spans="1:13">
      <c r="A670" s="1">
        <f>HYPERLINK("http://www.twitter.com/NathanBLawrence/status/997644067440865281", "997644067440865281")</f>
        <v/>
      </c>
      <c r="B670" s="2" t="n">
        <v>43239.04461805556</v>
      </c>
      <c r="C670" t="n">
        <v>0</v>
      </c>
      <c r="D670" t="n">
        <v>4</v>
      </c>
      <c r="E670" t="s">
        <v>676</v>
      </c>
      <c r="F670">
        <f>HYPERLINK("http://pbs.twimg.com/media/DdhMjvrUQAAdZE5.jpg", "http://pbs.twimg.com/media/DdhMjvrUQAAdZE5.jpg")</f>
        <v/>
      </c>
      <c r="G670" t="s"/>
      <c r="H670" t="s"/>
      <c r="I670" t="s"/>
      <c r="J670" t="n">
        <v>0</v>
      </c>
      <c r="K670" t="n">
        <v>0</v>
      </c>
      <c r="L670" t="n">
        <v>1</v>
      </c>
      <c r="M670" t="n">
        <v>0</v>
      </c>
    </row>
    <row r="671" spans="1:13">
      <c r="A671" s="1">
        <f>HYPERLINK("http://www.twitter.com/NathanBLawrence/status/997643731191914496", "997643731191914496")</f>
        <v/>
      </c>
      <c r="B671" s="2" t="n">
        <v>43239.04369212963</v>
      </c>
      <c r="C671" t="n">
        <v>0</v>
      </c>
      <c r="D671" t="n">
        <v>10</v>
      </c>
      <c r="E671" t="s">
        <v>677</v>
      </c>
      <c r="F671" t="s"/>
      <c r="G671" t="s"/>
      <c r="H671" t="s"/>
      <c r="I671" t="s"/>
      <c r="J671" t="n">
        <v>-0.6808</v>
      </c>
      <c r="K671" t="n">
        <v>0.18</v>
      </c>
      <c r="L671" t="n">
        <v>0.82</v>
      </c>
      <c r="M671" t="n">
        <v>0</v>
      </c>
    </row>
    <row r="672" spans="1:13">
      <c r="A672" s="1">
        <f>HYPERLINK("http://www.twitter.com/NathanBLawrence/status/997635146332495877", "997635146332495877")</f>
        <v/>
      </c>
      <c r="B672" s="2" t="n">
        <v>43239.02</v>
      </c>
      <c r="C672" t="n">
        <v>0</v>
      </c>
      <c r="D672" t="n">
        <v>9</v>
      </c>
      <c r="E672" t="s">
        <v>678</v>
      </c>
      <c r="F672">
        <f>HYPERLINK("http://pbs.twimg.com/media/DdhKmJ6VQAAyz4r.jpg", "http://pbs.twimg.com/media/DdhKmJ6VQAAyz4r.jpg")</f>
        <v/>
      </c>
      <c r="G672" t="s"/>
      <c r="H672" t="s"/>
      <c r="I672" t="s"/>
      <c r="J672" t="n">
        <v>-0.4199</v>
      </c>
      <c r="K672" t="n">
        <v>0.117</v>
      </c>
      <c r="L672" t="n">
        <v>0.883</v>
      </c>
      <c r="M672" t="n">
        <v>0</v>
      </c>
    </row>
    <row r="673" spans="1:13">
      <c r="A673" s="1">
        <f>HYPERLINK("http://www.twitter.com/NathanBLawrence/status/997634853402300417", "997634853402300417")</f>
        <v/>
      </c>
      <c r="B673" s="2" t="n">
        <v>43239.01918981481</v>
      </c>
      <c r="C673" t="n">
        <v>0</v>
      </c>
      <c r="D673" t="n">
        <v>1</v>
      </c>
      <c r="E673" t="s">
        <v>679</v>
      </c>
      <c r="F673">
        <f>HYPERLINK("http://pbs.twimg.com/media/DdhPcriVQAAOUWT.jpg", "http://pbs.twimg.com/media/DdhPcriVQAAOUWT.jpg")</f>
        <v/>
      </c>
      <c r="G673">
        <f>HYPERLINK("http://pbs.twimg.com/media/DdhPcrkU0AACrBC.jpg", "http://pbs.twimg.com/media/DdhPcrkU0AACrBC.jpg")</f>
        <v/>
      </c>
      <c r="H673">
        <f>HYPERLINK("http://pbs.twimg.com/media/DdhPcrjVwAAPDDB.jpg", "http://pbs.twimg.com/media/DdhPcrjVwAAPDDB.jpg")</f>
        <v/>
      </c>
      <c r="I673" t="s"/>
      <c r="J673" t="n">
        <v>0</v>
      </c>
      <c r="K673" t="n">
        <v>0</v>
      </c>
      <c r="L673" t="n">
        <v>1</v>
      </c>
      <c r="M673" t="n">
        <v>0</v>
      </c>
    </row>
    <row r="674" spans="1:13">
      <c r="A674" s="1">
        <f>HYPERLINK("http://www.twitter.com/NathanBLawrence/status/997634807730458624", "997634807730458624")</f>
        <v/>
      </c>
      <c r="B674" s="2" t="n">
        <v>43239.0190625</v>
      </c>
      <c r="C674" t="n">
        <v>0</v>
      </c>
      <c r="D674" t="n">
        <v>17</v>
      </c>
      <c r="E674" t="s">
        <v>680</v>
      </c>
      <c r="F674" t="s"/>
      <c r="G674" t="s"/>
      <c r="H674" t="s"/>
      <c r="I674" t="s"/>
      <c r="J674" t="n">
        <v>0</v>
      </c>
      <c r="K674" t="n">
        <v>0</v>
      </c>
      <c r="L674" t="n">
        <v>1</v>
      </c>
      <c r="M674" t="n">
        <v>0</v>
      </c>
    </row>
    <row r="675" spans="1:13">
      <c r="A675" s="1">
        <f>HYPERLINK("http://www.twitter.com/NathanBLawrence/status/997609540135870464", "997609540135870464")</f>
        <v/>
      </c>
      <c r="B675" s="2" t="n">
        <v>43238.94934027778</v>
      </c>
      <c r="C675" t="n">
        <v>0</v>
      </c>
      <c r="D675" t="n">
        <v>4</v>
      </c>
      <c r="E675" t="s">
        <v>681</v>
      </c>
      <c r="F675" t="s"/>
      <c r="G675" t="s"/>
      <c r="H675" t="s"/>
      <c r="I675" t="s"/>
      <c r="J675" t="n">
        <v>-0.6486</v>
      </c>
      <c r="K675" t="n">
        <v>0.209</v>
      </c>
      <c r="L675" t="n">
        <v>0.791</v>
      </c>
      <c r="M675" t="n">
        <v>0</v>
      </c>
    </row>
    <row r="676" spans="1:13">
      <c r="A676" s="1">
        <f>HYPERLINK("http://www.twitter.com/NathanBLawrence/status/997608719306362880", "997608719306362880")</f>
        <v/>
      </c>
      <c r="B676" s="2" t="n">
        <v>43238.94708333333</v>
      </c>
      <c r="C676" t="n">
        <v>0</v>
      </c>
      <c r="D676" t="n">
        <v>7</v>
      </c>
      <c r="E676" t="s">
        <v>682</v>
      </c>
      <c r="F676" t="s"/>
      <c r="G676" t="s"/>
      <c r="H676" t="s"/>
      <c r="I676" t="s"/>
      <c r="J676" t="n">
        <v>0.7088</v>
      </c>
      <c r="K676" t="n">
        <v>0</v>
      </c>
      <c r="L676" t="n">
        <v>0.796</v>
      </c>
      <c r="M676" t="n">
        <v>0.204</v>
      </c>
    </row>
    <row r="677" spans="1:13">
      <c r="A677" s="1">
        <f>HYPERLINK("http://www.twitter.com/NathanBLawrence/status/997608271551885312", "997608271551885312")</f>
        <v/>
      </c>
      <c r="B677" s="2" t="n">
        <v>43238.94584490741</v>
      </c>
      <c r="C677" t="n">
        <v>0</v>
      </c>
      <c r="D677" t="n">
        <v>24</v>
      </c>
      <c r="E677" t="s">
        <v>683</v>
      </c>
      <c r="F677" t="s"/>
      <c r="G677" t="s"/>
      <c r="H677" t="s"/>
      <c r="I677" t="s"/>
      <c r="J677" t="n">
        <v>0.4926</v>
      </c>
      <c r="K677" t="n">
        <v>0.054</v>
      </c>
      <c r="L677" t="n">
        <v>0.8080000000000001</v>
      </c>
      <c r="M677" t="n">
        <v>0.138</v>
      </c>
    </row>
    <row r="678" spans="1:13">
      <c r="A678" s="1">
        <f>HYPERLINK("http://www.twitter.com/NathanBLawrence/status/997608258323013632", "997608258323013632")</f>
        <v/>
      </c>
      <c r="B678" s="2" t="n">
        <v>43238.94581018519</v>
      </c>
      <c r="C678" t="n">
        <v>0</v>
      </c>
      <c r="D678" t="n">
        <v>25</v>
      </c>
      <c r="E678" t="s">
        <v>684</v>
      </c>
      <c r="F678" t="s"/>
      <c r="G678" t="s"/>
      <c r="H678" t="s"/>
      <c r="I678" t="s"/>
      <c r="J678" t="n">
        <v>0.5719</v>
      </c>
      <c r="K678" t="n">
        <v>0</v>
      </c>
      <c r="L678" t="n">
        <v>0.824</v>
      </c>
      <c r="M678" t="n">
        <v>0.176</v>
      </c>
    </row>
    <row r="679" spans="1:13">
      <c r="A679" s="1">
        <f>HYPERLINK("http://www.twitter.com/NathanBLawrence/status/997608249053646848", "997608249053646848")</f>
        <v/>
      </c>
      <c r="B679" s="2" t="n">
        <v>43238.94577546296</v>
      </c>
      <c r="C679" t="n">
        <v>0</v>
      </c>
      <c r="D679" t="n">
        <v>21</v>
      </c>
      <c r="E679" t="s">
        <v>685</v>
      </c>
      <c r="F679" t="s"/>
      <c r="G679" t="s"/>
      <c r="H679" t="s"/>
      <c r="I679" t="s"/>
      <c r="J679" t="n">
        <v>0.34</v>
      </c>
      <c r="K679" t="n">
        <v>0</v>
      </c>
      <c r="L679" t="n">
        <v>0.897</v>
      </c>
      <c r="M679" t="n">
        <v>0.103</v>
      </c>
    </row>
    <row r="680" spans="1:13">
      <c r="A680" s="1">
        <f>HYPERLINK("http://www.twitter.com/NathanBLawrence/status/997577694081568768", "997577694081568768")</f>
        <v/>
      </c>
      <c r="B680" s="2" t="n">
        <v>43238.86146990741</v>
      </c>
      <c r="C680" t="n">
        <v>0</v>
      </c>
      <c r="D680" t="n">
        <v>16</v>
      </c>
      <c r="E680" t="s">
        <v>686</v>
      </c>
      <c r="F680">
        <f>HYPERLINK("http://pbs.twimg.com/media/DdgZjAKWsAAtKh8.jpg", "http://pbs.twimg.com/media/DdgZjAKWsAAtKh8.jpg")</f>
        <v/>
      </c>
      <c r="G680" t="s"/>
      <c r="H680" t="s"/>
      <c r="I680" t="s"/>
      <c r="J680" t="n">
        <v>-0.2387</v>
      </c>
      <c r="K680" t="n">
        <v>0.176</v>
      </c>
      <c r="L680" t="n">
        <v>0.6889999999999999</v>
      </c>
      <c r="M680" t="n">
        <v>0.135</v>
      </c>
    </row>
    <row r="681" spans="1:13">
      <c r="A681" s="1">
        <f>HYPERLINK("http://www.twitter.com/NathanBLawrence/status/997577576746012672", "997577576746012672")</f>
        <v/>
      </c>
      <c r="B681" s="2" t="n">
        <v>43238.86114583333</v>
      </c>
      <c r="C681" t="n">
        <v>0</v>
      </c>
      <c r="D681" t="n">
        <v>437</v>
      </c>
      <c r="E681" t="s">
        <v>687</v>
      </c>
      <c r="F681" t="s"/>
      <c r="G681" t="s"/>
      <c r="H681" t="s"/>
      <c r="I681" t="s"/>
      <c r="J681" t="n">
        <v>-0.6808</v>
      </c>
      <c r="K681" t="n">
        <v>0.307</v>
      </c>
      <c r="L681" t="n">
        <v>0.593</v>
      </c>
      <c r="M681" t="n">
        <v>0.1</v>
      </c>
    </row>
    <row r="682" spans="1:13">
      <c r="A682" s="1">
        <f>HYPERLINK("http://www.twitter.com/NathanBLawrence/status/997577521657982977", "997577521657982977")</f>
        <v/>
      </c>
      <c r="B682" s="2" t="n">
        <v>43238.86098379629</v>
      </c>
      <c r="C682" t="n">
        <v>0</v>
      </c>
      <c r="D682" t="n">
        <v>64</v>
      </c>
      <c r="E682" t="s">
        <v>688</v>
      </c>
      <c r="F682" t="s"/>
      <c r="G682" t="s"/>
      <c r="H682" t="s"/>
      <c r="I682" t="s"/>
      <c r="J682" t="n">
        <v>0</v>
      </c>
      <c r="K682" t="n">
        <v>0</v>
      </c>
      <c r="L682" t="n">
        <v>1</v>
      </c>
      <c r="M682" t="n">
        <v>0</v>
      </c>
    </row>
    <row r="683" spans="1:13">
      <c r="A683" s="1">
        <f>HYPERLINK("http://www.twitter.com/NathanBLawrence/status/997577484014161920", "997577484014161920")</f>
        <v/>
      </c>
      <c r="B683" s="2" t="n">
        <v>43238.86087962963</v>
      </c>
      <c r="C683" t="n">
        <v>0</v>
      </c>
      <c r="D683" t="n">
        <v>1785</v>
      </c>
      <c r="E683" t="s">
        <v>689</v>
      </c>
      <c r="F683" t="s"/>
      <c r="G683" t="s"/>
      <c r="H683" t="s"/>
      <c r="I683" t="s"/>
      <c r="J683" t="n">
        <v>-0.6705</v>
      </c>
      <c r="K683" t="n">
        <v>0.216</v>
      </c>
      <c r="L683" t="n">
        <v>0.784</v>
      </c>
      <c r="M683" t="n">
        <v>0</v>
      </c>
    </row>
    <row r="684" spans="1:13">
      <c r="A684" s="1">
        <f>HYPERLINK("http://www.twitter.com/NathanBLawrence/status/997569486185287680", "997569486185287680")</f>
        <v/>
      </c>
      <c r="B684" s="2" t="n">
        <v>43238.83881944444</v>
      </c>
      <c r="C684" t="n">
        <v>0</v>
      </c>
      <c r="D684" t="n">
        <v>8</v>
      </c>
      <c r="E684" t="s">
        <v>690</v>
      </c>
      <c r="F684">
        <f>HYPERLINK("http://pbs.twimg.com/media/DdgScOVWAAIzHRE.jpg", "http://pbs.twimg.com/media/DdgScOVWAAIzHRE.jpg")</f>
        <v/>
      </c>
      <c r="G684" t="s"/>
      <c r="H684" t="s"/>
      <c r="I684" t="s"/>
      <c r="J684" t="n">
        <v>0.4329</v>
      </c>
      <c r="K684" t="n">
        <v>0</v>
      </c>
      <c r="L684" t="n">
        <v>0.885</v>
      </c>
      <c r="M684" t="n">
        <v>0.115</v>
      </c>
    </row>
    <row r="685" spans="1:13">
      <c r="A685" s="1">
        <f>HYPERLINK("http://www.twitter.com/NathanBLawrence/status/997569149869219840", "997569149869219840")</f>
        <v/>
      </c>
      <c r="B685" s="2" t="n">
        <v>43238.83788194445</v>
      </c>
      <c r="C685" t="n">
        <v>0</v>
      </c>
      <c r="D685" t="n">
        <v>38</v>
      </c>
      <c r="E685" t="s">
        <v>691</v>
      </c>
      <c r="F685" t="s"/>
      <c r="G685" t="s"/>
      <c r="H685" t="s"/>
      <c r="I685" t="s"/>
      <c r="J685" t="n">
        <v>0.2732</v>
      </c>
      <c r="K685" t="n">
        <v>0</v>
      </c>
      <c r="L685" t="n">
        <v>0.877</v>
      </c>
      <c r="M685" t="n">
        <v>0.123</v>
      </c>
    </row>
    <row r="686" spans="1:13">
      <c r="A686" s="1">
        <f>HYPERLINK("http://www.twitter.com/NathanBLawrence/status/997566046214205440", "997566046214205440")</f>
        <v/>
      </c>
      <c r="B686" s="2" t="n">
        <v>43238.82931712963</v>
      </c>
      <c r="C686" t="n">
        <v>0</v>
      </c>
      <c r="D686" t="n">
        <v>8</v>
      </c>
      <c r="E686" t="s">
        <v>692</v>
      </c>
      <c r="F686">
        <f>HYPERLINK("http://pbs.twimg.com/media/DdfQ_e3UwAMar0N.jpg", "http://pbs.twimg.com/media/DdfQ_e3UwAMar0N.jpg")</f>
        <v/>
      </c>
      <c r="G686" t="s"/>
      <c r="H686" t="s"/>
      <c r="I686" t="s"/>
      <c r="J686" t="n">
        <v>-0.2942</v>
      </c>
      <c r="K686" t="n">
        <v>0.097</v>
      </c>
      <c r="L686" t="n">
        <v>0.853</v>
      </c>
      <c r="M686" t="n">
        <v>0.05</v>
      </c>
    </row>
    <row r="687" spans="1:13">
      <c r="A687" s="1">
        <f>HYPERLINK("http://www.twitter.com/NathanBLawrence/status/997565973082378241", "997565973082378241")</f>
        <v/>
      </c>
      <c r="B687" s="2" t="n">
        <v>43238.82912037037</v>
      </c>
      <c r="C687" t="n">
        <v>0</v>
      </c>
      <c r="D687" t="n">
        <v>6169</v>
      </c>
      <c r="E687" t="s">
        <v>693</v>
      </c>
      <c r="F687" t="s"/>
      <c r="G687" t="s"/>
      <c r="H687" t="s"/>
      <c r="I687" t="s"/>
      <c r="J687" t="n">
        <v>0.0258</v>
      </c>
      <c r="K687" t="n">
        <v>0</v>
      </c>
      <c r="L687" t="n">
        <v>0.948</v>
      </c>
      <c r="M687" t="n">
        <v>0.052</v>
      </c>
    </row>
    <row r="688" spans="1:13">
      <c r="A688" s="1">
        <f>HYPERLINK("http://www.twitter.com/NathanBLawrence/status/997489573709144065", "997489573709144065")</f>
        <v/>
      </c>
      <c r="B688" s="2" t="n">
        <v>43238.61829861111</v>
      </c>
      <c r="C688" t="n">
        <v>0</v>
      </c>
      <c r="D688" t="n">
        <v>3</v>
      </c>
      <c r="E688" t="s">
        <v>694</v>
      </c>
      <c r="F688" t="s"/>
      <c r="G688" t="s"/>
      <c r="H688" t="s"/>
      <c r="I688" t="s"/>
      <c r="J688" t="n">
        <v>0</v>
      </c>
      <c r="K688" t="n">
        <v>0</v>
      </c>
      <c r="L688" t="n">
        <v>1</v>
      </c>
      <c r="M688" t="n">
        <v>0</v>
      </c>
    </row>
    <row r="689" spans="1:13">
      <c r="A689" s="1">
        <f>HYPERLINK("http://www.twitter.com/NathanBLawrence/status/997489544495845382", "997489544495845382")</f>
        <v/>
      </c>
      <c r="B689" s="2" t="n">
        <v>43238.61821759259</v>
      </c>
      <c r="C689" t="n">
        <v>0</v>
      </c>
      <c r="D689" t="n">
        <v>3876</v>
      </c>
      <c r="E689" t="s">
        <v>695</v>
      </c>
      <c r="F689" t="s"/>
      <c r="G689" t="s"/>
      <c r="H689" t="s"/>
      <c r="I689" t="s"/>
      <c r="J689" t="n">
        <v>0</v>
      </c>
      <c r="K689" t="n">
        <v>0</v>
      </c>
      <c r="L689" t="n">
        <v>1</v>
      </c>
      <c r="M689" t="n">
        <v>0</v>
      </c>
    </row>
    <row r="690" spans="1:13">
      <c r="A690" s="1">
        <f>HYPERLINK("http://www.twitter.com/NathanBLawrence/status/997355315531337729", "997355315531337729")</f>
        <v/>
      </c>
      <c r="B690" s="2" t="n">
        <v>43238.2478125</v>
      </c>
      <c r="C690" t="n">
        <v>0</v>
      </c>
      <c r="D690" t="n">
        <v>11</v>
      </c>
      <c r="E690" t="s">
        <v>696</v>
      </c>
      <c r="F690">
        <f>HYPERLINK("http://pbs.twimg.com/media/DdcwKkOUQAAfQve.jpg", "http://pbs.twimg.com/media/DdcwKkOUQAAfQve.jpg")</f>
        <v/>
      </c>
      <c r="G690" t="s"/>
      <c r="H690" t="s"/>
      <c r="I690" t="s"/>
      <c r="J690" t="n">
        <v>-0.4767</v>
      </c>
      <c r="K690" t="n">
        <v>0.134</v>
      </c>
      <c r="L690" t="n">
        <v>0.866</v>
      </c>
      <c r="M690" t="n">
        <v>0</v>
      </c>
    </row>
    <row r="691" spans="1:13">
      <c r="A691" s="1">
        <f>HYPERLINK("http://www.twitter.com/NathanBLawrence/status/997355195918180352", "997355195918180352")</f>
        <v/>
      </c>
      <c r="B691" s="2" t="n">
        <v>43238.24748842593</v>
      </c>
      <c r="C691" t="n">
        <v>7</v>
      </c>
      <c r="D691" t="n">
        <v>3</v>
      </c>
      <c r="E691" t="s">
        <v>697</v>
      </c>
      <c r="F691" t="s"/>
      <c r="G691" t="s"/>
      <c r="H691" t="s"/>
      <c r="I691" t="s"/>
      <c r="J691" t="n">
        <v>-0.6124000000000001</v>
      </c>
      <c r="K691" t="n">
        <v>0.143</v>
      </c>
      <c r="L691" t="n">
        <v>0.8110000000000001</v>
      </c>
      <c r="M691" t="n">
        <v>0.046</v>
      </c>
    </row>
    <row r="692" spans="1:13">
      <c r="A692" s="1">
        <f>HYPERLINK("http://www.twitter.com/NathanBLawrence/status/997316896625168385", "997316896625168385")</f>
        <v/>
      </c>
      <c r="B692" s="2" t="n">
        <v>43238.14180555556</v>
      </c>
      <c r="C692" t="n">
        <v>0</v>
      </c>
      <c r="D692" t="n">
        <v>7</v>
      </c>
      <c r="E692" t="s">
        <v>698</v>
      </c>
      <c r="F692" t="s"/>
      <c r="G692" t="s"/>
      <c r="H692" t="s"/>
      <c r="I692" t="s"/>
      <c r="J692" t="n">
        <v>-0.6808</v>
      </c>
      <c r="K692" t="n">
        <v>0.258</v>
      </c>
      <c r="L692" t="n">
        <v>0.66</v>
      </c>
      <c r="M692" t="n">
        <v>0.082</v>
      </c>
    </row>
    <row r="693" spans="1:13">
      <c r="A693" s="1">
        <f>HYPERLINK("http://www.twitter.com/NathanBLawrence/status/997316800667844608", "997316800667844608")</f>
        <v/>
      </c>
      <c r="B693" s="2" t="n">
        <v>43238.14153935185</v>
      </c>
      <c r="C693" t="n">
        <v>1</v>
      </c>
      <c r="D693" t="n">
        <v>0</v>
      </c>
      <c r="E693" t="s">
        <v>699</v>
      </c>
      <c r="F693" t="s"/>
      <c r="G693" t="s"/>
      <c r="H693" t="s"/>
      <c r="I693" t="s"/>
      <c r="J693" t="n">
        <v>-0.4019</v>
      </c>
      <c r="K693" t="n">
        <v>0.213</v>
      </c>
      <c r="L693" t="n">
        <v>0.787</v>
      </c>
      <c r="M693" t="n">
        <v>0</v>
      </c>
    </row>
    <row r="694" spans="1:13">
      <c r="A694" s="1">
        <f>HYPERLINK("http://www.twitter.com/NathanBLawrence/status/997316663577063424", "997316663577063424")</f>
        <v/>
      </c>
      <c r="B694" s="2" t="n">
        <v>43238.14115740741</v>
      </c>
      <c r="C694" t="n">
        <v>0</v>
      </c>
      <c r="D694" t="n">
        <v>0</v>
      </c>
      <c r="E694" t="s">
        <v>700</v>
      </c>
      <c r="F694" t="s"/>
      <c r="G694" t="s"/>
      <c r="H694" t="s"/>
      <c r="I694" t="s"/>
      <c r="J694" t="n">
        <v>-0.5994</v>
      </c>
      <c r="K694" t="n">
        <v>0.259</v>
      </c>
      <c r="L694" t="n">
        <v>0.741</v>
      </c>
      <c r="M694" t="n">
        <v>0</v>
      </c>
    </row>
    <row r="695" spans="1:13">
      <c r="A695" s="1">
        <f>HYPERLINK("http://www.twitter.com/NathanBLawrence/status/997316471763144704", "997316471763144704")</f>
        <v/>
      </c>
      <c r="B695" s="2" t="n">
        <v>43238.140625</v>
      </c>
      <c r="C695" t="n">
        <v>0</v>
      </c>
      <c r="D695" t="n">
        <v>2</v>
      </c>
      <c r="E695" t="s">
        <v>701</v>
      </c>
      <c r="F695" t="s"/>
      <c r="G695" t="s"/>
      <c r="H695" t="s"/>
      <c r="I695" t="s"/>
      <c r="J695" t="n">
        <v>-0.3612</v>
      </c>
      <c r="K695" t="n">
        <v>0.122</v>
      </c>
      <c r="L695" t="n">
        <v>0.878</v>
      </c>
      <c r="M695" t="n">
        <v>0</v>
      </c>
    </row>
    <row r="696" spans="1:13">
      <c r="A696" s="1">
        <f>HYPERLINK("http://www.twitter.com/NathanBLawrence/status/997316431657230336", "997316431657230336")</f>
        <v/>
      </c>
      <c r="B696" s="2" t="n">
        <v>43238.14052083333</v>
      </c>
      <c r="C696" t="n">
        <v>0</v>
      </c>
      <c r="D696" t="n">
        <v>9</v>
      </c>
      <c r="E696" t="s">
        <v>702</v>
      </c>
      <c r="F696">
        <f>HYPERLINK("http://pbs.twimg.com/media/DdccnAzVQAAw2tx.jpg", "http://pbs.twimg.com/media/DdccnAzVQAAw2tx.jpg")</f>
        <v/>
      </c>
      <c r="G696" t="s"/>
      <c r="H696" t="s"/>
      <c r="I696" t="s"/>
      <c r="J696" t="n">
        <v>0.4939</v>
      </c>
      <c r="K696" t="n">
        <v>0</v>
      </c>
      <c r="L696" t="n">
        <v>0.868</v>
      </c>
      <c r="M696" t="n">
        <v>0.132</v>
      </c>
    </row>
    <row r="697" spans="1:13">
      <c r="A697" s="1">
        <f>HYPERLINK("http://www.twitter.com/NathanBLawrence/status/997316420605235200", "997316420605235200")</f>
        <v/>
      </c>
      <c r="B697" s="2" t="n">
        <v>43238.14048611111</v>
      </c>
      <c r="C697" t="n">
        <v>0</v>
      </c>
      <c r="D697" t="n">
        <v>5</v>
      </c>
      <c r="E697" t="s">
        <v>703</v>
      </c>
      <c r="F697" t="s"/>
      <c r="G697" t="s"/>
      <c r="H697" t="s"/>
      <c r="I697" t="s"/>
      <c r="J697" t="n">
        <v>-0.1027</v>
      </c>
      <c r="K697" t="n">
        <v>0.06</v>
      </c>
      <c r="L697" t="n">
        <v>0.9399999999999999</v>
      </c>
      <c r="M697" t="n">
        <v>0</v>
      </c>
    </row>
    <row r="698" spans="1:13">
      <c r="A698" s="1">
        <f>HYPERLINK("http://www.twitter.com/NathanBLawrence/status/997316178581311488", "997316178581311488")</f>
        <v/>
      </c>
      <c r="B698" s="2" t="n">
        <v>43238.13981481481</v>
      </c>
      <c r="C698" t="n">
        <v>9</v>
      </c>
      <c r="D698" t="n">
        <v>7</v>
      </c>
      <c r="E698" t="s">
        <v>704</v>
      </c>
      <c r="F698" t="s"/>
      <c r="G698" t="s"/>
      <c r="H698" t="s"/>
      <c r="I698" t="s"/>
      <c r="J698" t="n">
        <v>-0.6808</v>
      </c>
      <c r="K698" t="n">
        <v>0.258</v>
      </c>
      <c r="L698" t="n">
        <v>0.66</v>
      </c>
      <c r="M698" t="n">
        <v>0.082</v>
      </c>
    </row>
    <row r="699" spans="1:13">
      <c r="A699" s="1">
        <f>HYPERLINK("http://www.twitter.com/NathanBLawrence/status/997315846920900608", "997315846920900608")</f>
        <v/>
      </c>
      <c r="B699" s="2" t="n">
        <v>43238.13890046296</v>
      </c>
      <c r="C699" t="n">
        <v>0</v>
      </c>
      <c r="D699" t="n">
        <v>5</v>
      </c>
      <c r="E699" t="s">
        <v>705</v>
      </c>
      <c r="F699">
        <f>HYPERLINK("http://pbs.twimg.com/media/Ddcd8TMXkAEOkz9.jpg", "http://pbs.twimg.com/media/Ddcd8TMXkAEOkz9.jpg")</f>
        <v/>
      </c>
      <c r="G699" t="s"/>
      <c r="H699" t="s"/>
      <c r="I699" t="s"/>
      <c r="J699" t="n">
        <v>0</v>
      </c>
      <c r="K699" t="n">
        <v>0</v>
      </c>
      <c r="L699" t="n">
        <v>1</v>
      </c>
      <c r="M699" t="n">
        <v>0</v>
      </c>
    </row>
    <row r="700" spans="1:13">
      <c r="A700" s="1">
        <f>HYPERLINK("http://www.twitter.com/NathanBLawrence/status/997306662489853952", "997306662489853952")</f>
        <v/>
      </c>
      <c r="B700" s="2" t="n">
        <v>43238.11356481481</v>
      </c>
      <c r="C700" t="n">
        <v>0</v>
      </c>
      <c r="D700" t="n">
        <v>3877</v>
      </c>
      <c r="E700" t="s">
        <v>706</v>
      </c>
      <c r="F700" t="s"/>
      <c r="G700" t="s"/>
      <c r="H700" t="s"/>
      <c r="I700" t="s"/>
      <c r="J700" t="n">
        <v>0.3818</v>
      </c>
      <c r="K700" t="n">
        <v>0</v>
      </c>
      <c r="L700" t="n">
        <v>0.89</v>
      </c>
      <c r="M700" t="n">
        <v>0.11</v>
      </c>
    </row>
    <row r="701" spans="1:13">
      <c r="A701" s="1">
        <f>HYPERLINK("http://www.twitter.com/NathanBLawrence/status/997306629170311173", "997306629170311173")</f>
        <v/>
      </c>
      <c r="B701" s="2" t="n">
        <v>43238.11347222222</v>
      </c>
      <c r="C701" t="n">
        <v>0</v>
      </c>
      <c r="D701" t="n">
        <v>284</v>
      </c>
      <c r="E701" t="s">
        <v>707</v>
      </c>
      <c r="F701" t="s"/>
      <c r="G701" t="s"/>
      <c r="H701" t="s"/>
      <c r="I701" t="s"/>
      <c r="J701" t="n">
        <v>-0.5266999999999999</v>
      </c>
      <c r="K701" t="n">
        <v>0.139</v>
      </c>
      <c r="L701" t="n">
        <v>0.861</v>
      </c>
      <c r="M701" t="n">
        <v>0</v>
      </c>
    </row>
    <row r="702" spans="1:13">
      <c r="A702" s="1">
        <f>HYPERLINK("http://www.twitter.com/NathanBLawrence/status/997303057170956288", "997303057170956288")</f>
        <v/>
      </c>
      <c r="B702" s="2" t="n">
        <v>43238.10361111111</v>
      </c>
      <c r="C702" t="n">
        <v>0</v>
      </c>
      <c r="D702" t="n">
        <v>15</v>
      </c>
      <c r="E702" t="s">
        <v>708</v>
      </c>
      <c r="F702" t="s"/>
      <c r="G702" t="s"/>
      <c r="H702" t="s"/>
      <c r="I702" t="s"/>
      <c r="J702" t="n">
        <v>0.5707</v>
      </c>
      <c r="K702" t="n">
        <v>0</v>
      </c>
      <c r="L702" t="n">
        <v>0.822</v>
      </c>
      <c r="M702" t="n">
        <v>0.178</v>
      </c>
    </row>
    <row r="703" spans="1:13">
      <c r="A703" s="1">
        <f>HYPERLINK("http://www.twitter.com/NathanBLawrence/status/997303011792818176", "997303011792818176")</f>
        <v/>
      </c>
      <c r="B703" s="2" t="n">
        <v>43238.10348379629</v>
      </c>
      <c r="C703" t="n">
        <v>0</v>
      </c>
      <c r="D703" t="n">
        <v>13</v>
      </c>
      <c r="E703" t="s">
        <v>709</v>
      </c>
      <c r="F703" t="s"/>
      <c r="G703" t="s"/>
      <c r="H703" t="s"/>
      <c r="I703" t="s"/>
      <c r="J703" t="n">
        <v>-0.6808</v>
      </c>
      <c r="K703" t="n">
        <v>0.229</v>
      </c>
      <c r="L703" t="n">
        <v>0.714</v>
      </c>
      <c r="M703" t="n">
        <v>0.056</v>
      </c>
    </row>
    <row r="704" spans="1:13">
      <c r="A704" s="1">
        <f>HYPERLINK("http://www.twitter.com/NathanBLawrence/status/997264767923482624", "997264767923482624")</f>
        <v/>
      </c>
      <c r="B704" s="2" t="n">
        <v>43237.99795138889</v>
      </c>
      <c r="C704" t="n">
        <v>0</v>
      </c>
      <c r="D704" t="n">
        <v>16777</v>
      </c>
      <c r="E704" t="s">
        <v>710</v>
      </c>
      <c r="F704" t="s"/>
      <c r="G704" t="s"/>
      <c r="H704" t="s"/>
      <c r="I704" t="s"/>
      <c r="J704" t="n">
        <v>0.8807</v>
      </c>
      <c r="K704" t="n">
        <v>0</v>
      </c>
      <c r="L704" t="n">
        <v>0.651</v>
      </c>
      <c r="M704" t="n">
        <v>0.349</v>
      </c>
    </row>
    <row r="705" spans="1:13">
      <c r="A705" s="1">
        <f>HYPERLINK("http://www.twitter.com/NathanBLawrence/status/997245619113607168", "997245619113607168")</f>
        <v/>
      </c>
      <c r="B705" s="2" t="n">
        <v>43237.94511574074</v>
      </c>
      <c r="C705" t="n">
        <v>0</v>
      </c>
      <c r="D705" t="n">
        <v>5</v>
      </c>
      <c r="E705" t="s">
        <v>711</v>
      </c>
      <c r="F705" t="s"/>
      <c r="G705" t="s"/>
      <c r="H705" t="s"/>
      <c r="I705" t="s"/>
      <c r="J705" t="n">
        <v>0</v>
      </c>
      <c r="K705" t="n">
        <v>0</v>
      </c>
      <c r="L705" t="n">
        <v>1</v>
      </c>
      <c r="M705" t="n">
        <v>0</v>
      </c>
    </row>
    <row r="706" spans="1:13">
      <c r="A706" s="1">
        <f>HYPERLINK("http://www.twitter.com/NathanBLawrence/status/997245581562073088", "997245581562073088")</f>
        <v/>
      </c>
      <c r="B706" s="2" t="n">
        <v>43237.94501157408</v>
      </c>
      <c r="C706" t="n">
        <v>0</v>
      </c>
      <c r="D706" t="n">
        <v>11</v>
      </c>
      <c r="E706" t="s">
        <v>712</v>
      </c>
      <c r="F706">
        <f>HYPERLINK("http://pbs.twimg.com/media/DdbikuSU8AAx2P_.jpg", "http://pbs.twimg.com/media/DdbikuSU8AAx2P_.jpg")</f>
        <v/>
      </c>
      <c r="G706" t="s"/>
      <c r="H706" t="s"/>
      <c r="I706" t="s"/>
      <c r="J706" t="n">
        <v>0</v>
      </c>
      <c r="K706" t="n">
        <v>0</v>
      </c>
      <c r="L706" t="n">
        <v>1</v>
      </c>
      <c r="M706" t="n">
        <v>0</v>
      </c>
    </row>
    <row r="707" spans="1:13">
      <c r="A707" s="1">
        <f>HYPERLINK("http://www.twitter.com/NathanBLawrence/status/997245502411497472", "997245502411497472")</f>
        <v/>
      </c>
      <c r="B707" s="2" t="n">
        <v>43237.94479166667</v>
      </c>
      <c r="C707" t="n">
        <v>0</v>
      </c>
      <c r="D707" t="n">
        <v>6</v>
      </c>
      <c r="E707" t="s">
        <v>713</v>
      </c>
      <c r="F707" t="s"/>
      <c r="G707" t="s"/>
      <c r="H707" t="s"/>
      <c r="I707" t="s"/>
      <c r="J707" t="n">
        <v>0.4215</v>
      </c>
      <c r="K707" t="n">
        <v>0</v>
      </c>
      <c r="L707" t="n">
        <v>0.865</v>
      </c>
      <c r="M707" t="n">
        <v>0.135</v>
      </c>
    </row>
    <row r="708" spans="1:13">
      <c r="A708" s="1">
        <f>HYPERLINK("http://www.twitter.com/NathanBLawrence/status/997245427459112961", "997245427459112961")</f>
        <v/>
      </c>
      <c r="B708" s="2" t="n">
        <v>43237.94458333333</v>
      </c>
      <c r="C708" t="n">
        <v>0</v>
      </c>
      <c r="D708" t="n">
        <v>9</v>
      </c>
      <c r="E708" t="s">
        <v>714</v>
      </c>
      <c r="F708">
        <f>HYPERLINK("http://pbs.twimg.com/media/DdbkEvOU8AASizv.jpg", "http://pbs.twimg.com/media/DdbkEvOU8AASizv.jpg")</f>
        <v/>
      </c>
      <c r="G708" t="s"/>
      <c r="H708" t="s"/>
      <c r="I708" t="s"/>
      <c r="J708" t="n">
        <v>0</v>
      </c>
      <c r="K708" t="n">
        <v>0</v>
      </c>
      <c r="L708" t="n">
        <v>1</v>
      </c>
      <c r="M708" t="n">
        <v>0</v>
      </c>
    </row>
    <row r="709" spans="1:13">
      <c r="A709" s="1">
        <f>HYPERLINK("http://www.twitter.com/NathanBLawrence/status/997245397226737671", "997245397226737671")</f>
        <v/>
      </c>
      <c r="B709" s="2" t="n">
        <v>43237.94450231481</v>
      </c>
      <c r="C709" t="n">
        <v>0</v>
      </c>
      <c r="D709" t="n">
        <v>6</v>
      </c>
      <c r="E709" t="s">
        <v>715</v>
      </c>
      <c r="F709" t="s"/>
      <c r="G709" t="s"/>
      <c r="H709" t="s"/>
      <c r="I709" t="s"/>
      <c r="J709" t="n">
        <v>-0.2732</v>
      </c>
      <c r="K709" t="n">
        <v>0.08699999999999999</v>
      </c>
      <c r="L709" t="n">
        <v>0.913</v>
      </c>
      <c r="M709" t="n">
        <v>0</v>
      </c>
    </row>
    <row r="710" spans="1:13">
      <c r="A710" s="1">
        <f>HYPERLINK("http://www.twitter.com/NathanBLawrence/status/997245333649461248", "997245333649461248")</f>
        <v/>
      </c>
      <c r="B710" s="2" t="n">
        <v>43237.94432870371</v>
      </c>
      <c r="C710" t="n">
        <v>0</v>
      </c>
      <c r="D710" t="n">
        <v>15</v>
      </c>
      <c r="E710" t="s">
        <v>716</v>
      </c>
      <c r="F710" t="s"/>
      <c r="G710" t="s"/>
      <c r="H710" t="s"/>
      <c r="I710" t="s"/>
      <c r="J710" t="n">
        <v>-0.3034</v>
      </c>
      <c r="K710" t="n">
        <v>0.122</v>
      </c>
      <c r="L710" t="n">
        <v>0.878</v>
      </c>
      <c r="M710" t="n">
        <v>0</v>
      </c>
    </row>
    <row r="711" spans="1:13">
      <c r="A711" s="1">
        <f>HYPERLINK("http://www.twitter.com/NathanBLawrence/status/997245316230537217", "997245316230537217")</f>
        <v/>
      </c>
      <c r="B711" s="2" t="n">
        <v>43237.94427083333</v>
      </c>
      <c r="C711" t="n">
        <v>0</v>
      </c>
      <c r="D711" t="n">
        <v>1</v>
      </c>
      <c r="E711" t="s">
        <v>717</v>
      </c>
      <c r="F711" t="s"/>
      <c r="G711" t="s"/>
      <c r="H711" t="s"/>
      <c r="I711" t="s"/>
      <c r="J711" t="n">
        <v>-0.5423</v>
      </c>
      <c r="K711" t="n">
        <v>0.333</v>
      </c>
      <c r="L711" t="n">
        <v>0.667</v>
      </c>
      <c r="M711" t="n">
        <v>0</v>
      </c>
    </row>
    <row r="712" spans="1:13">
      <c r="A712" s="1">
        <f>HYPERLINK("http://www.twitter.com/NathanBLawrence/status/997245028761264128", "997245028761264128")</f>
        <v/>
      </c>
      <c r="B712" s="2" t="n">
        <v>43237.9434837963</v>
      </c>
      <c r="C712" t="n">
        <v>0</v>
      </c>
      <c r="D712" t="n">
        <v>9</v>
      </c>
      <c r="E712" t="s">
        <v>718</v>
      </c>
      <c r="F712">
        <f>HYPERLINK("http://pbs.twimg.com/media/DdbYGqaUQAAaabw.jpg", "http://pbs.twimg.com/media/DdbYGqaUQAAaabw.jpg")</f>
        <v/>
      </c>
      <c r="G712" t="s"/>
      <c r="H712" t="s"/>
      <c r="I712" t="s"/>
      <c r="J712" t="n">
        <v>0</v>
      </c>
      <c r="K712" t="n">
        <v>0</v>
      </c>
      <c r="L712" t="n">
        <v>1</v>
      </c>
      <c r="M712" t="n">
        <v>0</v>
      </c>
    </row>
    <row r="713" spans="1:13">
      <c r="A713" s="1">
        <f>HYPERLINK("http://www.twitter.com/NathanBLawrence/status/997224397311225856", "997224397311225856")</f>
        <v/>
      </c>
      <c r="B713" s="2" t="n">
        <v>43237.88655092593</v>
      </c>
      <c r="C713" t="n">
        <v>0</v>
      </c>
      <c r="D713" t="n">
        <v>0</v>
      </c>
      <c r="E713" t="s">
        <v>719</v>
      </c>
      <c r="F713" t="s"/>
      <c r="G713" t="s"/>
      <c r="H713" t="s"/>
      <c r="I713" t="s"/>
      <c r="J713" t="n">
        <v>0.4213</v>
      </c>
      <c r="K713" t="n">
        <v>0</v>
      </c>
      <c r="L713" t="n">
        <v>0.853</v>
      </c>
      <c r="M713" t="n">
        <v>0.147</v>
      </c>
    </row>
    <row r="714" spans="1:13">
      <c r="A714" s="1">
        <f>HYPERLINK("http://www.twitter.com/NathanBLawrence/status/997224283582681088", "997224283582681088")</f>
        <v/>
      </c>
      <c r="B714" s="2" t="n">
        <v>43237.88623842593</v>
      </c>
      <c r="C714" t="n">
        <v>0</v>
      </c>
      <c r="D714" t="n">
        <v>0</v>
      </c>
      <c r="E714" t="s">
        <v>720</v>
      </c>
      <c r="F714" t="s"/>
      <c r="G714" t="s"/>
      <c r="H714" t="s"/>
      <c r="I714" t="s"/>
      <c r="J714" t="n">
        <v>0.6887</v>
      </c>
      <c r="K714" t="n">
        <v>0</v>
      </c>
      <c r="L714" t="n">
        <v>0.853</v>
      </c>
      <c r="M714" t="n">
        <v>0.147</v>
      </c>
    </row>
    <row r="715" spans="1:13">
      <c r="A715" s="1">
        <f>HYPERLINK("http://www.twitter.com/NathanBLawrence/status/997224025188380672", "997224025188380672")</f>
        <v/>
      </c>
      <c r="B715" s="2" t="n">
        <v>43237.88552083333</v>
      </c>
      <c r="C715" t="n">
        <v>0</v>
      </c>
      <c r="D715" t="n">
        <v>0</v>
      </c>
      <c r="E715" t="s">
        <v>721</v>
      </c>
      <c r="F715" t="s"/>
      <c r="G715" t="s"/>
      <c r="H715" t="s"/>
      <c r="I715" t="s"/>
      <c r="J715" t="n">
        <v>0.6044</v>
      </c>
      <c r="K715" t="n">
        <v>0.089</v>
      </c>
      <c r="L715" t="n">
        <v>0.724</v>
      </c>
      <c r="M715" t="n">
        <v>0.187</v>
      </c>
    </row>
    <row r="716" spans="1:13">
      <c r="A716" s="1">
        <f>HYPERLINK("http://www.twitter.com/NathanBLawrence/status/997223699873968128", "997223699873968128")</f>
        <v/>
      </c>
      <c r="B716" s="2" t="n">
        <v>43237.88462962963</v>
      </c>
      <c r="C716" t="n">
        <v>0</v>
      </c>
      <c r="D716" t="n">
        <v>0</v>
      </c>
      <c r="E716" t="s">
        <v>722</v>
      </c>
      <c r="F716" t="s"/>
      <c r="G716" t="s"/>
      <c r="H716" t="s"/>
      <c r="I716" t="s"/>
      <c r="J716" t="n">
        <v>0</v>
      </c>
      <c r="K716" t="n">
        <v>0</v>
      </c>
      <c r="L716" t="n">
        <v>1</v>
      </c>
      <c r="M716" t="n">
        <v>0</v>
      </c>
    </row>
    <row r="717" spans="1:13">
      <c r="A717" s="1">
        <f>HYPERLINK("http://www.twitter.com/NathanBLawrence/status/997223366762422277", "997223366762422277")</f>
        <v/>
      </c>
      <c r="B717" s="2" t="n">
        <v>43237.8837037037</v>
      </c>
      <c r="C717" t="n">
        <v>0</v>
      </c>
      <c r="D717" t="n">
        <v>4</v>
      </c>
      <c r="E717" t="s">
        <v>723</v>
      </c>
      <c r="F717" t="s"/>
      <c r="G717" t="s"/>
      <c r="H717" t="s"/>
      <c r="I717" t="s"/>
      <c r="J717" t="n">
        <v>0.7351</v>
      </c>
      <c r="K717" t="n">
        <v>0</v>
      </c>
      <c r="L717" t="n">
        <v>0.78</v>
      </c>
      <c r="M717" t="n">
        <v>0.22</v>
      </c>
    </row>
    <row r="718" spans="1:13">
      <c r="A718" s="1">
        <f>HYPERLINK("http://www.twitter.com/NathanBLawrence/status/997223349511184385", "997223349511184385")</f>
        <v/>
      </c>
      <c r="B718" s="2" t="n">
        <v>43237.88365740741</v>
      </c>
      <c r="C718" t="n">
        <v>0</v>
      </c>
      <c r="D718" t="n">
        <v>10</v>
      </c>
      <c r="E718" t="s">
        <v>724</v>
      </c>
      <c r="F718" t="s"/>
      <c r="G718" t="s"/>
      <c r="H718" t="s"/>
      <c r="I718" t="s"/>
      <c r="J718" t="n">
        <v>0.4767</v>
      </c>
      <c r="K718" t="n">
        <v>0.08599999999999999</v>
      </c>
      <c r="L718" t="n">
        <v>0.722</v>
      </c>
      <c r="M718" t="n">
        <v>0.192</v>
      </c>
    </row>
    <row r="719" spans="1:13">
      <c r="A719" s="1">
        <f>HYPERLINK("http://www.twitter.com/NathanBLawrence/status/997223308818112512", "997223308818112512")</f>
        <v/>
      </c>
      <c r="B719" s="2" t="n">
        <v>43237.88354166667</v>
      </c>
      <c r="C719" t="n">
        <v>0</v>
      </c>
      <c r="D719" t="n">
        <v>4</v>
      </c>
      <c r="E719" t="s">
        <v>725</v>
      </c>
      <c r="F719" t="s"/>
      <c r="G719" t="s"/>
      <c r="H719" t="s"/>
      <c r="I719" t="s"/>
      <c r="J719" t="n">
        <v>0.3736</v>
      </c>
      <c r="K719" t="n">
        <v>0.054</v>
      </c>
      <c r="L719" t="n">
        <v>0.786</v>
      </c>
      <c r="M719" t="n">
        <v>0.16</v>
      </c>
    </row>
    <row r="720" spans="1:13">
      <c r="A720" s="1">
        <f>HYPERLINK("http://www.twitter.com/NathanBLawrence/status/997223266854096896", "997223266854096896")</f>
        <v/>
      </c>
      <c r="B720" s="2" t="n">
        <v>43237.88342592592</v>
      </c>
      <c r="C720" t="n">
        <v>0</v>
      </c>
      <c r="D720" t="n">
        <v>1</v>
      </c>
      <c r="E720" t="s">
        <v>726</v>
      </c>
      <c r="F720" t="s"/>
      <c r="G720" t="s"/>
      <c r="H720" t="s"/>
      <c r="I720" t="s"/>
      <c r="J720" t="n">
        <v>0</v>
      </c>
      <c r="K720" t="n">
        <v>0</v>
      </c>
      <c r="L720" t="n">
        <v>1</v>
      </c>
      <c r="M720" t="n">
        <v>0</v>
      </c>
    </row>
    <row r="721" spans="1:13">
      <c r="A721" s="1">
        <f>HYPERLINK("http://www.twitter.com/NathanBLawrence/status/997223226060279809", "997223226060279809")</f>
        <v/>
      </c>
      <c r="B721" s="2" t="n">
        <v>43237.88332175926</v>
      </c>
      <c r="C721" t="n">
        <v>0</v>
      </c>
      <c r="D721" t="n">
        <v>1</v>
      </c>
      <c r="E721" t="s">
        <v>727</v>
      </c>
      <c r="F721" t="s"/>
      <c r="G721" t="s"/>
      <c r="H721" t="s"/>
      <c r="I721" t="s"/>
      <c r="J721" t="n">
        <v>0</v>
      </c>
      <c r="K721" t="n">
        <v>0</v>
      </c>
      <c r="L721" t="n">
        <v>1</v>
      </c>
      <c r="M721" t="n">
        <v>0</v>
      </c>
    </row>
    <row r="722" spans="1:13">
      <c r="A722" s="1">
        <f>HYPERLINK("http://www.twitter.com/NathanBLawrence/status/997223212835590145", "997223212835590145")</f>
        <v/>
      </c>
      <c r="B722" s="2" t="n">
        <v>43237.88328703704</v>
      </c>
      <c r="C722" t="n">
        <v>0</v>
      </c>
      <c r="D722" t="n">
        <v>3</v>
      </c>
      <c r="E722" t="s">
        <v>728</v>
      </c>
      <c r="F722" t="s"/>
      <c r="G722" t="s"/>
      <c r="H722" t="s"/>
      <c r="I722" t="s"/>
      <c r="J722" t="n">
        <v>0</v>
      </c>
      <c r="K722" t="n">
        <v>0</v>
      </c>
      <c r="L722" t="n">
        <v>1</v>
      </c>
      <c r="M722" t="n">
        <v>0</v>
      </c>
    </row>
    <row r="723" spans="1:13">
      <c r="A723" s="1">
        <f>HYPERLINK("http://www.twitter.com/NathanBLawrence/status/997222972216741888", "997222972216741888")</f>
        <v/>
      </c>
      <c r="B723" s="2" t="n">
        <v>43237.88261574074</v>
      </c>
      <c r="C723" t="n">
        <v>0</v>
      </c>
      <c r="D723" t="n">
        <v>0</v>
      </c>
      <c r="E723" t="s">
        <v>729</v>
      </c>
      <c r="F723" t="s"/>
      <c r="G723" t="s"/>
      <c r="H723" t="s"/>
      <c r="I723" t="s"/>
      <c r="J723" t="n">
        <v>0</v>
      </c>
      <c r="K723" t="n">
        <v>0</v>
      </c>
      <c r="L723" t="n">
        <v>1</v>
      </c>
      <c r="M723" t="n">
        <v>0</v>
      </c>
    </row>
    <row r="724" spans="1:13">
      <c r="A724" s="1">
        <f>HYPERLINK("http://www.twitter.com/NathanBLawrence/status/997222814028582912", "997222814028582912")</f>
        <v/>
      </c>
      <c r="B724" s="2" t="n">
        <v>43237.8821875</v>
      </c>
      <c r="C724" t="n">
        <v>0</v>
      </c>
      <c r="D724" t="n">
        <v>0</v>
      </c>
      <c r="E724" t="s">
        <v>730</v>
      </c>
      <c r="F724" t="s"/>
      <c r="G724" t="s"/>
      <c r="H724" t="s"/>
      <c r="I724" t="s"/>
      <c r="J724" t="n">
        <v>0</v>
      </c>
      <c r="K724" t="n">
        <v>0</v>
      </c>
      <c r="L724" t="n">
        <v>1</v>
      </c>
      <c r="M724" t="n">
        <v>0</v>
      </c>
    </row>
    <row r="725" spans="1:13">
      <c r="A725" s="1">
        <f>HYPERLINK("http://www.twitter.com/NathanBLawrence/status/997222417285177344", "997222417285177344")</f>
        <v/>
      </c>
      <c r="B725" s="2" t="n">
        <v>43237.88108796296</v>
      </c>
      <c r="C725" t="n">
        <v>0</v>
      </c>
      <c r="D725" t="n">
        <v>8</v>
      </c>
      <c r="E725" t="s">
        <v>731</v>
      </c>
      <c r="F725" t="s"/>
      <c r="G725" t="s"/>
      <c r="H725" t="s"/>
      <c r="I725" t="s"/>
      <c r="J725" t="n">
        <v>0.2598</v>
      </c>
      <c r="K725" t="n">
        <v>0</v>
      </c>
      <c r="L725" t="n">
        <v>0.907</v>
      </c>
      <c r="M725" t="n">
        <v>0.093</v>
      </c>
    </row>
    <row r="726" spans="1:13">
      <c r="A726" s="1">
        <f>HYPERLINK("http://www.twitter.com/NathanBLawrence/status/997218120359186434", "997218120359186434")</f>
        <v/>
      </c>
      <c r="B726" s="2" t="n">
        <v>43237.86922453704</v>
      </c>
      <c r="C726" t="n">
        <v>2</v>
      </c>
      <c r="D726" t="n">
        <v>1</v>
      </c>
      <c r="E726" t="s">
        <v>732</v>
      </c>
      <c r="F726" t="s"/>
      <c r="G726" t="s"/>
      <c r="H726" t="s"/>
      <c r="I726" t="s"/>
      <c r="J726" t="n">
        <v>0</v>
      </c>
      <c r="K726" t="n">
        <v>0</v>
      </c>
      <c r="L726" t="n">
        <v>1</v>
      </c>
      <c r="M726" t="n">
        <v>0</v>
      </c>
    </row>
    <row r="727" spans="1:13">
      <c r="A727" s="1">
        <f>HYPERLINK("http://www.twitter.com/NathanBLawrence/status/997215829409386496", "997215829409386496")</f>
        <v/>
      </c>
      <c r="B727" s="2" t="n">
        <v>43237.8629050926</v>
      </c>
      <c r="C727" t="n">
        <v>0</v>
      </c>
      <c r="D727" t="n">
        <v>32401</v>
      </c>
      <c r="E727" t="s">
        <v>733</v>
      </c>
      <c r="F727" t="s"/>
      <c r="G727" t="s"/>
      <c r="H727" t="s"/>
      <c r="I727" t="s"/>
      <c r="J727" t="n">
        <v>-0.6605</v>
      </c>
      <c r="K727" t="n">
        <v>0.321</v>
      </c>
      <c r="L727" t="n">
        <v>0.541</v>
      </c>
      <c r="M727" t="n">
        <v>0.138</v>
      </c>
    </row>
    <row r="728" spans="1:13">
      <c r="A728" s="1">
        <f>HYPERLINK("http://www.twitter.com/NathanBLawrence/status/997215784953942016", "997215784953942016")</f>
        <v/>
      </c>
      <c r="B728" s="2" t="n">
        <v>43237.86278935185</v>
      </c>
      <c r="C728" t="n">
        <v>0</v>
      </c>
      <c r="D728" t="n">
        <v>0</v>
      </c>
      <c r="E728" t="s">
        <v>734</v>
      </c>
      <c r="F728" t="s"/>
      <c r="G728" t="s"/>
      <c r="H728" t="s"/>
      <c r="I728" t="s"/>
      <c r="J728" t="n">
        <v>-0.3527</v>
      </c>
      <c r="K728" t="n">
        <v>0.112</v>
      </c>
      <c r="L728" t="n">
        <v>0.832</v>
      </c>
      <c r="M728" t="n">
        <v>0.055</v>
      </c>
    </row>
    <row r="729" spans="1:13">
      <c r="A729" s="1">
        <f>HYPERLINK("http://www.twitter.com/NathanBLawrence/status/997215489192579072", "997215489192579072")</f>
        <v/>
      </c>
      <c r="B729" s="2" t="n">
        <v>43237.86196759259</v>
      </c>
      <c r="C729" t="n">
        <v>0</v>
      </c>
      <c r="D729" t="n">
        <v>0</v>
      </c>
      <c r="E729" t="s">
        <v>735</v>
      </c>
      <c r="F729" t="s"/>
      <c r="G729" t="s"/>
      <c r="H729" t="s"/>
      <c r="I729" t="s"/>
      <c r="J729" t="n">
        <v>0.6115</v>
      </c>
      <c r="K729" t="n">
        <v>0.111</v>
      </c>
      <c r="L729" t="n">
        <v>0.71</v>
      </c>
      <c r="M729" t="n">
        <v>0.179</v>
      </c>
    </row>
    <row r="730" spans="1:13">
      <c r="A730" s="1">
        <f>HYPERLINK("http://www.twitter.com/NathanBLawrence/status/997214914056945664", "997214914056945664")</f>
        <v/>
      </c>
      <c r="B730" s="2" t="n">
        <v>43237.86038194445</v>
      </c>
      <c r="C730" t="n">
        <v>12</v>
      </c>
      <c r="D730" t="n">
        <v>10</v>
      </c>
      <c r="E730" t="s">
        <v>736</v>
      </c>
      <c r="F730" t="s"/>
      <c r="G730" t="s"/>
      <c r="H730" t="s"/>
      <c r="I730" t="s"/>
      <c r="J730" t="n">
        <v>0.6808</v>
      </c>
      <c r="K730" t="n">
        <v>0.051</v>
      </c>
      <c r="L730" t="n">
        <v>0.782</v>
      </c>
      <c r="M730" t="n">
        <v>0.167</v>
      </c>
    </row>
    <row r="731" spans="1:13">
      <c r="A731" s="1">
        <f>HYPERLINK("http://www.twitter.com/NathanBLawrence/status/997214172667678720", "997214172667678720")</f>
        <v/>
      </c>
      <c r="B731" s="2" t="n">
        <v>43237.85833333333</v>
      </c>
      <c r="C731" t="n">
        <v>0</v>
      </c>
      <c r="D731" t="n">
        <v>5</v>
      </c>
      <c r="E731" t="s">
        <v>737</v>
      </c>
      <c r="F731" t="s"/>
      <c r="G731" t="s"/>
      <c r="H731" t="s"/>
      <c r="I731" t="s"/>
      <c r="J731" t="n">
        <v>0.25</v>
      </c>
      <c r="K731" t="n">
        <v>0.111</v>
      </c>
      <c r="L731" t="n">
        <v>0.704</v>
      </c>
      <c r="M731" t="n">
        <v>0.185</v>
      </c>
    </row>
    <row r="732" spans="1:13">
      <c r="A732" s="1">
        <f>HYPERLINK("http://www.twitter.com/NathanBLawrence/status/997214161733148674", "997214161733148674")</f>
        <v/>
      </c>
      <c r="B732" s="2" t="n">
        <v>43237.85831018518</v>
      </c>
      <c r="C732" t="n">
        <v>0</v>
      </c>
      <c r="D732" t="n">
        <v>2</v>
      </c>
      <c r="E732" t="s">
        <v>738</v>
      </c>
      <c r="F732" t="s"/>
      <c r="G732" t="s"/>
      <c r="H732" t="s"/>
      <c r="I732" t="s"/>
      <c r="J732" t="n">
        <v>0.0062</v>
      </c>
      <c r="K732" t="n">
        <v>0.117</v>
      </c>
      <c r="L732" t="n">
        <v>0.765</v>
      </c>
      <c r="M732" t="n">
        <v>0.118</v>
      </c>
    </row>
    <row r="733" spans="1:13">
      <c r="A733" s="1">
        <f>HYPERLINK("http://www.twitter.com/NathanBLawrence/status/997213829162561536", "997213829162561536")</f>
        <v/>
      </c>
      <c r="B733" s="2" t="n">
        <v>43237.85738425926</v>
      </c>
      <c r="C733" t="n">
        <v>0</v>
      </c>
      <c r="D733" t="n">
        <v>1</v>
      </c>
      <c r="E733" t="s">
        <v>739</v>
      </c>
      <c r="F733" t="s"/>
      <c r="G733" t="s"/>
      <c r="H733" t="s"/>
      <c r="I733" t="s"/>
      <c r="J733" t="n">
        <v>0.128</v>
      </c>
      <c r="K733" t="n">
        <v>0.174</v>
      </c>
      <c r="L733" t="n">
        <v>0.635</v>
      </c>
      <c r="M733" t="n">
        <v>0.191</v>
      </c>
    </row>
    <row r="734" spans="1:13">
      <c r="A734" s="1">
        <f>HYPERLINK("http://www.twitter.com/NathanBLawrence/status/997213818496454656", "997213818496454656")</f>
        <v/>
      </c>
      <c r="B734" s="2" t="n">
        <v>43237.85736111111</v>
      </c>
      <c r="C734" t="n">
        <v>0</v>
      </c>
      <c r="D734" t="n">
        <v>2</v>
      </c>
      <c r="E734" t="s">
        <v>740</v>
      </c>
      <c r="F734" t="s"/>
      <c r="G734" t="s"/>
      <c r="H734" t="s"/>
      <c r="I734" t="s"/>
      <c r="J734" t="n">
        <v>-0.3612</v>
      </c>
      <c r="K734" t="n">
        <v>0.128</v>
      </c>
      <c r="L734" t="n">
        <v>0.872</v>
      </c>
      <c r="M734" t="n">
        <v>0</v>
      </c>
    </row>
    <row r="735" spans="1:13">
      <c r="A735" s="1">
        <f>HYPERLINK("http://www.twitter.com/NathanBLawrence/status/997213467844251650", "997213467844251650")</f>
        <v/>
      </c>
      <c r="B735" s="2" t="n">
        <v>43237.85638888889</v>
      </c>
      <c r="C735" t="n">
        <v>3</v>
      </c>
      <c r="D735" t="n">
        <v>2</v>
      </c>
      <c r="E735" t="s">
        <v>741</v>
      </c>
      <c r="F735" t="s"/>
      <c r="G735" t="s"/>
      <c r="H735" t="s"/>
      <c r="I735" t="s"/>
      <c r="J735" t="n">
        <v>0.8689</v>
      </c>
      <c r="K735" t="n">
        <v>0</v>
      </c>
      <c r="L735" t="n">
        <v>0.234</v>
      </c>
      <c r="M735" t="n">
        <v>0.766</v>
      </c>
    </row>
    <row r="736" spans="1:13">
      <c r="A736" s="1">
        <f>HYPERLINK("http://www.twitter.com/NathanBLawrence/status/997213364563730433", "997213364563730433")</f>
        <v/>
      </c>
      <c r="B736" s="2" t="n">
        <v>43237.85611111111</v>
      </c>
      <c r="C736" t="n">
        <v>0</v>
      </c>
      <c r="D736" t="n">
        <v>5</v>
      </c>
      <c r="E736" t="s">
        <v>742</v>
      </c>
      <c r="F736" t="s"/>
      <c r="G736" t="s"/>
      <c r="H736" t="s"/>
      <c r="I736" t="s"/>
      <c r="J736" t="n">
        <v>0.4939</v>
      </c>
      <c r="K736" t="n">
        <v>0</v>
      </c>
      <c r="L736" t="n">
        <v>0.785</v>
      </c>
      <c r="M736" t="n">
        <v>0.215</v>
      </c>
    </row>
    <row r="737" spans="1:13">
      <c r="A737" s="1">
        <f>HYPERLINK("http://www.twitter.com/NathanBLawrence/status/997210775445000192", "997210775445000192")</f>
        <v/>
      </c>
      <c r="B737" s="2" t="n">
        <v>43237.84895833334</v>
      </c>
      <c r="C737" t="n">
        <v>0</v>
      </c>
      <c r="D737" t="n">
        <v>0</v>
      </c>
      <c r="E737" t="s">
        <v>743</v>
      </c>
      <c r="F737" t="s"/>
      <c r="G737" t="s"/>
      <c r="H737" t="s"/>
      <c r="I737" t="s"/>
      <c r="J737" t="n">
        <v>0.8201000000000001</v>
      </c>
      <c r="K737" t="n">
        <v>0.024</v>
      </c>
      <c r="L737" t="n">
        <v>0.773</v>
      </c>
      <c r="M737" t="n">
        <v>0.203</v>
      </c>
    </row>
    <row r="738" spans="1:13">
      <c r="A738" s="1">
        <f>HYPERLINK("http://www.twitter.com/NathanBLawrence/status/997210416752316416", "997210416752316416")</f>
        <v/>
      </c>
      <c r="B738" s="2" t="n">
        <v>43237.84797453704</v>
      </c>
      <c r="C738" t="n">
        <v>0</v>
      </c>
      <c r="D738" t="n">
        <v>7</v>
      </c>
      <c r="E738" t="s">
        <v>744</v>
      </c>
      <c r="F738" t="s"/>
      <c r="G738" t="s"/>
      <c r="H738" t="s"/>
      <c r="I738" t="s"/>
      <c r="J738" t="n">
        <v>-0.1832</v>
      </c>
      <c r="K738" t="n">
        <v>0.117</v>
      </c>
      <c r="L738" t="n">
        <v>0.793</v>
      </c>
      <c r="M738" t="n">
        <v>0.09</v>
      </c>
    </row>
    <row r="739" spans="1:13">
      <c r="A739" s="1">
        <f>HYPERLINK("http://www.twitter.com/NathanBLawrence/status/997210325404606464", "997210325404606464")</f>
        <v/>
      </c>
      <c r="B739" s="2" t="n">
        <v>43237.8477199074</v>
      </c>
      <c r="C739" t="n">
        <v>0</v>
      </c>
      <c r="D739" t="n">
        <v>8</v>
      </c>
      <c r="E739" t="s">
        <v>745</v>
      </c>
      <c r="F739">
        <f>HYPERLINK("https://video.twimg.com/ext_tw_video/997192668462530560/pu/vid/240x240/8z8upb1LwhpRv-51.mp4?tag=3", "https://video.twimg.com/ext_tw_video/997192668462530560/pu/vid/240x240/8z8upb1LwhpRv-51.mp4?tag=3")</f>
        <v/>
      </c>
      <c r="G739" t="s"/>
      <c r="H739" t="s"/>
      <c r="I739" t="s"/>
      <c r="J739" t="n">
        <v>0</v>
      </c>
      <c r="K739" t="n">
        <v>0</v>
      </c>
      <c r="L739" t="n">
        <v>1</v>
      </c>
      <c r="M739" t="n">
        <v>0</v>
      </c>
    </row>
    <row r="740" spans="1:13">
      <c r="A740" s="1">
        <f>HYPERLINK("http://www.twitter.com/NathanBLawrence/status/997210311802408966", "997210311802408966")</f>
        <v/>
      </c>
      <c r="B740" s="2" t="n">
        <v>43237.84768518519</v>
      </c>
      <c r="C740" t="n">
        <v>0</v>
      </c>
      <c r="D740" t="n">
        <v>7</v>
      </c>
      <c r="E740" t="s">
        <v>746</v>
      </c>
      <c r="F740">
        <f>HYPERLINK("https://video.twimg.com/ext_tw_video/997195990133129217/pu/vid/240x240/fr6kJJh93czIZQ_r.mp4?tag=3", "https://video.twimg.com/ext_tw_video/997195990133129217/pu/vid/240x240/fr6kJJh93czIZQ_r.mp4?tag=3")</f>
        <v/>
      </c>
      <c r="G740" t="s"/>
      <c r="H740" t="s"/>
      <c r="I740" t="s"/>
      <c r="J740" t="n">
        <v>-0.4939</v>
      </c>
      <c r="K740" t="n">
        <v>0.167</v>
      </c>
      <c r="L740" t="n">
        <v>0.833</v>
      </c>
      <c r="M740" t="n">
        <v>0</v>
      </c>
    </row>
    <row r="741" spans="1:13">
      <c r="A741" s="1">
        <f>HYPERLINK("http://www.twitter.com/NathanBLawrence/status/997210298481291269", "997210298481291269")</f>
        <v/>
      </c>
      <c r="B741" s="2" t="n">
        <v>43237.84765046297</v>
      </c>
      <c r="C741" t="n">
        <v>0</v>
      </c>
      <c r="D741" t="n">
        <v>7</v>
      </c>
      <c r="E741" t="s">
        <v>747</v>
      </c>
      <c r="F741">
        <f>HYPERLINK("https://video.twimg.com/ext_tw_video/997196937081204736/pu/vid/240x240/B5IeuqLZUqG1jB6T.mp4?tag=3", "https://video.twimg.com/ext_tw_video/997196937081204736/pu/vid/240x240/B5IeuqLZUqG1jB6T.mp4?tag=3")</f>
        <v/>
      </c>
      <c r="G741" t="s"/>
      <c r="H741" t="s"/>
      <c r="I741" t="s"/>
      <c r="J741" t="n">
        <v>0.6696</v>
      </c>
      <c r="K741" t="n">
        <v>0</v>
      </c>
      <c r="L741" t="n">
        <v>0.8070000000000001</v>
      </c>
      <c r="M741" t="n">
        <v>0.193</v>
      </c>
    </row>
    <row r="742" spans="1:13">
      <c r="A742" s="1">
        <f>HYPERLINK("http://www.twitter.com/NathanBLawrence/status/997202700344455169", "997202700344455169")</f>
        <v/>
      </c>
      <c r="B742" s="2" t="n">
        <v>43237.82667824074</v>
      </c>
      <c r="C742" t="n">
        <v>0</v>
      </c>
      <c r="D742" t="n">
        <v>13</v>
      </c>
      <c r="E742" t="s">
        <v>748</v>
      </c>
      <c r="F742">
        <f>HYPERLINK("https://video.twimg.com/ext_tw_video/997202367824084993/pu/vid/240x240/W8QrrZx51cAl8PDE.mp4?tag=3", "https://video.twimg.com/ext_tw_video/997202367824084993/pu/vid/240x240/W8QrrZx51cAl8PDE.mp4?tag=3")</f>
        <v/>
      </c>
      <c r="G742" t="s"/>
      <c r="H742" t="s"/>
      <c r="I742" t="s"/>
      <c r="J742" t="n">
        <v>0.4767</v>
      </c>
      <c r="K742" t="n">
        <v>0</v>
      </c>
      <c r="L742" t="n">
        <v>0.881</v>
      </c>
      <c r="M742" t="n">
        <v>0.119</v>
      </c>
    </row>
    <row r="743" spans="1:13">
      <c r="A743" s="1">
        <f>HYPERLINK("http://www.twitter.com/NathanBLawrence/status/997202672158638081", "997202672158638081")</f>
        <v/>
      </c>
      <c r="B743" s="2" t="n">
        <v>43237.82659722222</v>
      </c>
      <c r="C743" t="n">
        <v>0</v>
      </c>
      <c r="D743" t="n">
        <v>8</v>
      </c>
      <c r="E743" t="s">
        <v>749</v>
      </c>
      <c r="F743">
        <f>HYPERLINK("https://video.twimg.com/ext_tw_video/997201208304521216/pu/vid/240x240/UkHll7I_gi6X5Sry.mp4?tag=3", "https://video.twimg.com/ext_tw_video/997201208304521216/pu/vid/240x240/UkHll7I_gi6X5Sry.mp4?tag=3")</f>
        <v/>
      </c>
      <c r="G743" t="s"/>
      <c r="H743" t="s"/>
      <c r="I743" t="s"/>
      <c r="J743" t="n">
        <v>0.749</v>
      </c>
      <c r="K743" t="n">
        <v>0</v>
      </c>
      <c r="L743" t="n">
        <v>0.738</v>
      </c>
      <c r="M743" t="n">
        <v>0.262</v>
      </c>
    </row>
    <row r="744" spans="1:13">
      <c r="A744" s="1">
        <f>HYPERLINK("http://www.twitter.com/NathanBLawrence/status/997202638625234944", "997202638625234944")</f>
        <v/>
      </c>
      <c r="B744" s="2" t="n">
        <v>43237.82650462963</v>
      </c>
      <c r="C744" t="n">
        <v>0</v>
      </c>
      <c r="D744" t="n">
        <v>7</v>
      </c>
      <c r="E744" t="s">
        <v>750</v>
      </c>
      <c r="F744">
        <f>HYPERLINK("https://video.twimg.com/ext_tw_video/997199237812076544/pu/vid/240x240/GHbdTtZKTeuz6r_n.mp4?tag=3", "https://video.twimg.com/ext_tw_video/997199237812076544/pu/vid/240x240/GHbdTtZKTeuz6r_n.mp4?tag=3")</f>
        <v/>
      </c>
      <c r="G744" t="s"/>
      <c r="H744" t="s"/>
      <c r="I744" t="s"/>
      <c r="J744" t="n">
        <v>-0.0708</v>
      </c>
      <c r="K744" t="n">
        <v>0.109</v>
      </c>
      <c r="L744" t="n">
        <v>0.793</v>
      </c>
      <c r="M744" t="n">
        <v>0.098</v>
      </c>
    </row>
    <row r="745" spans="1:13">
      <c r="A745" s="1">
        <f>HYPERLINK("http://www.twitter.com/NathanBLawrence/status/997202478931341313", "997202478931341313")</f>
        <v/>
      </c>
      <c r="B745" s="2" t="n">
        <v>43237.82606481481</v>
      </c>
      <c r="C745" t="n">
        <v>30</v>
      </c>
      <c r="D745" t="n">
        <v>13</v>
      </c>
      <c r="E745" t="s">
        <v>751</v>
      </c>
      <c r="F745">
        <f>HYPERLINK("https://video.twimg.com/ext_tw_video/997202367824084993/pu/vid/240x240/W8QrrZx51cAl8PDE.mp4?tag=3", "https://video.twimg.com/ext_tw_video/997202367824084993/pu/vid/240x240/W8QrrZx51cAl8PDE.mp4?tag=3")</f>
        <v/>
      </c>
      <c r="G745" t="s"/>
      <c r="H745" t="s"/>
      <c r="I745" t="s"/>
      <c r="J745" t="n">
        <v>0.5709</v>
      </c>
      <c r="K745" t="n">
        <v>0.054</v>
      </c>
      <c r="L745" t="n">
        <v>0.8139999999999999</v>
      </c>
      <c r="M745" t="n">
        <v>0.133</v>
      </c>
    </row>
    <row r="746" spans="1:13">
      <c r="A746" s="1">
        <f>HYPERLINK("http://www.twitter.com/NathanBLawrence/status/997201369944723458", "997201369944723458")</f>
        <v/>
      </c>
      <c r="B746" s="2" t="n">
        <v>43237.82300925926</v>
      </c>
      <c r="C746" t="n">
        <v>15</v>
      </c>
      <c r="D746" t="n">
        <v>8</v>
      </c>
      <c r="E746" t="s">
        <v>752</v>
      </c>
      <c r="F746">
        <f>HYPERLINK("https://video.twimg.com/ext_tw_video/997201208304521216/pu/vid/240x240/UkHll7I_gi6X5Sry.mp4?tag=3", "https://video.twimg.com/ext_tw_video/997201208304521216/pu/vid/240x240/UkHll7I_gi6X5Sry.mp4?tag=3")</f>
        <v/>
      </c>
      <c r="G746" t="s"/>
      <c r="H746" t="s"/>
      <c r="I746" t="s"/>
      <c r="J746" t="n">
        <v>0.749</v>
      </c>
      <c r="K746" t="n">
        <v>0</v>
      </c>
      <c r="L746" t="n">
        <v>0.775</v>
      </c>
      <c r="M746" t="n">
        <v>0.225</v>
      </c>
    </row>
    <row r="747" spans="1:13">
      <c r="A747" s="1">
        <f>HYPERLINK("http://www.twitter.com/NathanBLawrence/status/997199391915159552", "997199391915159552")</f>
        <v/>
      </c>
      <c r="B747" s="2" t="n">
        <v>43237.8175462963</v>
      </c>
      <c r="C747" t="n">
        <v>12</v>
      </c>
      <c r="D747" t="n">
        <v>7</v>
      </c>
      <c r="E747" t="s">
        <v>753</v>
      </c>
      <c r="F747">
        <f>HYPERLINK("https://video.twimg.com/ext_tw_video/997199237812076544/pu/vid/240x240/GHbdTtZKTeuz6r_n.mp4?tag=3", "https://video.twimg.com/ext_tw_video/997199237812076544/pu/vid/240x240/GHbdTtZKTeuz6r_n.mp4?tag=3")</f>
        <v/>
      </c>
      <c r="G747" t="s"/>
      <c r="H747" t="s"/>
      <c r="I747" t="s"/>
      <c r="J747" t="n">
        <v>0.4239</v>
      </c>
      <c r="K747" t="n">
        <v>0.041</v>
      </c>
      <c r="L747" t="n">
        <v>0.86</v>
      </c>
      <c r="M747" t="n">
        <v>0.1</v>
      </c>
    </row>
    <row r="748" spans="1:13">
      <c r="A748" s="1">
        <f>HYPERLINK("http://www.twitter.com/NathanBLawrence/status/997199282125070342", "997199282125070342")</f>
        <v/>
      </c>
      <c r="B748" s="2" t="n">
        <v>43237.81724537037</v>
      </c>
      <c r="C748" t="n">
        <v>0</v>
      </c>
      <c r="D748" t="n">
        <v>14</v>
      </c>
      <c r="E748" t="s">
        <v>754</v>
      </c>
      <c r="F748">
        <f>HYPERLINK("https://video.twimg.com/ext_tw_video/997179013641613312/pu/vid/240x240/uoOk75L5w6u69R0X.mp4?tag=3", "https://video.twimg.com/ext_tw_video/997179013641613312/pu/vid/240x240/uoOk75L5w6u69R0X.mp4?tag=3")</f>
        <v/>
      </c>
      <c r="G748" t="s"/>
      <c r="H748" t="s"/>
      <c r="I748" t="s"/>
      <c r="J748" t="n">
        <v>-0.5266999999999999</v>
      </c>
      <c r="K748" t="n">
        <v>0.188</v>
      </c>
      <c r="L748" t="n">
        <v>0.8120000000000001</v>
      </c>
      <c r="M748" t="n">
        <v>0</v>
      </c>
    </row>
    <row r="749" spans="1:13">
      <c r="A749" s="1">
        <f>HYPERLINK("http://www.twitter.com/NathanBLawrence/status/997197159312306176", "997197159312306176")</f>
        <v/>
      </c>
      <c r="B749" s="2" t="n">
        <v>43237.81138888889</v>
      </c>
      <c r="C749" t="n">
        <v>13</v>
      </c>
      <c r="D749" t="n">
        <v>7</v>
      </c>
      <c r="E749" t="s">
        <v>755</v>
      </c>
      <c r="F749">
        <f>HYPERLINK("https://video.twimg.com/ext_tw_video/997196937081204736/pu/vid/240x240/B5IeuqLZUqG1jB6T.mp4?tag=3", "https://video.twimg.com/ext_tw_video/997196937081204736/pu/vid/240x240/B5IeuqLZUqG1jB6T.mp4?tag=3")</f>
        <v/>
      </c>
      <c r="G749" t="s"/>
      <c r="H749" t="s"/>
      <c r="I749" t="s"/>
      <c r="J749" t="n">
        <v>0.6696</v>
      </c>
      <c r="K749" t="n">
        <v>0</v>
      </c>
      <c r="L749" t="n">
        <v>0.845</v>
      </c>
      <c r="M749" t="n">
        <v>0.155</v>
      </c>
    </row>
    <row r="750" spans="1:13">
      <c r="A750" s="1">
        <f>HYPERLINK("http://www.twitter.com/NathanBLawrence/status/997196247625863168", "997196247625863168")</f>
        <v/>
      </c>
      <c r="B750" s="2" t="n">
        <v>43237.80887731481</v>
      </c>
      <c r="C750" t="n">
        <v>11</v>
      </c>
      <c r="D750" t="n">
        <v>7</v>
      </c>
      <c r="E750" t="s">
        <v>756</v>
      </c>
      <c r="F750">
        <f>HYPERLINK("https://video.twimg.com/ext_tw_video/997195990133129217/pu/vid/240x240/fr6kJJh93czIZQ_r.mp4?tag=3", "https://video.twimg.com/ext_tw_video/997195990133129217/pu/vid/240x240/fr6kJJh93czIZQ_r.mp4?tag=3")</f>
        <v/>
      </c>
      <c r="G750" t="s"/>
      <c r="H750" t="s"/>
      <c r="I750" t="s"/>
      <c r="J750" t="n">
        <v>-0.4939</v>
      </c>
      <c r="K750" t="n">
        <v>0.144</v>
      </c>
      <c r="L750" t="n">
        <v>0.856</v>
      </c>
      <c r="M750" t="n">
        <v>0</v>
      </c>
    </row>
    <row r="751" spans="1:13">
      <c r="A751" s="1">
        <f>HYPERLINK("http://www.twitter.com/NathanBLawrence/status/997192932447924224", "997192932447924224")</f>
        <v/>
      </c>
      <c r="B751" s="2" t="n">
        <v>43237.79972222223</v>
      </c>
      <c r="C751" t="n">
        <v>9</v>
      </c>
      <c r="D751" t="n">
        <v>8</v>
      </c>
      <c r="E751" t="s">
        <v>757</v>
      </c>
      <c r="F751">
        <f>HYPERLINK("https://video.twimg.com/ext_tw_video/997192668462530560/pu/vid/240x240/8z8upb1LwhpRv-51.mp4?tag=3", "https://video.twimg.com/ext_tw_video/997192668462530560/pu/vid/240x240/8z8upb1LwhpRv-51.mp4?tag=3")</f>
        <v/>
      </c>
      <c r="G751" t="s"/>
      <c r="H751" t="s"/>
      <c r="I751" t="s"/>
      <c r="J751" t="n">
        <v>0</v>
      </c>
      <c r="K751" t="n">
        <v>0</v>
      </c>
      <c r="L751" t="n">
        <v>1</v>
      </c>
      <c r="M751" t="n">
        <v>0</v>
      </c>
    </row>
    <row r="752" spans="1:13">
      <c r="A752" s="1">
        <f>HYPERLINK("http://www.twitter.com/NathanBLawrence/status/997179566736265219", "997179566736265219")</f>
        <v/>
      </c>
      <c r="B752" s="2" t="n">
        <v>43237.76284722222</v>
      </c>
      <c r="C752" t="n">
        <v>21</v>
      </c>
      <c r="D752" t="n">
        <v>14</v>
      </c>
      <c r="E752" t="s">
        <v>758</v>
      </c>
      <c r="F752">
        <f>HYPERLINK("https://video.twimg.com/ext_tw_video/997179013641613312/pu/vid/240x240/uoOk75L5w6u69R0X.mp4?tag=3", "https://video.twimg.com/ext_tw_video/997179013641613312/pu/vid/240x240/uoOk75L5w6u69R0X.mp4?tag=3")</f>
        <v/>
      </c>
      <c r="G752" t="s"/>
      <c r="H752" t="s"/>
      <c r="I752" t="s"/>
      <c r="J752" t="n">
        <v>-0.5266999999999999</v>
      </c>
      <c r="K752" t="n">
        <v>0.099</v>
      </c>
      <c r="L752" t="n">
        <v>0.901</v>
      </c>
      <c r="M752" t="n">
        <v>0</v>
      </c>
    </row>
    <row r="753" spans="1:13">
      <c r="A753" s="1">
        <f>HYPERLINK("http://www.twitter.com/NathanBLawrence/status/997177874233913346", "997177874233913346")</f>
        <v/>
      </c>
      <c r="B753" s="2" t="n">
        <v>43237.75817129629</v>
      </c>
      <c r="C753" t="n">
        <v>0</v>
      </c>
      <c r="D753" t="n">
        <v>7</v>
      </c>
      <c r="E753" t="s">
        <v>759</v>
      </c>
      <c r="F753" t="s"/>
      <c r="G753" t="s"/>
      <c r="H753" t="s"/>
      <c r="I753" t="s"/>
      <c r="J753" t="n">
        <v>0.5688</v>
      </c>
      <c r="K753" t="n">
        <v>0</v>
      </c>
      <c r="L753" t="n">
        <v>0.794</v>
      </c>
      <c r="M753" t="n">
        <v>0.206</v>
      </c>
    </row>
    <row r="754" spans="1:13">
      <c r="A754" s="1">
        <f>HYPERLINK("http://www.twitter.com/NathanBLawrence/status/997177790855335936", "997177790855335936")</f>
        <v/>
      </c>
      <c r="B754" s="2" t="n">
        <v>43237.75793981482</v>
      </c>
      <c r="C754" t="n">
        <v>0</v>
      </c>
      <c r="D754" t="n">
        <v>15</v>
      </c>
      <c r="E754" t="s">
        <v>760</v>
      </c>
      <c r="F754" t="s"/>
      <c r="G754" t="s"/>
      <c r="H754" t="s"/>
      <c r="I754" t="s"/>
      <c r="J754" t="n">
        <v>0.1477</v>
      </c>
      <c r="K754" t="n">
        <v>0.108</v>
      </c>
      <c r="L754" t="n">
        <v>0.73</v>
      </c>
      <c r="M754" t="n">
        <v>0.163</v>
      </c>
    </row>
    <row r="755" spans="1:13">
      <c r="A755" s="1">
        <f>HYPERLINK("http://www.twitter.com/NathanBLawrence/status/997177586924052482", "997177586924052482")</f>
        <v/>
      </c>
      <c r="B755" s="2" t="n">
        <v>43237.75738425926</v>
      </c>
      <c r="C755" t="n">
        <v>0</v>
      </c>
      <c r="D755" t="n">
        <v>14</v>
      </c>
      <c r="E755" t="s">
        <v>761</v>
      </c>
      <c r="F755">
        <f>HYPERLINK("http://pbs.twimg.com/media/DdaUHBUVAAA9WDr.jpg", "http://pbs.twimg.com/media/DdaUHBUVAAA9WDr.jpg")</f>
        <v/>
      </c>
      <c r="G755" t="s"/>
      <c r="H755" t="s"/>
      <c r="I755" t="s"/>
      <c r="J755" t="n">
        <v>0.4019</v>
      </c>
      <c r="K755" t="n">
        <v>0</v>
      </c>
      <c r="L755" t="n">
        <v>0.881</v>
      </c>
      <c r="M755" t="n">
        <v>0.119</v>
      </c>
    </row>
    <row r="756" spans="1:13">
      <c r="A756" s="1">
        <f>HYPERLINK("http://www.twitter.com/NathanBLawrence/status/997142927905382400", "997142927905382400")</f>
        <v/>
      </c>
      <c r="B756" s="2" t="n">
        <v>43237.66173611111</v>
      </c>
      <c r="C756" t="n">
        <v>1</v>
      </c>
      <c r="D756" t="n">
        <v>0</v>
      </c>
      <c r="E756" t="s">
        <v>762</v>
      </c>
      <c r="F756" t="s"/>
      <c r="G756" t="s"/>
      <c r="H756" t="s"/>
      <c r="I756" t="s"/>
      <c r="J756" t="n">
        <v>-0.296</v>
      </c>
      <c r="K756" t="n">
        <v>0.115</v>
      </c>
      <c r="L756" t="n">
        <v>0.885</v>
      </c>
      <c r="M756" t="n">
        <v>0</v>
      </c>
    </row>
    <row r="757" spans="1:13">
      <c r="A757" s="1">
        <f>HYPERLINK("http://www.twitter.com/NathanBLawrence/status/997134662135943168", "997134662135943168")</f>
        <v/>
      </c>
      <c r="B757" s="2" t="n">
        <v>43237.63892361111</v>
      </c>
      <c r="C757" t="n">
        <v>0</v>
      </c>
      <c r="D757" t="n">
        <v>6</v>
      </c>
      <c r="E757" t="s">
        <v>763</v>
      </c>
      <c r="F757" t="s"/>
      <c r="G757" t="s"/>
      <c r="H757" t="s"/>
      <c r="I757" t="s"/>
      <c r="J757" t="n">
        <v>-0.1027</v>
      </c>
      <c r="K757" t="n">
        <v>0.055</v>
      </c>
      <c r="L757" t="n">
        <v>0.945</v>
      </c>
      <c r="M757" t="n">
        <v>0</v>
      </c>
    </row>
    <row r="758" spans="1:13">
      <c r="A758" s="1">
        <f>HYPERLINK("http://www.twitter.com/NathanBLawrence/status/997134646243725312", "997134646243725312")</f>
        <v/>
      </c>
      <c r="B758" s="2" t="n">
        <v>43237.63888888889</v>
      </c>
      <c r="C758" t="n">
        <v>0</v>
      </c>
      <c r="D758" t="n">
        <v>6</v>
      </c>
      <c r="E758" t="s">
        <v>764</v>
      </c>
      <c r="F758">
        <f>HYPERLINK("http://pbs.twimg.com/media/DdXZi1VXUAA9syn.jpg", "http://pbs.twimg.com/media/DdXZi1VXUAA9syn.jpg")</f>
        <v/>
      </c>
      <c r="G758" t="s"/>
      <c r="H758" t="s"/>
      <c r="I758" t="s"/>
      <c r="J758" t="n">
        <v>-0.5423</v>
      </c>
      <c r="K758" t="n">
        <v>0.17</v>
      </c>
      <c r="L758" t="n">
        <v>0.83</v>
      </c>
      <c r="M758" t="n">
        <v>0</v>
      </c>
    </row>
    <row r="759" spans="1:13">
      <c r="A759" s="1">
        <f>HYPERLINK("http://www.twitter.com/NathanBLawrence/status/997134575452278785", "997134575452278785")</f>
        <v/>
      </c>
      <c r="B759" s="2" t="n">
        <v>43237.63869212963</v>
      </c>
      <c r="C759" t="n">
        <v>0</v>
      </c>
      <c r="D759" t="n">
        <v>5</v>
      </c>
      <c r="E759" t="s">
        <v>765</v>
      </c>
      <c r="F759">
        <f>HYPERLINK("http://pbs.twimg.com/media/DdXd51mW4AEwHQv.jpg", "http://pbs.twimg.com/media/DdXd51mW4AEwHQv.jpg")</f>
        <v/>
      </c>
      <c r="G759" t="s"/>
      <c r="H759" t="s"/>
      <c r="I759" t="s"/>
      <c r="J759" t="n">
        <v>0</v>
      </c>
      <c r="K759" t="n">
        <v>0</v>
      </c>
      <c r="L759" t="n">
        <v>1</v>
      </c>
      <c r="M759" t="n">
        <v>0</v>
      </c>
    </row>
    <row r="760" spans="1:13">
      <c r="A760" s="1">
        <f>HYPERLINK("http://www.twitter.com/NathanBLawrence/status/997134540408872962", "997134540408872962")</f>
        <v/>
      </c>
      <c r="B760" s="2" t="n">
        <v>43237.63858796296</v>
      </c>
      <c r="C760" t="n">
        <v>0</v>
      </c>
      <c r="D760" t="n">
        <v>3</v>
      </c>
      <c r="E760" t="s">
        <v>766</v>
      </c>
      <c r="F760" t="s"/>
      <c r="G760" t="s"/>
      <c r="H760" t="s"/>
      <c r="I760" t="s"/>
      <c r="J760" t="n">
        <v>-0.7184</v>
      </c>
      <c r="K760" t="n">
        <v>0.316</v>
      </c>
      <c r="L760" t="n">
        <v>0.6840000000000001</v>
      </c>
      <c r="M760" t="n">
        <v>0</v>
      </c>
    </row>
    <row r="761" spans="1:13">
      <c r="A761" s="1">
        <f>HYPERLINK("http://www.twitter.com/NathanBLawrence/status/997134517893763073", "997134517893763073")</f>
        <v/>
      </c>
      <c r="B761" s="2" t="n">
        <v>43237.63853009259</v>
      </c>
      <c r="C761" t="n">
        <v>0</v>
      </c>
      <c r="D761" t="n">
        <v>5</v>
      </c>
      <c r="E761" t="s">
        <v>767</v>
      </c>
      <c r="F761">
        <f>HYPERLINK("http://pbs.twimg.com/media/DdXmLVPVQAAvBqe.jpg", "http://pbs.twimg.com/media/DdXmLVPVQAAvBqe.jpg")</f>
        <v/>
      </c>
      <c r="G761" t="s"/>
      <c r="H761" t="s"/>
      <c r="I761" t="s"/>
      <c r="J761" t="n">
        <v>0</v>
      </c>
      <c r="K761" t="n">
        <v>0</v>
      </c>
      <c r="L761" t="n">
        <v>1</v>
      </c>
      <c r="M761" t="n">
        <v>0</v>
      </c>
    </row>
    <row r="762" spans="1:13">
      <c r="A762" s="1">
        <f>HYPERLINK("http://www.twitter.com/NathanBLawrence/status/997134348850814976", "997134348850814976")</f>
        <v/>
      </c>
      <c r="B762" s="2" t="n">
        <v>43237.63806712963</v>
      </c>
      <c r="C762" t="n">
        <v>0</v>
      </c>
      <c r="D762" t="n">
        <v>15</v>
      </c>
      <c r="E762" t="s">
        <v>768</v>
      </c>
      <c r="F762">
        <f>HYPERLINK("http://pbs.twimg.com/media/DdYvJn3W0AAXQvk.jpg", "http://pbs.twimg.com/media/DdYvJn3W0AAXQvk.jpg")</f>
        <v/>
      </c>
      <c r="G762" t="s"/>
      <c r="H762" t="s"/>
      <c r="I762" t="s"/>
      <c r="J762" t="n">
        <v>0.3612</v>
      </c>
      <c r="K762" t="n">
        <v>0.116</v>
      </c>
      <c r="L762" t="n">
        <v>0.6830000000000001</v>
      </c>
      <c r="M762" t="n">
        <v>0.201</v>
      </c>
    </row>
    <row r="763" spans="1:13">
      <c r="A763" s="1">
        <f>HYPERLINK("http://www.twitter.com/NathanBLawrence/status/997134305175498752", "997134305175498752")</f>
        <v/>
      </c>
      <c r="B763" s="2" t="n">
        <v>43237.63793981481</v>
      </c>
      <c r="C763" t="n">
        <v>0</v>
      </c>
      <c r="D763" t="n">
        <v>10</v>
      </c>
      <c r="E763" t="s">
        <v>769</v>
      </c>
      <c r="F763" t="s"/>
      <c r="G763" t="s"/>
      <c r="H763" t="s"/>
      <c r="I763" t="s"/>
      <c r="J763" t="n">
        <v>0.3612</v>
      </c>
      <c r="K763" t="n">
        <v>0</v>
      </c>
      <c r="L763" t="n">
        <v>0.894</v>
      </c>
      <c r="M763" t="n">
        <v>0.106</v>
      </c>
    </row>
    <row r="764" spans="1:13">
      <c r="A764" s="1">
        <f>HYPERLINK("http://www.twitter.com/NathanBLawrence/status/997134270203355136", "997134270203355136")</f>
        <v/>
      </c>
      <c r="B764" s="2" t="n">
        <v>43237.63784722222</v>
      </c>
      <c r="C764" t="n">
        <v>1</v>
      </c>
      <c r="D764" t="n">
        <v>1</v>
      </c>
      <c r="E764" t="s">
        <v>770</v>
      </c>
      <c r="F764" t="s"/>
      <c r="G764" t="s"/>
      <c r="H764" t="s"/>
      <c r="I764" t="s"/>
      <c r="J764" t="n">
        <v>0</v>
      </c>
      <c r="K764" t="n">
        <v>0</v>
      </c>
      <c r="L764" t="n">
        <v>1</v>
      </c>
      <c r="M764" t="n">
        <v>0</v>
      </c>
    </row>
    <row r="765" spans="1:13">
      <c r="A765" s="1">
        <f>HYPERLINK("http://www.twitter.com/NathanBLawrence/status/997133944171745280", "997133944171745280")</f>
        <v/>
      </c>
      <c r="B765" s="2" t="n">
        <v>43237.63694444444</v>
      </c>
      <c r="C765" t="n">
        <v>0</v>
      </c>
      <c r="D765" t="n">
        <v>3</v>
      </c>
      <c r="E765" t="s">
        <v>771</v>
      </c>
      <c r="F765" t="s"/>
      <c r="G765" t="s"/>
      <c r="H765" t="s"/>
      <c r="I765" t="s"/>
      <c r="J765" t="n">
        <v>0.0772</v>
      </c>
      <c r="K765" t="n">
        <v>0.149</v>
      </c>
      <c r="L765" t="n">
        <v>0.6860000000000001</v>
      </c>
      <c r="M765" t="n">
        <v>0.166</v>
      </c>
    </row>
    <row r="766" spans="1:13">
      <c r="A766" s="1">
        <f>HYPERLINK("http://www.twitter.com/NathanBLawrence/status/997133921451036672", "997133921451036672")</f>
        <v/>
      </c>
      <c r="B766" s="2" t="n">
        <v>43237.63688657407</v>
      </c>
      <c r="C766" t="n">
        <v>0</v>
      </c>
      <c r="D766" t="n">
        <v>5</v>
      </c>
      <c r="E766" t="s">
        <v>772</v>
      </c>
      <c r="F766" t="s"/>
      <c r="G766" t="s"/>
      <c r="H766" t="s"/>
      <c r="I766" t="s"/>
      <c r="J766" t="n">
        <v>-0.5106000000000001</v>
      </c>
      <c r="K766" t="n">
        <v>0.142</v>
      </c>
      <c r="L766" t="n">
        <v>0.858</v>
      </c>
      <c r="M766" t="n">
        <v>0</v>
      </c>
    </row>
    <row r="767" spans="1:13">
      <c r="A767" s="1">
        <f>HYPERLINK("http://www.twitter.com/NathanBLawrence/status/997133899846291456", "997133899846291456")</f>
        <v/>
      </c>
      <c r="B767" s="2" t="n">
        <v>43237.6368287037</v>
      </c>
      <c r="C767" t="n">
        <v>0</v>
      </c>
      <c r="D767" t="n">
        <v>6</v>
      </c>
      <c r="E767" t="s">
        <v>773</v>
      </c>
      <c r="F767" t="s"/>
      <c r="G767" t="s"/>
      <c r="H767" t="s"/>
      <c r="I767" t="s"/>
      <c r="J767" t="n">
        <v>0.1027</v>
      </c>
      <c r="K767" t="n">
        <v>0.089</v>
      </c>
      <c r="L767" t="n">
        <v>0.805</v>
      </c>
      <c r="M767" t="n">
        <v>0.106</v>
      </c>
    </row>
    <row r="768" spans="1:13">
      <c r="A768" s="1">
        <f>HYPERLINK("http://www.twitter.com/NathanBLawrence/status/997133875146092544", "997133875146092544")</f>
        <v/>
      </c>
      <c r="B768" s="2" t="n">
        <v>43237.63675925926</v>
      </c>
      <c r="C768" t="n">
        <v>0</v>
      </c>
      <c r="D768" t="n">
        <v>5</v>
      </c>
      <c r="E768" t="s">
        <v>774</v>
      </c>
      <c r="F768" t="s"/>
      <c r="G768" t="s"/>
      <c r="H768" t="s"/>
      <c r="I768" t="s"/>
      <c r="J768" t="n">
        <v>-0.5719</v>
      </c>
      <c r="K768" t="n">
        <v>0.242</v>
      </c>
      <c r="L768" t="n">
        <v>0.673</v>
      </c>
      <c r="M768" t="n">
        <v>0.08400000000000001</v>
      </c>
    </row>
    <row r="769" spans="1:13">
      <c r="A769" s="1">
        <f>HYPERLINK("http://www.twitter.com/NathanBLawrence/status/997133856544317440", "997133856544317440")</f>
        <v/>
      </c>
      <c r="B769" s="2" t="n">
        <v>43237.63670138889</v>
      </c>
      <c r="C769" t="n">
        <v>0</v>
      </c>
      <c r="D769" t="n">
        <v>7</v>
      </c>
      <c r="E769" t="s">
        <v>775</v>
      </c>
      <c r="F769" t="s"/>
      <c r="G769" t="s"/>
      <c r="H769" t="s"/>
      <c r="I769" t="s"/>
      <c r="J769" t="n">
        <v>0.4404</v>
      </c>
      <c r="K769" t="n">
        <v>0</v>
      </c>
      <c r="L769" t="n">
        <v>0.896</v>
      </c>
      <c r="M769" t="n">
        <v>0.104</v>
      </c>
    </row>
    <row r="770" spans="1:13">
      <c r="A770" s="1">
        <f>HYPERLINK("http://www.twitter.com/NathanBLawrence/status/997133838798204928", "997133838798204928")</f>
        <v/>
      </c>
      <c r="B770" s="2" t="n">
        <v>43237.6366550926</v>
      </c>
      <c r="C770" t="n">
        <v>0</v>
      </c>
      <c r="D770" t="n">
        <v>3</v>
      </c>
      <c r="E770" t="s">
        <v>776</v>
      </c>
      <c r="F770" t="s"/>
      <c r="G770" t="s"/>
      <c r="H770" t="s"/>
      <c r="I770" t="s"/>
      <c r="J770" t="n">
        <v>-0.296</v>
      </c>
      <c r="K770" t="n">
        <v>0.141</v>
      </c>
      <c r="L770" t="n">
        <v>0.763</v>
      </c>
      <c r="M770" t="n">
        <v>0.095</v>
      </c>
    </row>
    <row r="771" spans="1:13">
      <c r="A771" s="1">
        <f>HYPERLINK("http://www.twitter.com/NathanBLawrence/status/997133806724354048", "997133806724354048")</f>
        <v/>
      </c>
      <c r="B771" s="2" t="n">
        <v>43237.63657407407</v>
      </c>
      <c r="C771" t="n">
        <v>0</v>
      </c>
      <c r="D771" t="n">
        <v>3</v>
      </c>
      <c r="E771" t="s">
        <v>777</v>
      </c>
      <c r="F771" t="s"/>
      <c r="G771" t="s"/>
      <c r="H771" t="s"/>
      <c r="I771" t="s"/>
      <c r="J771" t="n">
        <v>0.4404</v>
      </c>
      <c r="K771" t="n">
        <v>0</v>
      </c>
      <c r="L771" t="n">
        <v>0.879</v>
      </c>
      <c r="M771" t="n">
        <v>0.121</v>
      </c>
    </row>
    <row r="772" spans="1:13">
      <c r="A772" s="1">
        <f>HYPERLINK("http://www.twitter.com/NathanBLawrence/status/997133763099398145", "997133763099398145")</f>
        <v/>
      </c>
      <c r="B772" s="2" t="n">
        <v>43237.63644675926</v>
      </c>
      <c r="C772" t="n">
        <v>0</v>
      </c>
      <c r="D772" t="n">
        <v>2</v>
      </c>
      <c r="E772" t="s">
        <v>778</v>
      </c>
      <c r="F772" t="s"/>
      <c r="G772" t="s"/>
      <c r="H772" t="s"/>
      <c r="I772" t="s"/>
      <c r="J772" t="n">
        <v>-0.4215</v>
      </c>
      <c r="K772" t="n">
        <v>0.118</v>
      </c>
      <c r="L772" t="n">
        <v>0.882</v>
      </c>
      <c r="M772" t="n">
        <v>0</v>
      </c>
    </row>
    <row r="773" spans="1:13">
      <c r="A773" s="1">
        <f>HYPERLINK("http://www.twitter.com/NathanBLawrence/status/997133738244034560", "997133738244034560")</f>
        <v/>
      </c>
      <c r="B773" s="2" t="n">
        <v>43237.63637731481</v>
      </c>
      <c r="C773" t="n">
        <v>0</v>
      </c>
      <c r="D773" t="n">
        <v>4</v>
      </c>
      <c r="E773" t="s">
        <v>779</v>
      </c>
      <c r="F773" t="s"/>
      <c r="G773" t="s"/>
      <c r="H773" t="s"/>
      <c r="I773" t="s"/>
      <c r="J773" t="n">
        <v>0</v>
      </c>
      <c r="K773" t="n">
        <v>0</v>
      </c>
      <c r="L773" t="n">
        <v>1</v>
      </c>
      <c r="M773" t="n">
        <v>0</v>
      </c>
    </row>
    <row r="774" spans="1:13">
      <c r="A774" s="1">
        <f>HYPERLINK("http://www.twitter.com/NathanBLawrence/status/997133725795221504", "997133725795221504")</f>
        <v/>
      </c>
      <c r="B774" s="2" t="n">
        <v>43237.6363425926</v>
      </c>
      <c r="C774" t="n">
        <v>0</v>
      </c>
      <c r="D774" t="n">
        <v>2</v>
      </c>
      <c r="E774" t="s">
        <v>780</v>
      </c>
      <c r="F774" t="s"/>
      <c r="G774" t="s"/>
      <c r="H774" t="s"/>
      <c r="I774" t="s"/>
      <c r="J774" t="n">
        <v>0</v>
      </c>
      <c r="K774" t="n">
        <v>0</v>
      </c>
      <c r="L774" t="n">
        <v>1</v>
      </c>
      <c r="M774" t="n">
        <v>0</v>
      </c>
    </row>
    <row r="775" spans="1:13">
      <c r="A775" s="1">
        <f>HYPERLINK("http://www.twitter.com/NathanBLawrence/status/997133586116554752", "997133586116554752")</f>
        <v/>
      </c>
      <c r="B775" s="2" t="n">
        <v>43237.63596064815</v>
      </c>
      <c r="C775" t="n">
        <v>0</v>
      </c>
      <c r="D775" t="n">
        <v>3</v>
      </c>
      <c r="E775" t="s">
        <v>781</v>
      </c>
      <c r="F775" t="s"/>
      <c r="G775" t="s"/>
      <c r="H775" t="s"/>
      <c r="I775" t="s"/>
      <c r="J775" t="n">
        <v>0.4574</v>
      </c>
      <c r="K775" t="n">
        <v>0</v>
      </c>
      <c r="L775" t="n">
        <v>0.885</v>
      </c>
      <c r="M775" t="n">
        <v>0.115</v>
      </c>
    </row>
    <row r="776" spans="1:13">
      <c r="A776" s="1">
        <f>HYPERLINK("http://www.twitter.com/NathanBLawrence/status/997133551643578368", "997133551643578368")</f>
        <v/>
      </c>
      <c r="B776" s="2" t="n">
        <v>43237.63586805556</v>
      </c>
      <c r="C776" t="n">
        <v>0</v>
      </c>
      <c r="D776" t="n">
        <v>3</v>
      </c>
      <c r="E776" t="s">
        <v>782</v>
      </c>
      <c r="F776" t="s"/>
      <c r="G776" t="s"/>
      <c r="H776" t="s"/>
      <c r="I776" t="s"/>
      <c r="J776" t="n">
        <v>0.6124000000000001</v>
      </c>
      <c r="K776" t="n">
        <v>0</v>
      </c>
      <c r="L776" t="n">
        <v>0.76</v>
      </c>
      <c r="M776" t="n">
        <v>0.24</v>
      </c>
    </row>
    <row r="777" spans="1:13">
      <c r="A777" s="1">
        <f>HYPERLINK("http://www.twitter.com/NathanBLawrence/status/997133466323038209", "997133466323038209")</f>
        <v/>
      </c>
      <c r="B777" s="2" t="n">
        <v>43237.635625</v>
      </c>
      <c r="C777" t="n">
        <v>0</v>
      </c>
      <c r="D777" t="n">
        <v>2</v>
      </c>
      <c r="E777" t="s">
        <v>783</v>
      </c>
      <c r="F777" t="s"/>
      <c r="G777" t="s"/>
      <c r="H777" t="s"/>
      <c r="I777" t="s"/>
      <c r="J777" t="n">
        <v>0.128</v>
      </c>
      <c r="K777" t="n">
        <v>0.101</v>
      </c>
      <c r="L777" t="n">
        <v>0.773</v>
      </c>
      <c r="M777" t="n">
        <v>0.126</v>
      </c>
    </row>
    <row r="778" spans="1:13">
      <c r="A778" s="1">
        <f>HYPERLINK("http://www.twitter.com/NathanBLawrence/status/997133450346983424", "997133450346983424")</f>
        <v/>
      </c>
      <c r="B778" s="2" t="n">
        <v>43237.63559027778</v>
      </c>
      <c r="C778" t="n">
        <v>0</v>
      </c>
      <c r="D778" t="n">
        <v>3</v>
      </c>
      <c r="E778" t="s">
        <v>784</v>
      </c>
      <c r="F778" t="s"/>
      <c r="G778" t="s"/>
      <c r="H778" t="s"/>
      <c r="I778" t="s"/>
      <c r="J778" t="n">
        <v>0</v>
      </c>
      <c r="K778" t="n">
        <v>0</v>
      </c>
      <c r="L778" t="n">
        <v>1</v>
      </c>
      <c r="M778" t="n">
        <v>0</v>
      </c>
    </row>
    <row r="779" spans="1:13">
      <c r="A779" s="1">
        <f>HYPERLINK("http://www.twitter.com/NathanBLawrence/status/997133415119024128", "997133415119024128")</f>
        <v/>
      </c>
      <c r="B779" s="2" t="n">
        <v>43237.63548611111</v>
      </c>
      <c r="C779" t="n">
        <v>0</v>
      </c>
      <c r="D779" t="n">
        <v>6</v>
      </c>
      <c r="E779" t="s">
        <v>785</v>
      </c>
      <c r="F779" t="s"/>
      <c r="G779" t="s"/>
      <c r="H779" t="s"/>
      <c r="I779" t="s"/>
      <c r="J779" t="n">
        <v>0.4818</v>
      </c>
      <c r="K779" t="n">
        <v>0.103</v>
      </c>
      <c r="L779" t="n">
        <v>0.656</v>
      </c>
      <c r="M779" t="n">
        <v>0.24</v>
      </c>
    </row>
    <row r="780" spans="1:13">
      <c r="A780" s="1">
        <f>HYPERLINK("http://www.twitter.com/NathanBLawrence/status/997133179831160834", "997133179831160834")</f>
        <v/>
      </c>
      <c r="B780" s="2" t="n">
        <v>43237.63483796296</v>
      </c>
      <c r="C780" t="n">
        <v>0</v>
      </c>
      <c r="D780" t="n">
        <v>11</v>
      </c>
      <c r="E780" t="s">
        <v>786</v>
      </c>
      <c r="F780">
        <f>HYPERLINK("http://pbs.twimg.com/media/DdaGlqYXcAESrLV.jpg", "http://pbs.twimg.com/media/DdaGlqYXcAESrLV.jpg")</f>
        <v/>
      </c>
      <c r="G780" t="s"/>
      <c r="H780" t="s"/>
      <c r="I780" t="s"/>
      <c r="J780" t="n">
        <v>0</v>
      </c>
      <c r="K780" t="n">
        <v>0</v>
      </c>
      <c r="L780" t="n">
        <v>1</v>
      </c>
      <c r="M780" t="n">
        <v>0</v>
      </c>
    </row>
    <row r="781" spans="1:13">
      <c r="A781" s="1">
        <f>HYPERLINK("http://www.twitter.com/NathanBLawrence/status/997133037312856064", "997133037312856064")</f>
        <v/>
      </c>
      <c r="B781" s="2" t="n">
        <v>43237.63444444445</v>
      </c>
      <c r="C781" t="n">
        <v>0</v>
      </c>
      <c r="D781" t="n">
        <v>16</v>
      </c>
      <c r="E781" t="s">
        <v>787</v>
      </c>
      <c r="F781" t="s"/>
      <c r="G781" t="s"/>
      <c r="H781" t="s"/>
      <c r="I781" t="s"/>
      <c r="J781" t="n">
        <v>-0.0516</v>
      </c>
      <c r="K781" t="n">
        <v>0.081</v>
      </c>
      <c r="L781" t="n">
        <v>0.846</v>
      </c>
      <c r="M781" t="n">
        <v>0.073</v>
      </c>
    </row>
    <row r="782" spans="1:13">
      <c r="A782" s="1">
        <f>HYPERLINK("http://www.twitter.com/NathanBLawrence/status/997132958845808640", "997132958845808640")</f>
        <v/>
      </c>
      <c r="B782" s="2" t="n">
        <v>43237.63422453704</v>
      </c>
      <c r="C782" t="n">
        <v>0</v>
      </c>
      <c r="D782" t="n">
        <v>14</v>
      </c>
      <c r="E782" t="s">
        <v>788</v>
      </c>
      <c r="F782" t="s"/>
      <c r="G782" t="s"/>
      <c r="H782" t="s"/>
      <c r="I782" t="s"/>
      <c r="J782" t="n">
        <v>-0.2732</v>
      </c>
      <c r="K782" t="n">
        <v>0.091</v>
      </c>
      <c r="L782" t="n">
        <v>0.909</v>
      </c>
      <c r="M782" t="n">
        <v>0</v>
      </c>
    </row>
    <row r="783" spans="1:13">
      <c r="A783" s="1">
        <f>HYPERLINK("http://www.twitter.com/NathanBLawrence/status/997034643206627330", "997034643206627330")</f>
        <v/>
      </c>
      <c r="B783" s="2" t="n">
        <v>43237.36292824074</v>
      </c>
      <c r="C783" t="n">
        <v>0</v>
      </c>
      <c r="D783" t="n">
        <v>0</v>
      </c>
      <c r="E783" t="s">
        <v>789</v>
      </c>
      <c r="F783">
        <f>HYPERLINK("http://pbs.twimg.com/media/DdYtuCTW4AEbR7R.jpg", "http://pbs.twimg.com/media/DdYtuCTW4AEbR7R.jpg")</f>
        <v/>
      </c>
      <c r="G783" t="s"/>
      <c r="H783" t="s"/>
      <c r="I783" t="s"/>
      <c r="J783" t="n">
        <v>0</v>
      </c>
      <c r="K783" t="n">
        <v>0</v>
      </c>
      <c r="L783" t="n">
        <v>1</v>
      </c>
      <c r="M783" t="n">
        <v>0</v>
      </c>
    </row>
    <row r="784" spans="1:13">
      <c r="A784" s="1">
        <f>HYPERLINK("http://www.twitter.com/NathanBLawrence/status/997034444690219008", "997034444690219008")</f>
        <v/>
      </c>
      <c r="B784" s="2" t="n">
        <v>43237.36238425926</v>
      </c>
      <c r="C784" t="n">
        <v>0</v>
      </c>
      <c r="D784" t="n">
        <v>2</v>
      </c>
      <c r="E784" t="s">
        <v>790</v>
      </c>
      <c r="F784" t="s"/>
      <c r="G784" t="s"/>
      <c r="H784" t="s"/>
      <c r="I784" t="s"/>
      <c r="J784" t="n">
        <v>0.1779</v>
      </c>
      <c r="K784" t="n">
        <v>0.174</v>
      </c>
      <c r="L784" t="n">
        <v>0.631</v>
      </c>
      <c r="M784" t="n">
        <v>0.195</v>
      </c>
    </row>
    <row r="785" spans="1:13">
      <c r="A785" s="1">
        <f>HYPERLINK("http://www.twitter.com/NathanBLawrence/status/996989055253602305", "996989055253602305")</f>
        <v/>
      </c>
      <c r="B785" s="2" t="n">
        <v>43237.23712962963</v>
      </c>
      <c r="C785" t="n">
        <v>0</v>
      </c>
      <c r="D785" t="n">
        <v>2</v>
      </c>
      <c r="E785" t="s">
        <v>791</v>
      </c>
      <c r="F785" t="s"/>
      <c r="G785" t="s"/>
      <c r="H785" t="s"/>
      <c r="I785" t="s"/>
      <c r="J785" t="n">
        <v>-0.6124000000000001</v>
      </c>
      <c r="K785" t="n">
        <v>0.238</v>
      </c>
      <c r="L785" t="n">
        <v>0.762</v>
      </c>
      <c r="M785" t="n">
        <v>0</v>
      </c>
    </row>
    <row r="786" spans="1:13">
      <c r="A786" s="1">
        <f>HYPERLINK("http://www.twitter.com/NathanBLawrence/status/996988980133539840", "996988980133539840")</f>
        <v/>
      </c>
      <c r="B786" s="2" t="n">
        <v>43237.23692129629</v>
      </c>
      <c r="C786" t="n">
        <v>0</v>
      </c>
      <c r="D786" t="n">
        <v>7</v>
      </c>
      <c r="E786" t="s">
        <v>792</v>
      </c>
      <c r="F786" t="s"/>
      <c r="G786" t="s"/>
      <c r="H786" t="s"/>
      <c r="I786" t="s"/>
      <c r="J786" t="n">
        <v>0</v>
      </c>
      <c r="K786" t="n">
        <v>0</v>
      </c>
      <c r="L786" t="n">
        <v>1</v>
      </c>
      <c r="M786" t="n">
        <v>0</v>
      </c>
    </row>
    <row r="787" spans="1:13">
      <c r="A787" s="1">
        <f>HYPERLINK("http://www.twitter.com/NathanBLawrence/status/996988958067261440", "996988958067261440")</f>
        <v/>
      </c>
      <c r="B787" s="2" t="n">
        <v>43237.23686342593</v>
      </c>
      <c r="C787" t="n">
        <v>3</v>
      </c>
      <c r="D787" t="n">
        <v>2</v>
      </c>
      <c r="E787" t="s">
        <v>793</v>
      </c>
      <c r="F787" t="s"/>
      <c r="G787" t="s"/>
      <c r="H787" t="s"/>
      <c r="I787" t="s"/>
      <c r="J787" t="n">
        <v>0.1779</v>
      </c>
      <c r="K787" t="n">
        <v>0.148</v>
      </c>
      <c r="L787" t="n">
        <v>0.6870000000000001</v>
      </c>
      <c r="M787" t="n">
        <v>0.165</v>
      </c>
    </row>
    <row r="788" spans="1:13">
      <c r="A788" s="1">
        <f>HYPERLINK("http://www.twitter.com/NathanBLawrence/status/996988751141376000", "996988751141376000")</f>
        <v/>
      </c>
      <c r="B788" s="2" t="n">
        <v>43237.23629629629</v>
      </c>
      <c r="C788" t="n">
        <v>0</v>
      </c>
      <c r="D788" t="n">
        <v>11</v>
      </c>
      <c r="E788" t="s">
        <v>794</v>
      </c>
      <c r="F788" t="s"/>
      <c r="G788" t="s"/>
      <c r="H788" t="s"/>
      <c r="I788" t="s"/>
      <c r="J788" t="n">
        <v>-0.5106000000000001</v>
      </c>
      <c r="K788" t="n">
        <v>0.142</v>
      </c>
      <c r="L788" t="n">
        <v>0.858</v>
      </c>
      <c r="M788" t="n">
        <v>0</v>
      </c>
    </row>
    <row r="789" spans="1:13">
      <c r="A789" s="1">
        <f>HYPERLINK("http://www.twitter.com/NathanBLawrence/status/996972270533869568", "996972270533869568")</f>
        <v/>
      </c>
      <c r="B789" s="2" t="n">
        <v>43237.19081018519</v>
      </c>
      <c r="C789" t="n">
        <v>0</v>
      </c>
      <c r="D789" t="n">
        <v>6</v>
      </c>
      <c r="E789" t="s">
        <v>795</v>
      </c>
      <c r="F789">
        <f>HYPERLINK("http://pbs.twimg.com/media/DdXrTyoVwAA7z43.jpg", "http://pbs.twimg.com/media/DdXrTyoVwAA7z43.jpg")</f>
        <v/>
      </c>
      <c r="G789" t="s"/>
      <c r="H789" t="s"/>
      <c r="I789" t="s"/>
      <c r="J789" t="n">
        <v>0</v>
      </c>
      <c r="K789" t="n">
        <v>0</v>
      </c>
      <c r="L789" t="n">
        <v>1</v>
      </c>
      <c r="M789" t="n">
        <v>0</v>
      </c>
    </row>
    <row r="790" spans="1:13">
      <c r="A790" s="1">
        <f>HYPERLINK("http://www.twitter.com/NathanBLawrence/status/996972209817161729", "996972209817161729")</f>
        <v/>
      </c>
      <c r="B790" s="2" t="n">
        <v>43237.19064814815</v>
      </c>
      <c r="C790" t="n">
        <v>0</v>
      </c>
      <c r="D790" t="n">
        <v>6</v>
      </c>
      <c r="E790" t="s">
        <v>796</v>
      </c>
      <c r="F790">
        <f>HYPERLINK("http://pbs.twimg.com/media/DdXuN3NVwAAwXf1.jpg", "http://pbs.twimg.com/media/DdXuN3NVwAAwXf1.jpg")</f>
        <v/>
      </c>
      <c r="G790" t="s"/>
      <c r="H790" t="s"/>
      <c r="I790" t="s"/>
      <c r="J790" t="n">
        <v>0.3612</v>
      </c>
      <c r="K790" t="n">
        <v>0.112</v>
      </c>
      <c r="L790" t="n">
        <v>0.6929999999999999</v>
      </c>
      <c r="M790" t="n">
        <v>0.195</v>
      </c>
    </row>
    <row r="791" spans="1:13">
      <c r="A791" s="1">
        <f>HYPERLINK("http://www.twitter.com/NathanBLawrence/status/996972129278156800", "996972129278156800")</f>
        <v/>
      </c>
      <c r="B791" s="2" t="n">
        <v>43237.19042824074</v>
      </c>
      <c r="C791" t="n">
        <v>0</v>
      </c>
      <c r="D791" t="n">
        <v>5</v>
      </c>
      <c r="E791" t="s">
        <v>797</v>
      </c>
      <c r="F791" t="s"/>
      <c r="G791" t="s"/>
      <c r="H791" t="s"/>
      <c r="I791" t="s"/>
      <c r="J791" t="n">
        <v>-0.1027</v>
      </c>
      <c r="K791" t="n">
        <v>0.119</v>
      </c>
      <c r="L791" t="n">
        <v>0.779</v>
      </c>
      <c r="M791" t="n">
        <v>0.102</v>
      </c>
    </row>
    <row r="792" spans="1:13">
      <c r="A792" s="1">
        <f>HYPERLINK("http://www.twitter.com/NathanBLawrence/status/996971952756744192", "996971952756744192")</f>
        <v/>
      </c>
      <c r="B792" s="2" t="n">
        <v>43237.18994212963</v>
      </c>
      <c r="C792" t="n">
        <v>0</v>
      </c>
      <c r="D792" t="n">
        <v>3440</v>
      </c>
      <c r="E792" t="s">
        <v>798</v>
      </c>
      <c r="F792" t="s"/>
      <c r="G792" t="s"/>
      <c r="H792" t="s"/>
      <c r="I792" t="s"/>
      <c r="J792" t="n">
        <v>-0.4767</v>
      </c>
      <c r="K792" t="n">
        <v>0.219</v>
      </c>
      <c r="L792" t="n">
        <v>0.679</v>
      </c>
      <c r="M792" t="n">
        <v>0.102</v>
      </c>
    </row>
    <row r="793" spans="1:13">
      <c r="A793" s="1">
        <f>HYPERLINK("http://www.twitter.com/NathanBLawrence/status/996953436926234625", "996953436926234625")</f>
        <v/>
      </c>
      <c r="B793" s="2" t="n">
        <v>43237.13884259259</v>
      </c>
      <c r="C793" t="n">
        <v>0</v>
      </c>
      <c r="D793" t="n">
        <v>8</v>
      </c>
      <c r="E793" t="s">
        <v>799</v>
      </c>
      <c r="F793" t="s"/>
      <c r="G793" t="s"/>
      <c r="H793" t="s"/>
      <c r="I793" t="s"/>
      <c r="J793" t="n">
        <v>-0.9528</v>
      </c>
      <c r="K793" t="n">
        <v>0.502</v>
      </c>
      <c r="L793" t="n">
        <v>0.498</v>
      </c>
      <c r="M793" t="n">
        <v>0</v>
      </c>
    </row>
    <row r="794" spans="1:13">
      <c r="A794" s="1">
        <f>HYPERLINK("http://www.twitter.com/NathanBLawrence/status/996953328742526976", "996953328742526976")</f>
        <v/>
      </c>
      <c r="B794" s="2" t="n">
        <v>43237.13854166667</v>
      </c>
      <c r="C794" t="n">
        <v>0</v>
      </c>
      <c r="D794" t="n">
        <v>4</v>
      </c>
      <c r="E794" t="s">
        <v>800</v>
      </c>
      <c r="F794">
        <f>HYPERLINK("http://pbs.twimg.com/media/DdXXWS2W4AICFhF.jpg", "http://pbs.twimg.com/media/DdXXWS2W4AICFhF.jpg")</f>
        <v/>
      </c>
      <c r="G794" t="s"/>
      <c r="H794" t="s"/>
      <c r="I794" t="s"/>
      <c r="J794" t="n">
        <v>0</v>
      </c>
      <c r="K794" t="n">
        <v>0</v>
      </c>
      <c r="L794" t="n">
        <v>1</v>
      </c>
      <c r="M794" t="n">
        <v>0</v>
      </c>
    </row>
    <row r="795" spans="1:13">
      <c r="A795" s="1">
        <f>HYPERLINK("http://www.twitter.com/NathanBLawrence/status/996952879482236929", "996952879482236929")</f>
        <v/>
      </c>
      <c r="B795" s="2" t="n">
        <v>43237.13730324074</v>
      </c>
      <c r="C795" t="n">
        <v>6</v>
      </c>
      <c r="D795" t="n">
        <v>3</v>
      </c>
      <c r="E795" t="s">
        <v>801</v>
      </c>
      <c r="F795" t="s"/>
      <c r="G795" t="s"/>
      <c r="H795" t="s"/>
      <c r="I795" t="s"/>
      <c r="J795" t="n">
        <v>-0.7184</v>
      </c>
      <c r="K795" t="n">
        <v>0.353</v>
      </c>
      <c r="L795" t="n">
        <v>0.647</v>
      </c>
      <c r="M795" t="n">
        <v>0</v>
      </c>
    </row>
    <row r="796" spans="1:13">
      <c r="A796" s="1">
        <f>HYPERLINK("http://www.twitter.com/NathanBLawrence/status/996952320276647936", "996952320276647936")</f>
        <v/>
      </c>
      <c r="B796" s="2" t="n">
        <v>43237.13576388889</v>
      </c>
      <c r="C796" t="n">
        <v>0</v>
      </c>
      <c r="D796" t="n">
        <v>10</v>
      </c>
      <c r="E796" t="s">
        <v>802</v>
      </c>
      <c r="F796">
        <f>HYPERLINK("http://pbs.twimg.com/media/DdMXphAX4AQ0mJd.jpg", "http://pbs.twimg.com/media/DdMXphAX4AQ0mJd.jpg")</f>
        <v/>
      </c>
      <c r="G796" t="s"/>
      <c r="H796" t="s"/>
      <c r="I796" t="s"/>
      <c r="J796" t="n">
        <v>0.1225</v>
      </c>
      <c r="K796" t="n">
        <v>0.141</v>
      </c>
      <c r="L796" t="n">
        <v>0.699</v>
      </c>
      <c r="M796" t="n">
        <v>0.16</v>
      </c>
    </row>
    <row r="797" spans="1:13">
      <c r="A797" s="1">
        <f>HYPERLINK("http://www.twitter.com/NathanBLawrence/status/996952215221882880", "996952215221882880")</f>
        <v/>
      </c>
      <c r="B797" s="2" t="n">
        <v>43237.13547453703</v>
      </c>
      <c r="C797" t="n">
        <v>0</v>
      </c>
      <c r="D797" t="n">
        <v>13</v>
      </c>
      <c r="E797" t="s">
        <v>803</v>
      </c>
      <c r="F797" t="s"/>
      <c r="G797" t="s"/>
      <c r="H797" t="s"/>
      <c r="I797" t="s"/>
      <c r="J797" t="n">
        <v>0</v>
      </c>
      <c r="K797" t="n">
        <v>0</v>
      </c>
      <c r="L797" t="n">
        <v>1</v>
      </c>
      <c r="M797" t="n">
        <v>0</v>
      </c>
    </row>
    <row r="798" spans="1:13">
      <c r="A798" s="1">
        <f>HYPERLINK("http://www.twitter.com/NathanBLawrence/status/996950139263692801", "996950139263692801")</f>
        <v/>
      </c>
      <c r="B798" s="2" t="n">
        <v>43237.12974537037</v>
      </c>
      <c r="C798" t="n">
        <v>0</v>
      </c>
      <c r="D798" t="n">
        <v>37</v>
      </c>
      <c r="E798" t="s">
        <v>804</v>
      </c>
      <c r="F798">
        <f>HYPERLINK("http://pbs.twimg.com/media/DdXNHd7VMAEO5bP.jpg", "http://pbs.twimg.com/media/DdXNHd7VMAEO5bP.jpg")</f>
        <v/>
      </c>
      <c r="G798" t="s"/>
      <c r="H798" t="s"/>
      <c r="I798" t="s"/>
      <c r="J798" t="n">
        <v>0</v>
      </c>
      <c r="K798" t="n">
        <v>0</v>
      </c>
      <c r="L798" t="n">
        <v>1</v>
      </c>
      <c r="M798" t="n">
        <v>0</v>
      </c>
    </row>
    <row r="799" spans="1:13">
      <c r="A799" s="1">
        <f>HYPERLINK("http://www.twitter.com/NathanBLawrence/status/996950112914952193", "996950112914952193")</f>
        <v/>
      </c>
      <c r="B799" s="2" t="n">
        <v>43237.12967592593</v>
      </c>
      <c r="C799" t="n">
        <v>0</v>
      </c>
      <c r="D799" t="n">
        <v>10</v>
      </c>
      <c r="E799" t="s">
        <v>805</v>
      </c>
      <c r="F799">
        <f>HYPERLINK("http://pbs.twimg.com/media/DdXgT08V0AA31-A.jpg", "http://pbs.twimg.com/media/DdXgT08V0AA31-A.jpg")</f>
        <v/>
      </c>
      <c r="G799">
        <f>HYPERLINK("http://pbs.twimg.com/media/DdXgT9VVAAAsFa4.jpg", "http://pbs.twimg.com/media/DdXgT9VVAAAsFa4.jpg")</f>
        <v/>
      </c>
      <c r="H799" t="s"/>
      <c r="I799" t="s"/>
      <c r="J799" t="n">
        <v>0.0516</v>
      </c>
      <c r="K799" t="n">
        <v>0.093</v>
      </c>
      <c r="L799" t="n">
        <v>0.806</v>
      </c>
      <c r="M799" t="n">
        <v>0.101</v>
      </c>
    </row>
    <row r="800" spans="1:13">
      <c r="A800" s="1">
        <f>HYPERLINK("http://www.twitter.com/NathanBLawrence/status/996950003066265600", "996950003066265600")</f>
        <v/>
      </c>
      <c r="B800" s="2" t="n">
        <v>43237.12936342593</v>
      </c>
      <c r="C800" t="n">
        <v>0</v>
      </c>
      <c r="D800" t="n">
        <v>9</v>
      </c>
      <c r="E800" t="s">
        <v>806</v>
      </c>
      <c r="F800" t="s"/>
      <c r="G800" t="s"/>
      <c r="H800" t="s"/>
      <c r="I800" t="s"/>
      <c r="J800" t="n">
        <v>0</v>
      </c>
      <c r="K800" t="n">
        <v>0</v>
      </c>
      <c r="L800" t="n">
        <v>1</v>
      </c>
      <c r="M800" t="n">
        <v>0</v>
      </c>
    </row>
    <row r="801" spans="1:13">
      <c r="A801" s="1">
        <f>HYPERLINK("http://www.twitter.com/NathanBLawrence/status/996939926125019136", "996939926125019136")</f>
        <v/>
      </c>
      <c r="B801" s="2" t="n">
        <v>43237.1015625</v>
      </c>
      <c r="C801" t="n">
        <v>0</v>
      </c>
      <c r="D801" t="n">
        <v>10</v>
      </c>
      <c r="E801" t="s">
        <v>807</v>
      </c>
      <c r="F801" t="s"/>
      <c r="G801" t="s"/>
      <c r="H801" t="s"/>
      <c r="I801" t="s"/>
      <c r="J801" t="n">
        <v>0.4215</v>
      </c>
      <c r="K801" t="n">
        <v>0</v>
      </c>
      <c r="L801" t="n">
        <v>0.833</v>
      </c>
      <c r="M801" t="n">
        <v>0.167</v>
      </c>
    </row>
    <row r="802" spans="1:13">
      <c r="A802" s="1">
        <f>HYPERLINK("http://www.twitter.com/NathanBLawrence/status/996939764094963712", "996939764094963712")</f>
        <v/>
      </c>
      <c r="B802" s="2" t="n">
        <v>43237.10111111111</v>
      </c>
      <c r="C802" t="n">
        <v>0</v>
      </c>
      <c r="D802" t="n">
        <v>5</v>
      </c>
      <c r="E802" t="s">
        <v>808</v>
      </c>
      <c r="F802" t="s"/>
      <c r="G802" t="s"/>
      <c r="H802" t="s"/>
      <c r="I802" t="s"/>
      <c r="J802" t="n">
        <v>0</v>
      </c>
      <c r="K802" t="n">
        <v>0</v>
      </c>
      <c r="L802" t="n">
        <v>1</v>
      </c>
      <c r="M802" t="n">
        <v>0</v>
      </c>
    </row>
    <row r="803" spans="1:13">
      <c r="A803" s="1">
        <f>HYPERLINK("http://www.twitter.com/NathanBLawrence/status/996939676517888000", "996939676517888000")</f>
        <v/>
      </c>
      <c r="B803" s="2" t="n">
        <v>43237.10086805555</v>
      </c>
      <c r="C803" t="n">
        <v>6</v>
      </c>
      <c r="D803" t="n">
        <v>4</v>
      </c>
      <c r="E803" t="s">
        <v>809</v>
      </c>
      <c r="F803">
        <f>HYPERLINK("http://pbs.twimg.com/media/DdXXWS2W4AICFhF.jpg", "http://pbs.twimg.com/media/DdXXWS2W4AICFhF.jpg")</f>
        <v/>
      </c>
      <c r="G803" t="s"/>
      <c r="H803" t="s"/>
      <c r="I803" t="s"/>
      <c r="J803" t="n">
        <v>0</v>
      </c>
      <c r="K803" t="n">
        <v>0</v>
      </c>
      <c r="L803" t="n">
        <v>1</v>
      </c>
      <c r="M803" t="n">
        <v>0</v>
      </c>
    </row>
    <row r="804" spans="1:13">
      <c r="A804" s="1">
        <f>HYPERLINK("http://www.twitter.com/NathanBLawrence/status/996937951304208389", "996937951304208389")</f>
        <v/>
      </c>
      <c r="B804" s="2" t="n">
        <v>43237.09611111111</v>
      </c>
      <c r="C804" t="n">
        <v>0</v>
      </c>
      <c r="D804" t="n">
        <v>3</v>
      </c>
      <c r="E804" t="s">
        <v>810</v>
      </c>
      <c r="F804" t="s"/>
      <c r="G804" t="s"/>
      <c r="H804" t="s"/>
      <c r="I804" t="s"/>
      <c r="J804" t="n">
        <v>-0.25</v>
      </c>
      <c r="K804" t="n">
        <v>0.111</v>
      </c>
      <c r="L804" t="n">
        <v>0.889</v>
      </c>
      <c r="M804" t="n">
        <v>0</v>
      </c>
    </row>
    <row r="805" spans="1:13">
      <c r="A805" s="1">
        <f>HYPERLINK("http://www.twitter.com/NathanBLawrence/status/996937769560825856", "996937769560825856")</f>
        <v/>
      </c>
      <c r="B805" s="2" t="n">
        <v>43237.09561342592</v>
      </c>
      <c r="C805" t="n">
        <v>0</v>
      </c>
      <c r="D805" t="n">
        <v>15</v>
      </c>
      <c r="E805" t="s">
        <v>811</v>
      </c>
      <c r="F805">
        <f>HYPERLINK("http://pbs.twimg.com/media/DdXD2a8X0AErRiC.jpg", "http://pbs.twimg.com/media/DdXD2a8X0AErRiC.jpg")</f>
        <v/>
      </c>
      <c r="G805" t="s"/>
      <c r="H805" t="s"/>
      <c r="I805" t="s"/>
      <c r="J805" t="n">
        <v>0.7756999999999999</v>
      </c>
      <c r="K805" t="n">
        <v>0</v>
      </c>
      <c r="L805" t="n">
        <v>0.73</v>
      </c>
      <c r="M805" t="n">
        <v>0.27</v>
      </c>
    </row>
    <row r="806" spans="1:13">
      <c r="A806" s="1">
        <f>HYPERLINK("http://www.twitter.com/NathanBLawrence/status/996937563784011776", "996937563784011776")</f>
        <v/>
      </c>
      <c r="B806" s="2" t="n">
        <v>43237.09504629629</v>
      </c>
      <c r="C806" t="n">
        <v>0</v>
      </c>
      <c r="D806" t="n">
        <v>8</v>
      </c>
      <c r="E806" t="s">
        <v>812</v>
      </c>
      <c r="F806" t="s"/>
      <c r="G806" t="s"/>
      <c r="H806" t="s"/>
      <c r="I806" t="s"/>
      <c r="J806" t="n">
        <v>0</v>
      </c>
      <c r="K806" t="n">
        <v>0</v>
      </c>
      <c r="L806" t="n">
        <v>1</v>
      </c>
      <c r="M806" t="n">
        <v>0</v>
      </c>
    </row>
    <row r="807" spans="1:13">
      <c r="A807" s="1">
        <f>HYPERLINK("http://www.twitter.com/NathanBLawrence/status/996918238083563520", "996918238083563520")</f>
        <v/>
      </c>
      <c r="B807" s="2" t="n">
        <v>43237.04171296296</v>
      </c>
      <c r="C807" t="n">
        <v>21</v>
      </c>
      <c r="D807" t="n">
        <v>15</v>
      </c>
      <c r="E807" t="s">
        <v>813</v>
      </c>
      <c r="F807">
        <f>HYPERLINK("http://pbs.twimg.com/media/DdXD2a8X0AErRiC.jpg", "http://pbs.twimg.com/media/DdXD2a8X0AErRiC.jpg")</f>
        <v/>
      </c>
      <c r="G807" t="s"/>
      <c r="H807" t="s"/>
      <c r="I807" t="s"/>
      <c r="J807" t="n">
        <v>0.8738</v>
      </c>
      <c r="K807" t="n">
        <v>0</v>
      </c>
      <c r="L807" t="n">
        <v>0.793</v>
      </c>
      <c r="M807" t="n">
        <v>0.207</v>
      </c>
    </row>
    <row r="808" spans="1:13">
      <c r="A808" s="1">
        <f>HYPERLINK("http://www.twitter.com/NathanBLawrence/status/996916739425341440", "996916739425341440")</f>
        <v/>
      </c>
      <c r="B808" s="2" t="n">
        <v>43237.03758101852</v>
      </c>
      <c r="C808" t="n">
        <v>0</v>
      </c>
      <c r="D808" t="n">
        <v>7</v>
      </c>
      <c r="E808" t="s">
        <v>814</v>
      </c>
      <c r="F808">
        <f>HYPERLINK("http://pbs.twimg.com/media/DdXAbl6XUAAtbZ5.jpg", "http://pbs.twimg.com/media/DdXAbl6XUAAtbZ5.jpg")</f>
        <v/>
      </c>
      <c r="G808" t="s"/>
      <c r="H808" t="s"/>
      <c r="I808" t="s"/>
      <c r="J808" t="n">
        <v>0</v>
      </c>
      <c r="K808" t="n">
        <v>0</v>
      </c>
      <c r="L808" t="n">
        <v>1</v>
      </c>
      <c r="M808" t="n">
        <v>0</v>
      </c>
    </row>
    <row r="809" spans="1:13">
      <c r="A809" s="1">
        <f>HYPERLINK("http://www.twitter.com/NathanBLawrence/status/996914901741432833", "996914901741432833")</f>
        <v/>
      </c>
      <c r="B809" s="2" t="n">
        <v>43237.03251157407</v>
      </c>
      <c r="C809" t="n">
        <v>0</v>
      </c>
      <c r="D809" t="n">
        <v>1257</v>
      </c>
      <c r="E809" t="s">
        <v>815</v>
      </c>
      <c r="F809" t="s"/>
      <c r="G809" t="s"/>
      <c r="H809" t="s"/>
      <c r="I809" t="s"/>
      <c r="J809" t="n">
        <v>0.3873</v>
      </c>
      <c r="K809" t="n">
        <v>0.156</v>
      </c>
      <c r="L809" t="n">
        <v>0.636</v>
      </c>
      <c r="M809" t="n">
        <v>0.208</v>
      </c>
    </row>
    <row r="810" spans="1:13">
      <c r="A810" s="1">
        <f>HYPERLINK("http://www.twitter.com/NathanBLawrence/status/996914853418799104", "996914853418799104")</f>
        <v/>
      </c>
      <c r="B810" s="2" t="n">
        <v>43237.03237268519</v>
      </c>
      <c r="C810" t="n">
        <v>0</v>
      </c>
      <c r="D810" t="n">
        <v>766</v>
      </c>
      <c r="E810" t="s">
        <v>816</v>
      </c>
      <c r="F810" t="s"/>
      <c r="G810" t="s"/>
      <c r="H810" t="s"/>
      <c r="I810" t="s"/>
      <c r="J810" t="n">
        <v>0.4019</v>
      </c>
      <c r="K810" t="n">
        <v>0</v>
      </c>
      <c r="L810" t="n">
        <v>0.769</v>
      </c>
      <c r="M810" t="n">
        <v>0.231</v>
      </c>
    </row>
    <row r="811" spans="1:13">
      <c r="A811" s="1">
        <f>HYPERLINK("http://www.twitter.com/NathanBLawrence/status/996914785915736065", "996914785915736065")</f>
        <v/>
      </c>
      <c r="B811" s="2" t="n">
        <v>43237.0321875</v>
      </c>
      <c r="C811" t="n">
        <v>0</v>
      </c>
      <c r="D811" t="n">
        <v>4218</v>
      </c>
      <c r="E811" t="s">
        <v>817</v>
      </c>
      <c r="F811" t="s"/>
      <c r="G811" t="s"/>
      <c r="H811" t="s"/>
      <c r="I811" t="s"/>
      <c r="J811" t="n">
        <v>0.2924</v>
      </c>
      <c r="K811" t="n">
        <v>0</v>
      </c>
      <c r="L811" t="n">
        <v>0.892</v>
      </c>
      <c r="M811" t="n">
        <v>0.108</v>
      </c>
    </row>
    <row r="812" spans="1:13">
      <c r="A812" s="1">
        <f>HYPERLINK("http://www.twitter.com/NathanBLawrence/status/996914694630854656", "996914694630854656")</f>
        <v/>
      </c>
      <c r="B812" s="2" t="n">
        <v>43237.03193287037</v>
      </c>
      <c r="C812" t="n">
        <v>0</v>
      </c>
      <c r="D812" t="n">
        <v>43</v>
      </c>
      <c r="E812" t="s">
        <v>818</v>
      </c>
      <c r="F812" t="s"/>
      <c r="G812" t="s"/>
      <c r="H812" t="s"/>
      <c r="I812" t="s"/>
      <c r="J812" t="n">
        <v>-0.8126</v>
      </c>
      <c r="K812" t="n">
        <v>0.252</v>
      </c>
      <c r="L812" t="n">
        <v>0.748</v>
      </c>
      <c r="M812" t="n">
        <v>0</v>
      </c>
    </row>
    <row r="813" spans="1:13">
      <c r="A813" s="1">
        <f>HYPERLINK("http://www.twitter.com/NathanBLawrence/status/996914664117342213", "996914664117342213")</f>
        <v/>
      </c>
      <c r="B813" s="2" t="n">
        <v>43237.03185185185</v>
      </c>
      <c r="C813" t="n">
        <v>0</v>
      </c>
      <c r="D813" t="n">
        <v>6361</v>
      </c>
      <c r="E813" t="s">
        <v>819</v>
      </c>
      <c r="F813" t="s"/>
      <c r="G813" t="s"/>
      <c r="H813" t="s"/>
      <c r="I813" t="s"/>
      <c r="J813" t="n">
        <v>-0.7322</v>
      </c>
      <c r="K813" t="n">
        <v>0.251</v>
      </c>
      <c r="L813" t="n">
        <v>0.672</v>
      </c>
      <c r="M813" t="n">
        <v>0.077</v>
      </c>
    </row>
    <row r="814" spans="1:13">
      <c r="A814" s="1">
        <f>HYPERLINK("http://www.twitter.com/NathanBLawrence/status/996914635289874433", "996914635289874433")</f>
        <v/>
      </c>
      <c r="B814" s="2" t="n">
        <v>43237.03177083333</v>
      </c>
      <c r="C814" t="n">
        <v>0</v>
      </c>
      <c r="D814" t="n">
        <v>1360</v>
      </c>
      <c r="E814" t="s">
        <v>820</v>
      </c>
      <c r="F814">
        <f>HYPERLINK("http://pbs.twimg.com/media/DdW0vzmU8AAJPkv.jpg", "http://pbs.twimg.com/media/DdW0vzmU8AAJPkv.jpg")</f>
        <v/>
      </c>
      <c r="G814" t="s"/>
      <c r="H814" t="s"/>
      <c r="I814" t="s"/>
      <c r="J814" t="n">
        <v>-0.2716</v>
      </c>
      <c r="K814" t="n">
        <v>0.091</v>
      </c>
      <c r="L814" t="n">
        <v>0.909</v>
      </c>
      <c r="M814" t="n">
        <v>0</v>
      </c>
    </row>
    <row r="815" spans="1:13">
      <c r="A815" s="1">
        <f>HYPERLINK("http://www.twitter.com/NathanBLawrence/status/996914609520041984", "996914609520041984")</f>
        <v/>
      </c>
      <c r="B815" s="2" t="n">
        <v>43237.03170138889</v>
      </c>
      <c r="C815" t="n">
        <v>0</v>
      </c>
      <c r="D815" t="n">
        <v>1937</v>
      </c>
      <c r="E815" t="s">
        <v>821</v>
      </c>
      <c r="F815">
        <f>HYPERLINK("https://video.twimg.com/amplify_video/996890472131055617/vid/1280x720/PXPpMl3frPsO0a4G.mp4?tag=2", "https://video.twimg.com/amplify_video/996890472131055617/vid/1280x720/PXPpMl3frPsO0a4G.mp4?tag=2")</f>
        <v/>
      </c>
      <c r="G815" t="s"/>
      <c r="H815" t="s"/>
      <c r="I815" t="s"/>
      <c r="J815" t="n">
        <v>0.3612</v>
      </c>
      <c r="K815" t="n">
        <v>0</v>
      </c>
      <c r="L815" t="n">
        <v>0.898</v>
      </c>
      <c r="M815" t="n">
        <v>0.102</v>
      </c>
    </row>
    <row r="816" spans="1:13">
      <c r="A816" s="1">
        <f>HYPERLINK("http://www.twitter.com/NathanBLawrence/status/996914478901026817", "996914478901026817")</f>
        <v/>
      </c>
      <c r="B816" s="2" t="n">
        <v>43237.03134259259</v>
      </c>
      <c r="C816" t="n">
        <v>9</v>
      </c>
      <c r="D816" t="n">
        <v>7</v>
      </c>
      <c r="E816" t="s">
        <v>822</v>
      </c>
      <c r="F816">
        <f>HYPERLINK("http://pbs.twimg.com/media/DdXAbl6XUAAtbZ5.jpg", "http://pbs.twimg.com/media/DdXAbl6XUAAtbZ5.jpg")</f>
        <v/>
      </c>
      <c r="G816" t="s"/>
      <c r="H816" t="s"/>
      <c r="I816" t="s"/>
      <c r="J816" t="n">
        <v>0</v>
      </c>
      <c r="K816" t="n">
        <v>0</v>
      </c>
      <c r="L816" t="n">
        <v>1</v>
      </c>
      <c r="M816" t="n">
        <v>0</v>
      </c>
    </row>
    <row r="817" spans="1:13">
      <c r="A817" s="1">
        <f>HYPERLINK("http://www.twitter.com/NathanBLawrence/status/996913666250469376", "996913666250469376")</f>
        <v/>
      </c>
      <c r="B817" s="2" t="n">
        <v>43237.02909722222</v>
      </c>
      <c r="C817" t="n">
        <v>0</v>
      </c>
      <c r="D817" t="n">
        <v>7</v>
      </c>
      <c r="E817" t="s">
        <v>823</v>
      </c>
      <c r="F817">
        <f>HYPERLINK("http://pbs.twimg.com/media/DdW8IrLX0AApRbB.jpg", "http://pbs.twimg.com/media/DdW8IrLX0AApRbB.jpg")</f>
        <v/>
      </c>
      <c r="G817" t="s"/>
      <c r="H817" t="s"/>
      <c r="I817" t="s"/>
      <c r="J817" t="n">
        <v>0</v>
      </c>
      <c r="K817" t="n">
        <v>0</v>
      </c>
      <c r="L817" t="n">
        <v>1</v>
      </c>
      <c r="M817" t="n">
        <v>0</v>
      </c>
    </row>
    <row r="818" spans="1:13">
      <c r="A818" s="1">
        <f>HYPERLINK("http://www.twitter.com/NathanBLawrence/status/996913572948082693", "996913572948082693")</f>
        <v/>
      </c>
      <c r="B818" s="2" t="n">
        <v>43237.02884259259</v>
      </c>
      <c r="C818" t="n">
        <v>0</v>
      </c>
      <c r="D818" t="n">
        <v>6</v>
      </c>
      <c r="E818" t="s">
        <v>824</v>
      </c>
      <c r="F818">
        <f>HYPERLINK("http://pbs.twimg.com/media/DdW9Kv7W0AINhTy.jpg", "http://pbs.twimg.com/media/DdW9Kv7W0AINhTy.jpg")</f>
        <v/>
      </c>
      <c r="G818" t="s"/>
      <c r="H818" t="s"/>
      <c r="I818" t="s"/>
      <c r="J818" t="n">
        <v>0</v>
      </c>
      <c r="K818" t="n">
        <v>0</v>
      </c>
      <c r="L818" t="n">
        <v>1</v>
      </c>
      <c r="M818" t="n">
        <v>0</v>
      </c>
    </row>
    <row r="819" spans="1:13">
      <c r="A819" s="1">
        <f>HYPERLINK("http://www.twitter.com/NathanBLawrence/status/996913550697422849", "996913550697422849")</f>
        <v/>
      </c>
      <c r="B819" s="2" t="n">
        <v>43237.02877314815</v>
      </c>
      <c r="C819" t="n">
        <v>0</v>
      </c>
      <c r="D819" t="n">
        <v>7</v>
      </c>
      <c r="E819" t="s">
        <v>825</v>
      </c>
      <c r="F819" t="s"/>
      <c r="G819" t="s"/>
      <c r="H819" t="s"/>
      <c r="I819" t="s"/>
      <c r="J819" t="n">
        <v>-0.4723</v>
      </c>
      <c r="K819" t="n">
        <v>0.256</v>
      </c>
      <c r="L819" t="n">
        <v>0.642</v>
      </c>
      <c r="M819" t="n">
        <v>0.102</v>
      </c>
    </row>
    <row r="820" spans="1:13">
      <c r="A820" s="1">
        <f>HYPERLINK("http://www.twitter.com/NathanBLawrence/status/996913520934576128", "996913520934576128")</f>
        <v/>
      </c>
      <c r="B820" s="2" t="n">
        <v>43237.02869212963</v>
      </c>
      <c r="C820" t="n">
        <v>0</v>
      </c>
      <c r="D820" t="n">
        <v>7</v>
      </c>
      <c r="E820" t="s">
        <v>826</v>
      </c>
      <c r="F820">
        <f>HYPERLINK("http://pbs.twimg.com/media/DdW7H2rWkAERjav.jpg", "http://pbs.twimg.com/media/DdW7H2rWkAERjav.jpg")</f>
        <v/>
      </c>
      <c r="G820" t="s"/>
      <c r="H820" t="s"/>
      <c r="I820" t="s"/>
      <c r="J820" t="n">
        <v>0</v>
      </c>
      <c r="K820" t="n">
        <v>0</v>
      </c>
      <c r="L820" t="n">
        <v>1</v>
      </c>
      <c r="M820" t="n">
        <v>0</v>
      </c>
    </row>
    <row r="821" spans="1:13">
      <c r="A821" s="1">
        <f>HYPERLINK("http://www.twitter.com/NathanBLawrence/status/996913499598131205", "996913499598131205")</f>
        <v/>
      </c>
      <c r="B821" s="2" t="n">
        <v>43237.02863425926</v>
      </c>
      <c r="C821" t="n">
        <v>0</v>
      </c>
      <c r="D821" t="n">
        <v>0</v>
      </c>
      <c r="E821" t="s">
        <v>827</v>
      </c>
      <c r="F821" t="s"/>
      <c r="G821" t="s"/>
      <c r="H821" t="s"/>
      <c r="I821" t="s"/>
      <c r="J821" t="n">
        <v>-0.5994</v>
      </c>
      <c r="K821" t="n">
        <v>0.17</v>
      </c>
      <c r="L821" t="n">
        <v>0.83</v>
      </c>
      <c r="M821" t="n">
        <v>0</v>
      </c>
    </row>
    <row r="822" spans="1:13">
      <c r="A822" s="1">
        <f>HYPERLINK("http://www.twitter.com/NathanBLawrence/status/996909330225131520", "996909330225131520")</f>
        <v/>
      </c>
      <c r="B822" s="2" t="n">
        <v>43237.01712962963</v>
      </c>
      <c r="C822" t="n">
        <v>4</v>
      </c>
      <c r="D822" t="n">
        <v>1</v>
      </c>
      <c r="E822" t="s">
        <v>828</v>
      </c>
      <c r="F822" t="s"/>
      <c r="G822" t="s"/>
      <c r="H822" t="s"/>
      <c r="I822" t="s"/>
      <c r="J822" t="n">
        <v>-0.7536</v>
      </c>
      <c r="K822" t="n">
        <v>0.115</v>
      </c>
      <c r="L822" t="n">
        <v>0.885</v>
      </c>
      <c r="M822" t="n">
        <v>0</v>
      </c>
    </row>
    <row r="823" spans="1:13">
      <c r="A823" s="1">
        <f>HYPERLINK("http://www.twitter.com/NathanBLawrence/status/996908910274580480", "996908910274580480")</f>
        <v/>
      </c>
      <c r="B823" s="2" t="n">
        <v>43237.01597222222</v>
      </c>
      <c r="C823" t="n">
        <v>0</v>
      </c>
      <c r="D823" t="n">
        <v>5</v>
      </c>
      <c r="E823" t="s">
        <v>829</v>
      </c>
      <c r="F823" t="s"/>
      <c r="G823" t="s"/>
      <c r="H823" t="s"/>
      <c r="I823" t="s"/>
      <c r="J823" t="n">
        <v>0.0258</v>
      </c>
      <c r="K823" t="n">
        <v>0.095</v>
      </c>
      <c r="L823" t="n">
        <v>0.806</v>
      </c>
      <c r="M823" t="n">
        <v>0.099</v>
      </c>
    </row>
    <row r="824" spans="1:13">
      <c r="A824" s="1">
        <f>HYPERLINK("http://www.twitter.com/NathanBLawrence/status/996908858583977984", "996908858583977984")</f>
        <v/>
      </c>
      <c r="B824" s="2" t="n">
        <v>43237.01583333333</v>
      </c>
      <c r="C824" t="n">
        <v>0</v>
      </c>
      <c r="D824" t="n">
        <v>6</v>
      </c>
      <c r="E824" t="s">
        <v>830</v>
      </c>
      <c r="F824">
        <f>HYPERLINK("http://pbs.twimg.com/media/DdW4SquXcAEA4Ue.jpg", "http://pbs.twimg.com/media/DdW4SquXcAEA4Ue.jpg")</f>
        <v/>
      </c>
      <c r="G824" t="s"/>
      <c r="H824" t="s"/>
      <c r="I824" t="s"/>
      <c r="J824" t="n">
        <v>0</v>
      </c>
      <c r="K824" t="n">
        <v>0</v>
      </c>
      <c r="L824" t="n">
        <v>1</v>
      </c>
      <c r="M824" t="n">
        <v>0</v>
      </c>
    </row>
    <row r="825" spans="1:13">
      <c r="A825" s="1">
        <f>HYPERLINK("http://www.twitter.com/NathanBLawrence/status/996908712978722822", "996908712978722822")</f>
        <v/>
      </c>
      <c r="B825" s="2" t="n">
        <v>43237.01542824074</v>
      </c>
      <c r="C825" t="n">
        <v>0</v>
      </c>
      <c r="D825" t="n">
        <v>4</v>
      </c>
      <c r="E825" t="s">
        <v>831</v>
      </c>
      <c r="F825" t="s"/>
      <c r="G825" t="s"/>
      <c r="H825" t="s"/>
      <c r="I825" t="s"/>
      <c r="J825" t="n">
        <v>0</v>
      </c>
      <c r="K825" t="n">
        <v>0</v>
      </c>
      <c r="L825" t="n">
        <v>1</v>
      </c>
      <c r="M825" t="n">
        <v>0</v>
      </c>
    </row>
    <row r="826" spans="1:13">
      <c r="A826" s="1">
        <f>HYPERLINK("http://www.twitter.com/NathanBLawrence/status/996908668187750401", "996908668187750401")</f>
        <v/>
      </c>
      <c r="B826" s="2" t="n">
        <v>43237.01530092592</v>
      </c>
      <c r="C826" t="n">
        <v>0</v>
      </c>
      <c r="D826" t="n">
        <v>2</v>
      </c>
      <c r="E826" t="s">
        <v>832</v>
      </c>
      <c r="F826">
        <f>HYPERLINK("http://pbs.twimg.com/media/DdW7FrUX0AAEly0.jpg", "http://pbs.twimg.com/media/DdW7FrUX0AAEly0.jpg")</f>
        <v/>
      </c>
      <c r="G826" t="s"/>
      <c r="H826" t="s"/>
      <c r="I826" t="s"/>
      <c r="J826" t="n">
        <v>0</v>
      </c>
      <c r="K826" t="n">
        <v>0</v>
      </c>
      <c r="L826" t="n">
        <v>1</v>
      </c>
      <c r="M826" t="n">
        <v>0</v>
      </c>
    </row>
    <row r="827" spans="1:13">
      <c r="A827" s="1">
        <f>HYPERLINK("http://www.twitter.com/NathanBLawrence/status/996908641465847809", "996908641465847809")</f>
        <v/>
      </c>
      <c r="B827" s="2" t="n">
        <v>43237.01523148148</v>
      </c>
      <c r="C827" t="n">
        <v>18</v>
      </c>
      <c r="D827" t="n">
        <v>9</v>
      </c>
      <c r="E827" t="s">
        <v>833</v>
      </c>
      <c r="F827">
        <f>HYPERLINK("http://pbs.twimg.com/media/DdW7H2rWkAERjav.jpg", "http://pbs.twimg.com/media/DdW7H2rWkAERjav.jpg")</f>
        <v/>
      </c>
      <c r="G827" t="s"/>
      <c r="H827" t="s"/>
      <c r="I827" t="s"/>
      <c r="J827" t="n">
        <v>0</v>
      </c>
      <c r="K827" t="n">
        <v>0</v>
      </c>
      <c r="L827" t="n">
        <v>1</v>
      </c>
      <c r="M827" t="n">
        <v>0</v>
      </c>
    </row>
    <row r="828" spans="1:13">
      <c r="A828" s="1">
        <f>HYPERLINK("http://www.twitter.com/NathanBLawrence/status/996907971673313281", "996907971673313281")</f>
        <v/>
      </c>
      <c r="B828" s="2" t="n">
        <v>43237.01337962963</v>
      </c>
      <c r="C828" t="n">
        <v>0</v>
      </c>
      <c r="D828" t="n">
        <v>5</v>
      </c>
      <c r="E828" t="s">
        <v>834</v>
      </c>
      <c r="F828">
        <f>HYPERLINK("http://pbs.twimg.com/media/DdVJJv8V0AAXRop.jpg", "http://pbs.twimg.com/media/DdVJJv8V0AAXRop.jpg")</f>
        <v/>
      </c>
      <c r="G828" t="s"/>
      <c r="H828" t="s"/>
      <c r="I828" t="s"/>
      <c r="J828" t="n">
        <v>0.296</v>
      </c>
      <c r="K828" t="n">
        <v>0</v>
      </c>
      <c r="L828" t="n">
        <v>0.891</v>
      </c>
      <c r="M828" t="n">
        <v>0.109</v>
      </c>
    </row>
    <row r="829" spans="1:13">
      <c r="A829" s="1">
        <f>HYPERLINK("http://www.twitter.com/NathanBLawrence/status/996907959081947136", "996907959081947136")</f>
        <v/>
      </c>
      <c r="B829" s="2" t="n">
        <v>43237.01334490741</v>
      </c>
      <c r="C829" t="n">
        <v>0</v>
      </c>
      <c r="D829" t="n">
        <v>9</v>
      </c>
      <c r="E829" t="s">
        <v>835</v>
      </c>
      <c r="F829">
        <f>HYPERLINK("http://pbs.twimg.com/media/DdVBM6jU8AEnQVJ.jpg", "http://pbs.twimg.com/media/DdVBM6jU8AEnQVJ.jpg")</f>
        <v/>
      </c>
      <c r="G829" t="s"/>
      <c r="H829" t="s"/>
      <c r="I829" t="s"/>
      <c r="J829" t="n">
        <v>0</v>
      </c>
      <c r="K829" t="n">
        <v>0</v>
      </c>
      <c r="L829" t="n">
        <v>1</v>
      </c>
      <c r="M829" t="n">
        <v>0</v>
      </c>
    </row>
    <row r="830" spans="1:13">
      <c r="A830" s="1">
        <f>HYPERLINK("http://www.twitter.com/NathanBLawrence/status/996907932271960065", "996907932271960065")</f>
        <v/>
      </c>
      <c r="B830" s="2" t="n">
        <v>43237.01327546296</v>
      </c>
      <c r="C830" t="n">
        <v>0</v>
      </c>
      <c r="D830" t="n">
        <v>6</v>
      </c>
      <c r="E830" t="s">
        <v>836</v>
      </c>
      <c r="F830">
        <f>HYPERLINK("http://pbs.twimg.com/media/DdVB4qHVwAAbVAC.jpg", "http://pbs.twimg.com/media/DdVB4qHVwAAbVAC.jpg")</f>
        <v/>
      </c>
      <c r="G830" t="s"/>
      <c r="H830" t="s"/>
      <c r="I830" t="s"/>
      <c r="J830" t="n">
        <v>-0.5106000000000001</v>
      </c>
      <c r="K830" t="n">
        <v>0.223</v>
      </c>
      <c r="L830" t="n">
        <v>0.679</v>
      </c>
      <c r="M830" t="n">
        <v>0.098</v>
      </c>
    </row>
    <row r="831" spans="1:13">
      <c r="A831" s="1">
        <f>HYPERLINK("http://www.twitter.com/NathanBLawrence/status/996907917449334789", "996907917449334789")</f>
        <v/>
      </c>
      <c r="B831" s="2" t="n">
        <v>43237.01322916667</v>
      </c>
      <c r="C831" t="n">
        <v>0</v>
      </c>
      <c r="D831" t="n">
        <v>7</v>
      </c>
      <c r="E831" t="s">
        <v>837</v>
      </c>
      <c r="F831">
        <f>HYPERLINK("http://pbs.twimg.com/media/DdWy4U1VQAA8U-m.jpg", "http://pbs.twimg.com/media/DdWy4U1VQAA8U-m.jpg")</f>
        <v/>
      </c>
      <c r="G831" t="s"/>
      <c r="H831" t="s"/>
      <c r="I831" t="s"/>
      <c r="J831" t="n">
        <v>-0.7906</v>
      </c>
      <c r="K831" t="n">
        <v>0.25</v>
      </c>
      <c r="L831" t="n">
        <v>0.75</v>
      </c>
      <c r="M831" t="n">
        <v>0</v>
      </c>
    </row>
    <row r="832" spans="1:13">
      <c r="A832" s="1">
        <f>HYPERLINK("http://www.twitter.com/NathanBLawrence/status/996907904375672832", "996907904375672832")</f>
        <v/>
      </c>
      <c r="B832" s="2" t="n">
        <v>43237.01319444444</v>
      </c>
      <c r="C832" t="n">
        <v>0</v>
      </c>
      <c r="D832" t="n">
        <v>10</v>
      </c>
      <c r="E832" t="s">
        <v>838</v>
      </c>
      <c r="F832">
        <f>HYPERLINK("http://pbs.twimg.com/media/DdVAbpjU0AEI-Nd.jpg", "http://pbs.twimg.com/media/DdVAbpjU0AEI-Nd.jpg")</f>
        <v/>
      </c>
      <c r="G832" t="s"/>
      <c r="H832" t="s"/>
      <c r="I832" t="s"/>
      <c r="J832" t="n">
        <v>0.3818</v>
      </c>
      <c r="K832" t="n">
        <v>0</v>
      </c>
      <c r="L832" t="n">
        <v>0.885</v>
      </c>
      <c r="M832" t="n">
        <v>0.115</v>
      </c>
    </row>
    <row r="833" spans="1:13">
      <c r="A833" s="1">
        <f>HYPERLINK("http://www.twitter.com/NathanBLawrence/status/996907888634466304", "996907888634466304")</f>
        <v/>
      </c>
      <c r="B833" s="2" t="n">
        <v>43237.01314814815</v>
      </c>
      <c r="C833" t="n">
        <v>0</v>
      </c>
      <c r="D833" t="n">
        <v>10</v>
      </c>
      <c r="E833" t="s">
        <v>839</v>
      </c>
      <c r="F833">
        <f>HYPERLINK("http://pbs.twimg.com/media/DdW2eNpVAAAqYaJ.jpg", "http://pbs.twimg.com/media/DdW2eNpVAAAqYaJ.jpg")</f>
        <v/>
      </c>
      <c r="G833" t="s"/>
      <c r="H833" t="s"/>
      <c r="I833" t="s"/>
      <c r="J833" t="n">
        <v>0</v>
      </c>
      <c r="K833" t="n">
        <v>0</v>
      </c>
      <c r="L833" t="n">
        <v>1</v>
      </c>
      <c r="M833" t="n">
        <v>0</v>
      </c>
    </row>
    <row r="834" spans="1:13">
      <c r="A834" s="1">
        <f>HYPERLINK("http://www.twitter.com/NathanBLawrence/status/996907861874704385", "996907861874704385")</f>
        <v/>
      </c>
      <c r="B834" s="2" t="n">
        <v>43237.01307870371</v>
      </c>
      <c r="C834" t="n">
        <v>0</v>
      </c>
      <c r="D834" t="n">
        <v>5</v>
      </c>
      <c r="E834" t="s">
        <v>840</v>
      </c>
      <c r="F834" t="s"/>
      <c r="G834" t="s"/>
      <c r="H834" t="s"/>
      <c r="I834" t="s"/>
      <c r="J834" t="n">
        <v>-0.1531</v>
      </c>
      <c r="K834" t="n">
        <v>0.115</v>
      </c>
      <c r="L834" t="n">
        <v>0.791</v>
      </c>
      <c r="M834" t="n">
        <v>0.094</v>
      </c>
    </row>
    <row r="835" spans="1:13">
      <c r="A835" s="1">
        <f>HYPERLINK("http://www.twitter.com/NathanBLawrence/status/996907776818450432", "996907776818450432")</f>
        <v/>
      </c>
      <c r="B835" s="2" t="n">
        <v>43237.01284722222</v>
      </c>
      <c r="C835" t="n">
        <v>0</v>
      </c>
      <c r="D835" t="n">
        <v>8</v>
      </c>
      <c r="E835" t="s">
        <v>841</v>
      </c>
      <c r="F835">
        <f>HYPERLINK("http://pbs.twimg.com/media/DdW3wMlX0AATztx.jpg", "http://pbs.twimg.com/media/DdW3wMlX0AATztx.jpg")</f>
        <v/>
      </c>
      <c r="G835" t="s"/>
      <c r="H835" t="s"/>
      <c r="I835" t="s"/>
      <c r="J835" t="n">
        <v>0</v>
      </c>
      <c r="K835" t="n">
        <v>0</v>
      </c>
      <c r="L835" t="n">
        <v>1</v>
      </c>
      <c r="M835" t="n">
        <v>0</v>
      </c>
    </row>
    <row r="836" spans="1:13">
      <c r="A836" s="1">
        <f>HYPERLINK("http://www.twitter.com/NathanBLawrence/status/996895948805738496", "996895948805738496")</f>
        <v/>
      </c>
      <c r="B836" s="2" t="n">
        <v>43236.98020833333</v>
      </c>
      <c r="C836" t="n">
        <v>0</v>
      </c>
      <c r="D836" t="n">
        <v>0</v>
      </c>
      <c r="E836" t="s">
        <v>842</v>
      </c>
      <c r="F836" t="s"/>
      <c r="G836" t="s"/>
      <c r="H836" t="s"/>
      <c r="I836" t="s"/>
      <c r="J836" t="n">
        <v>-0.5106000000000001</v>
      </c>
      <c r="K836" t="n">
        <v>0.202</v>
      </c>
      <c r="L836" t="n">
        <v>0.798</v>
      </c>
      <c r="M836" t="n">
        <v>0</v>
      </c>
    </row>
    <row r="837" spans="1:13">
      <c r="A837" s="1">
        <f>HYPERLINK("http://www.twitter.com/NathanBLawrence/status/996889876569214979", "996889876569214979")</f>
        <v/>
      </c>
      <c r="B837" s="2" t="n">
        <v>43236.96344907407</v>
      </c>
      <c r="C837" t="n">
        <v>7</v>
      </c>
      <c r="D837" t="n">
        <v>5</v>
      </c>
      <c r="E837" t="s">
        <v>843</v>
      </c>
      <c r="F837" t="s"/>
      <c r="G837" t="s"/>
      <c r="H837" t="s"/>
      <c r="I837" t="s"/>
      <c r="J837" t="n">
        <v>0.4137</v>
      </c>
      <c r="K837" t="n">
        <v>0.054</v>
      </c>
      <c r="L837" t="n">
        <v>0.845</v>
      </c>
      <c r="M837" t="n">
        <v>0.101</v>
      </c>
    </row>
    <row r="838" spans="1:13">
      <c r="A838" s="1">
        <f>HYPERLINK("http://www.twitter.com/NathanBLawrence/status/996889237382467584", "996889237382467584")</f>
        <v/>
      </c>
      <c r="B838" s="2" t="n">
        <v>43236.96168981482</v>
      </c>
      <c r="C838" t="n">
        <v>0</v>
      </c>
      <c r="D838" t="n">
        <v>12</v>
      </c>
      <c r="E838" t="s">
        <v>844</v>
      </c>
      <c r="F838" t="s"/>
      <c r="G838" t="s"/>
      <c r="H838" t="s"/>
      <c r="I838" t="s"/>
      <c r="J838" t="n">
        <v>-0.5574</v>
      </c>
      <c r="K838" t="n">
        <v>0.159</v>
      </c>
      <c r="L838" t="n">
        <v>0.841</v>
      </c>
      <c r="M838" t="n">
        <v>0</v>
      </c>
    </row>
    <row r="839" spans="1:13">
      <c r="A839" s="1">
        <f>HYPERLINK("http://www.twitter.com/NathanBLawrence/status/996888449029419008", "996888449029419008")</f>
        <v/>
      </c>
      <c r="B839" s="2" t="n">
        <v>43236.95951388889</v>
      </c>
      <c r="C839" t="n">
        <v>6</v>
      </c>
      <c r="D839" t="n">
        <v>5</v>
      </c>
      <c r="E839" t="s">
        <v>845</v>
      </c>
      <c r="F839" t="s"/>
      <c r="G839" t="s"/>
      <c r="H839" t="s"/>
      <c r="I839" t="s"/>
      <c r="J839" t="n">
        <v>0.2263</v>
      </c>
      <c r="K839" t="n">
        <v>0</v>
      </c>
      <c r="L839" t="n">
        <v>0.927</v>
      </c>
      <c r="M839" t="n">
        <v>0.073</v>
      </c>
    </row>
    <row r="840" spans="1:13">
      <c r="A840" s="1">
        <f>HYPERLINK("http://www.twitter.com/NathanBLawrence/status/996888244032860161", "996888244032860161")</f>
        <v/>
      </c>
      <c r="B840" s="2" t="n">
        <v>43236.95894675926</v>
      </c>
      <c r="C840" t="n">
        <v>8</v>
      </c>
      <c r="D840" t="n">
        <v>7</v>
      </c>
      <c r="E840" t="s">
        <v>846</v>
      </c>
      <c r="F840" t="s"/>
      <c r="G840" t="s"/>
      <c r="H840" t="s"/>
      <c r="I840" t="s"/>
      <c r="J840" t="n">
        <v>-0.4723</v>
      </c>
      <c r="K840" t="n">
        <v>0.132</v>
      </c>
      <c r="L840" t="n">
        <v>0.8159999999999999</v>
      </c>
      <c r="M840" t="n">
        <v>0.052</v>
      </c>
    </row>
    <row r="841" spans="1:13">
      <c r="A841" s="1">
        <f>HYPERLINK("http://www.twitter.com/NathanBLawrence/status/996847597632524288", "996847597632524288")</f>
        <v/>
      </c>
      <c r="B841" s="2" t="n">
        <v>43236.84678240741</v>
      </c>
      <c r="C841" t="n">
        <v>1</v>
      </c>
      <c r="D841" t="n">
        <v>1</v>
      </c>
      <c r="E841" t="s">
        <v>847</v>
      </c>
      <c r="F841" t="s"/>
      <c r="G841" t="s"/>
      <c r="H841" t="s"/>
      <c r="I841" t="s"/>
      <c r="J841" t="n">
        <v>0</v>
      </c>
      <c r="K841" t="n">
        <v>0</v>
      </c>
      <c r="L841" t="n">
        <v>1</v>
      </c>
      <c r="M841" t="n">
        <v>0</v>
      </c>
    </row>
    <row r="842" spans="1:13">
      <c r="A842" s="1">
        <f>HYPERLINK("http://www.twitter.com/NathanBLawrence/status/996834696750338048", "996834696750338048")</f>
        <v/>
      </c>
      <c r="B842" s="2" t="n">
        <v>43236.81118055555</v>
      </c>
      <c r="C842" t="n">
        <v>4</v>
      </c>
      <c r="D842" t="n">
        <v>1</v>
      </c>
      <c r="E842" t="s">
        <v>848</v>
      </c>
      <c r="F842" t="s"/>
      <c r="G842" t="s"/>
      <c r="H842" t="s"/>
      <c r="I842" t="s"/>
      <c r="J842" t="n">
        <v>0.4738</v>
      </c>
      <c r="K842" t="n">
        <v>0</v>
      </c>
      <c r="L842" t="n">
        <v>0.829</v>
      </c>
      <c r="M842" t="n">
        <v>0.171</v>
      </c>
    </row>
    <row r="843" spans="1:13">
      <c r="A843" s="1">
        <f>HYPERLINK("http://www.twitter.com/NathanBLawrence/status/996834560401952774", "996834560401952774")</f>
        <v/>
      </c>
      <c r="B843" s="2" t="n">
        <v>43236.81081018518</v>
      </c>
      <c r="C843" t="n">
        <v>0</v>
      </c>
      <c r="D843" t="n">
        <v>8</v>
      </c>
      <c r="E843" t="s">
        <v>849</v>
      </c>
      <c r="F843" t="s"/>
      <c r="G843" t="s"/>
      <c r="H843" t="s"/>
      <c r="I843" t="s"/>
      <c r="J843" t="n">
        <v>0</v>
      </c>
      <c r="K843" t="n">
        <v>0</v>
      </c>
      <c r="L843" t="n">
        <v>1</v>
      </c>
      <c r="M843" t="n">
        <v>0</v>
      </c>
    </row>
    <row r="844" spans="1:13">
      <c r="A844" s="1">
        <f>HYPERLINK("http://www.twitter.com/NathanBLawrence/status/996834508644155392", "996834508644155392")</f>
        <v/>
      </c>
      <c r="B844" s="2" t="n">
        <v>43236.81065972222</v>
      </c>
      <c r="C844" t="n">
        <v>0</v>
      </c>
      <c r="D844" t="n">
        <v>8</v>
      </c>
      <c r="E844" t="s">
        <v>850</v>
      </c>
      <c r="F844" t="s"/>
      <c r="G844" t="s"/>
      <c r="H844" t="s"/>
      <c r="I844" t="s"/>
      <c r="J844" t="n">
        <v>0</v>
      </c>
      <c r="K844" t="n">
        <v>0</v>
      </c>
      <c r="L844" t="n">
        <v>1</v>
      </c>
      <c r="M844" t="n">
        <v>0</v>
      </c>
    </row>
    <row r="845" spans="1:13">
      <c r="A845" s="1">
        <f>HYPERLINK("http://www.twitter.com/NathanBLawrence/status/996828298155085826", "996828298155085826")</f>
        <v/>
      </c>
      <c r="B845" s="2" t="n">
        <v>43236.79353009259</v>
      </c>
      <c r="C845" t="n">
        <v>0</v>
      </c>
      <c r="D845" t="n">
        <v>6</v>
      </c>
      <c r="E845" t="s">
        <v>851</v>
      </c>
      <c r="F845" t="s"/>
      <c r="G845" t="s"/>
      <c r="H845" t="s"/>
      <c r="I845" t="s"/>
      <c r="J845" t="n">
        <v>0.4404</v>
      </c>
      <c r="K845" t="n">
        <v>0</v>
      </c>
      <c r="L845" t="n">
        <v>0.888</v>
      </c>
      <c r="M845" t="n">
        <v>0.112</v>
      </c>
    </row>
    <row r="846" spans="1:13">
      <c r="A846" s="1">
        <f>HYPERLINK("http://www.twitter.com/NathanBLawrence/status/996828264479055872", "996828264479055872")</f>
        <v/>
      </c>
      <c r="B846" s="2" t="n">
        <v>43236.7934375</v>
      </c>
      <c r="C846" t="n">
        <v>0</v>
      </c>
      <c r="D846" t="n">
        <v>8</v>
      </c>
      <c r="E846" t="s">
        <v>852</v>
      </c>
      <c r="F846" t="s"/>
      <c r="G846" t="s"/>
      <c r="H846" t="s"/>
      <c r="I846" t="s"/>
      <c r="J846" t="n">
        <v>0</v>
      </c>
      <c r="K846" t="n">
        <v>0</v>
      </c>
      <c r="L846" t="n">
        <v>1</v>
      </c>
      <c r="M846" t="n">
        <v>0</v>
      </c>
    </row>
    <row r="847" spans="1:13">
      <c r="A847" s="1">
        <f>HYPERLINK("http://www.twitter.com/NathanBLawrence/status/996828215388893184", "996828215388893184")</f>
        <v/>
      </c>
      <c r="B847" s="2" t="n">
        <v>43236.79329861111</v>
      </c>
      <c r="C847" t="n">
        <v>0</v>
      </c>
      <c r="D847" t="n">
        <v>39</v>
      </c>
      <c r="E847" t="s">
        <v>853</v>
      </c>
      <c r="F847" t="s"/>
      <c r="G847" t="s"/>
      <c r="H847" t="s"/>
      <c r="I847" t="s"/>
      <c r="J847" t="n">
        <v>0.128</v>
      </c>
      <c r="K847" t="n">
        <v>0</v>
      </c>
      <c r="L847" t="n">
        <v>0.93</v>
      </c>
      <c r="M847" t="n">
        <v>0.07000000000000001</v>
      </c>
    </row>
    <row r="848" spans="1:13">
      <c r="A848" s="1">
        <f>HYPERLINK("http://www.twitter.com/NathanBLawrence/status/996828177258483712", "996828177258483712")</f>
        <v/>
      </c>
      <c r="B848" s="2" t="n">
        <v>43236.79319444444</v>
      </c>
      <c r="C848" t="n">
        <v>10</v>
      </c>
      <c r="D848" t="n">
        <v>8</v>
      </c>
      <c r="E848" t="s">
        <v>854</v>
      </c>
      <c r="F848" t="s"/>
      <c r="G848" t="s"/>
      <c r="H848" t="s"/>
      <c r="I848" t="s"/>
      <c r="J848" t="n">
        <v>0</v>
      </c>
      <c r="K848" t="n">
        <v>0</v>
      </c>
      <c r="L848" t="n">
        <v>1</v>
      </c>
      <c r="M848" t="n">
        <v>0</v>
      </c>
    </row>
    <row r="849" spans="1:13">
      <c r="A849" s="1">
        <f>HYPERLINK("http://www.twitter.com/NathanBLawrence/status/996827839583477760", "996827839583477760")</f>
        <v/>
      </c>
      <c r="B849" s="2" t="n">
        <v>43236.79225694444</v>
      </c>
      <c r="C849" t="n">
        <v>13</v>
      </c>
      <c r="D849" t="n">
        <v>8</v>
      </c>
      <c r="E849" t="s">
        <v>855</v>
      </c>
      <c r="F849" t="s"/>
      <c r="G849" t="s"/>
      <c r="H849" t="s"/>
      <c r="I849" t="s"/>
      <c r="J849" t="n">
        <v>0</v>
      </c>
      <c r="K849" t="n">
        <v>0</v>
      </c>
      <c r="L849" t="n">
        <v>1</v>
      </c>
      <c r="M849" t="n">
        <v>0</v>
      </c>
    </row>
    <row r="850" spans="1:13">
      <c r="A850" s="1">
        <f>HYPERLINK("http://www.twitter.com/NathanBLawrence/status/996827302561492993", "996827302561492993")</f>
        <v/>
      </c>
      <c r="B850" s="2" t="n">
        <v>43236.79077546296</v>
      </c>
      <c r="C850" t="n">
        <v>0</v>
      </c>
      <c r="D850" t="n">
        <v>17</v>
      </c>
      <c r="E850" t="s">
        <v>856</v>
      </c>
      <c r="F850" t="s"/>
      <c r="G850" t="s"/>
      <c r="H850" t="s"/>
      <c r="I850" t="s"/>
      <c r="J850" t="n">
        <v>0</v>
      </c>
      <c r="K850" t="n">
        <v>0</v>
      </c>
      <c r="L850" t="n">
        <v>1</v>
      </c>
      <c r="M850" t="n">
        <v>0</v>
      </c>
    </row>
    <row r="851" spans="1:13">
      <c r="A851" s="1">
        <f>HYPERLINK("http://www.twitter.com/NathanBLawrence/status/996827210127470593", "996827210127470593")</f>
        <v/>
      </c>
      <c r="B851" s="2" t="n">
        <v>43236.79052083333</v>
      </c>
      <c r="C851" t="n">
        <v>0</v>
      </c>
      <c r="D851" t="n">
        <v>0</v>
      </c>
      <c r="E851" t="s">
        <v>857</v>
      </c>
      <c r="F851" t="s"/>
      <c r="G851" t="s"/>
      <c r="H851" t="s"/>
      <c r="I851" t="s"/>
      <c r="J851" t="n">
        <v>0</v>
      </c>
      <c r="K851" t="n">
        <v>0</v>
      </c>
      <c r="L851" t="n">
        <v>1</v>
      </c>
      <c r="M851" t="n">
        <v>0</v>
      </c>
    </row>
    <row r="852" spans="1:13">
      <c r="A852" s="1">
        <f>HYPERLINK("http://www.twitter.com/NathanBLawrence/status/996818895234314240", "996818895234314240")</f>
        <v/>
      </c>
      <c r="B852" s="2" t="n">
        <v>43236.76758101852</v>
      </c>
      <c r="C852" t="n">
        <v>10</v>
      </c>
      <c r="D852" t="n">
        <v>6</v>
      </c>
      <c r="E852" t="s">
        <v>858</v>
      </c>
      <c r="F852" t="s"/>
      <c r="G852" t="s"/>
      <c r="H852" t="s"/>
      <c r="I852" t="s"/>
      <c r="J852" t="n">
        <v>-0.128</v>
      </c>
      <c r="K852" t="n">
        <v>0.079</v>
      </c>
      <c r="L852" t="n">
        <v>0.855</v>
      </c>
      <c r="M852" t="n">
        <v>0.067</v>
      </c>
    </row>
    <row r="853" spans="1:13">
      <c r="A853" s="1">
        <f>HYPERLINK("http://www.twitter.com/NathanBLawrence/status/996818386289070080", "996818386289070080")</f>
        <v/>
      </c>
      <c r="B853" s="2" t="n">
        <v>43236.76616898148</v>
      </c>
      <c r="C853" t="n">
        <v>0</v>
      </c>
      <c r="D853" t="n">
        <v>5</v>
      </c>
      <c r="E853" t="s">
        <v>859</v>
      </c>
      <c r="F853" t="s"/>
      <c r="G853" t="s"/>
      <c r="H853" t="s"/>
      <c r="I853" t="s"/>
      <c r="J853" t="n">
        <v>0</v>
      </c>
      <c r="K853" t="n">
        <v>0</v>
      </c>
      <c r="L853" t="n">
        <v>1</v>
      </c>
      <c r="M853" t="n">
        <v>0</v>
      </c>
    </row>
    <row r="854" spans="1:13">
      <c r="A854" s="1">
        <f>HYPERLINK("http://www.twitter.com/NathanBLawrence/status/996818324863537152", "996818324863537152")</f>
        <v/>
      </c>
      <c r="B854" s="2" t="n">
        <v>43236.76600694445</v>
      </c>
      <c r="C854" t="n">
        <v>0</v>
      </c>
      <c r="D854" t="n">
        <v>8</v>
      </c>
      <c r="E854" t="s">
        <v>860</v>
      </c>
      <c r="F854" t="s"/>
      <c r="G854" t="s"/>
      <c r="H854" t="s"/>
      <c r="I854" t="s"/>
      <c r="J854" t="n">
        <v>0</v>
      </c>
      <c r="K854" t="n">
        <v>0</v>
      </c>
      <c r="L854" t="n">
        <v>1</v>
      </c>
      <c r="M854" t="n">
        <v>0</v>
      </c>
    </row>
    <row r="855" spans="1:13">
      <c r="A855" s="1">
        <f>HYPERLINK("http://www.twitter.com/NathanBLawrence/status/996818264192897025", "996818264192897025")</f>
        <v/>
      </c>
      <c r="B855" s="2" t="n">
        <v>43236.76583333333</v>
      </c>
      <c r="C855" t="n">
        <v>0</v>
      </c>
      <c r="D855" t="n">
        <v>5</v>
      </c>
      <c r="E855" t="s">
        <v>861</v>
      </c>
      <c r="F855" t="s"/>
      <c r="G855" t="s"/>
      <c r="H855" t="s"/>
      <c r="I855" t="s"/>
      <c r="J855" t="n">
        <v>-0.4019</v>
      </c>
      <c r="K855" t="n">
        <v>0.119</v>
      </c>
      <c r="L855" t="n">
        <v>0.881</v>
      </c>
      <c r="M855" t="n">
        <v>0</v>
      </c>
    </row>
    <row r="856" spans="1:13">
      <c r="A856" s="1">
        <f>HYPERLINK("http://www.twitter.com/NathanBLawrence/status/996818164775350272", "996818164775350272")</f>
        <v/>
      </c>
      <c r="B856" s="2" t="n">
        <v>43236.76556712963</v>
      </c>
      <c r="C856" t="n">
        <v>0</v>
      </c>
      <c r="D856" t="n">
        <v>4</v>
      </c>
      <c r="E856" t="s">
        <v>862</v>
      </c>
      <c r="F856" t="s"/>
      <c r="G856" t="s"/>
      <c r="H856" t="s"/>
      <c r="I856" t="s"/>
      <c r="J856" t="n">
        <v>-0.7096</v>
      </c>
      <c r="K856" t="n">
        <v>0.247</v>
      </c>
      <c r="L856" t="n">
        <v>0.753</v>
      </c>
      <c r="M856" t="n">
        <v>0</v>
      </c>
    </row>
    <row r="857" spans="1:13">
      <c r="A857" s="1">
        <f>HYPERLINK("http://www.twitter.com/NathanBLawrence/status/996818127005605888", "996818127005605888")</f>
        <v/>
      </c>
      <c r="B857" s="2" t="n">
        <v>43236.76546296296</v>
      </c>
      <c r="C857" t="n">
        <v>0</v>
      </c>
      <c r="D857" t="n">
        <v>5</v>
      </c>
      <c r="E857" t="s">
        <v>863</v>
      </c>
      <c r="F857">
        <f>HYPERLINK("http://pbs.twimg.com/media/DdNNmBfWkAIePMt.jpg", "http://pbs.twimg.com/media/DdNNmBfWkAIePMt.jpg")</f>
        <v/>
      </c>
      <c r="G857" t="s"/>
      <c r="H857" t="s"/>
      <c r="I857" t="s"/>
      <c r="J857" t="n">
        <v>-0.4939</v>
      </c>
      <c r="K857" t="n">
        <v>0.167</v>
      </c>
      <c r="L857" t="n">
        <v>0.833</v>
      </c>
      <c r="M857" t="n">
        <v>0</v>
      </c>
    </row>
    <row r="858" spans="1:13">
      <c r="A858" s="1">
        <f>HYPERLINK("http://www.twitter.com/NathanBLawrence/status/996818105409130497", "996818105409130497")</f>
        <v/>
      </c>
      <c r="B858" s="2" t="n">
        <v>43236.76539351852</v>
      </c>
      <c r="C858" t="n">
        <v>0</v>
      </c>
      <c r="D858" t="n">
        <v>41</v>
      </c>
      <c r="E858" t="s">
        <v>864</v>
      </c>
      <c r="F858">
        <f>HYPERLINK("http://pbs.twimg.com/media/DdQM4AkUwAAdliJ.jpg", "http://pbs.twimg.com/media/DdQM4AkUwAAdliJ.jpg")</f>
        <v/>
      </c>
      <c r="G858" t="s"/>
      <c r="H858" t="s"/>
      <c r="I858" t="s"/>
      <c r="J858" t="n">
        <v>-0.4404</v>
      </c>
      <c r="K858" t="n">
        <v>0.139</v>
      </c>
      <c r="L858" t="n">
        <v>0.861</v>
      </c>
      <c r="M858" t="n">
        <v>0</v>
      </c>
    </row>
    <row r="859" spans="1:13">
      <c r="A859" s="1">
        <f>HYPERLINK("http://www.twitter.com/NathanBLawrence/status/996818075184922625", "996818075184922625")</f>
        <v/>
      </c>
      <c r="B859" s="2" t="n">
        <v>43236.7653125</v>
      </c>
      <c r="C859" t="n">
        <v>0</v>
      </c>
      <c r="D859" t="n">
        <v>16</v>
      </c>
      <c r="E859" t="s">
        <v>865</v>
      </c>
      <c r="F859">
        <f>HYPERLINK("http://pbs.twimg.com/media/DdVoL0IXcAAr1Ph.jpg", "http://pbs.twimg.com/media/DdVoL0IXcAAr1Ph.jpg")</f>
        <v/>
      </c>
      <c r="G859" t="s"/>
      <c r="H859" t="s"/>
      <c r="I859" t="s"/>
      <c r="J859" t="n">
        <v>-0.6114000000000001</v>
      </c>
      <c r="K859" t="n">
        <v>0.192</v>
      </c>
      <c r="L859" t="n">
        <v>0.8080000000000001</v>
      </c>
      <c r="M859" t="n">
        <v>0</v>
      </c>
    </row>
    <row r="860" spans="1:13">
      <c r="A860" s="1">
        <f>HYPERLINK("http://www.twitter.com/NathanBLawrence/status/996818021040689153", "996818021040689153")</f>
        <v/>
      </c>
      <c r="B860" s="2" t="n">
        <v>43236.76516203704</v>
      </c>
      <c r="C860" t="n">
        <v>0</v>
      </c>
      <c r="D860" t="n">
        <v>4</v>
      </c>
      <c r="E860" t="s">
        <v>866</v>
      </c>
      <c r="F860" t="s"/>
      <c r="G860" t="s"/>
      <c r="H860" t="s"/>
      <c r="I860" t="s"/>
      <c r="J860" t="n">
        <v>0.4404</v>
      </c>
      <c r="K860" t="n">
        <v>0</v>
      </c>
      <c r="L860" t="n">
        <v>0.873</v>
      </c>
      <c r="M860" t="n">
        <v>0.127</v>
      </c>
    </row>
    <row r="861" spans="1:13">
      <c r="A861" s="1">
        <f>HYPERLINK("http://www.twitter.com/NathanBLawrence/status/996571849025818625", "996571849025818625")</f>
        <v/>
      </c>
      <c r="B861" s="2" t="n">
        <v>43236.08585648148</v>
      </c>
      <c r="C861" t="n">
        <v>0</v>
      </c>
      <c r="D861" t="n">
        <v>15</v>
      </c>
      <c r="E861" t="s">
        <v>867</v>
      </c>
      <c r="F861" t="s"/>
      <c r="G861" t="s"/>
      <c r="H861" t="s"/>
      <c r="I861" t="s"/>
      <c r="J861" t="n">
        <v>0.1779</v>
      </c>
      <c r="K861" t="n">
        <v>0.08799999999999999</v>
      </c>
      <c r="L861" t="n">
        <v>0.797</v>
      </c>
      <c r="M861" t="n">
        <v>0.116</v>
      </c>
    </row>
    <row r="862" spans="1:13">
      <c r="A862" s="1">
        <f>HYPERLINK("http://www.twitter.com/NathanBLawrence/status/996561134026182656", "996561134026182656")</f>
        <v/>
      </c>
      <c r="B862" s="2" t="n">
        <v>43236.05629629629</v>
      </c>
      <c r="C862" t="n">
        <v>14</v>
      </c>
      <c r="D862" t="n">
        <v>15</v>
      </c>
      <c r="E862" t="s">
        <v>868</v>
      </c>
      <c r="F862" t="s"/>
      <c r="G862" t="s"/>
      <c r="H862" t="s"/>
      <c r="I862" t="s"/>
      <c r="J862" t="n">
        <v>0.1779</v>
      </c>
      <c r="K862" t="n">
        <v>0.08400000000000001</v>
      </c>
      <c r="L862" t="n">
        <v>0.805</v>
      </c>
      <c r="M862" t="n">
        <v>0.111</v>
      </c>
    </row>
    <row r="863" spans="1:13">
      <c r="A863" s="1">
        <f>HYPERLINK("http://www.twitter.com/NathanBLawrence/status/996560615819874306", "996560615819874306")</f>
        <v/>
      </c>
      <c r="B863" s="2" t="n">
        <v>43236.05486111111</v>
      </c>
      <c r="C863" t="n">
        <v>0</v>
      </c>
      <c r="D863" t="n">
        <v>2</v>
      </c>
      <c r="E863" t="s">
        <v>869</v>
      </c>
      <c r="F863" t="s"/>
      <c r="G863" t="s"/>
      <c r="H863" t="s"/>
      <c r="I863" t="s"/>
      <c r="J863" t="n">
        <v>0.7184</v>
      </c>
      <c r="K863" t="n">
        <v>0.074</v>
      </c>
      <c r="L863" t="n">
        <v>0.638</v>
      </c>
      <c r="M863" t="n">
        <v>0.287</v>
      </c>
    </row>
    <row r="864" spans="1:13">
      <c r="A864" s="1">
        <f>HYPERLINK("http://www.twitter.com/NathanBLawrence/status/996530664521584641", "996530664521584641")</f>
        <v/>
      </c>
      <c r="B864" s="2" t="n">
        <v>43235.97221064815</v>
      </c>
      <c r="C864" t="n">
        <v>13</v>
      </c>
      <c r="D864" t="n">
        <v>4</v>
      </c>
      <c r="E864" t="s">
        <v>870</v>
      </c>
      <c r="F864" t="s"/>
      <c r="G864" t="s"/>
      <c r="H864" t="s"/>
      <c r="I864" t="s"/>
      <c r="J864" t="n">
        <v>0.4404</v>
      </c>
      <c r="K864" t="n">
        <v>0</v>
      </c>
      <c r="L864" t="n">
        <v>0.868</v>
      </c>
      <c r="M864" t="n">
        <v>0.132</v>
      </c>
    </row>
    <row r="865" spans="1:13">
      <c r="A865" s="1">
        <f>HYPERLINK("http://www.twitter.com/NathanBLawrence/status/996530457771732993", "996530457771732993")</f>
        <v/>
      </c>
      <c r="B865" s="2" t="n">
        <v>43235.97164351852</v>
      </c>
      <c r="C865" t="n">
        <v>0</v>
      </c>
      <c r="D865" t="n">
        <v>3</v>
      </c>
      <c r="E865" t="s">
        <v>871</v>
      </c>
      <c r="F865" t="s"/>
      <c r="G865" t="s"/>
      <c r="H865" t="s"/>
      <c r="I865" t="s"/>
      <c r="J865" t="n">
        <v>0</v>
      </c>
      <c r="K865" t="n">
        <v>0</v>
      </c>
      <c r="L865" t="n">
        <v>1</v>
      </c>
      <c r="M865" t="n">
        <v>0</v>
      </c>
    </row>
    <row r="866" spans="1:13">
      <c r="A866" s="1">
        <f>HYPERLINK("http://www.twitter.com/NathanBLawrence/status/996524651005259777", "996524651005259777")</f>
        <v/>
      </c>
      <c r="B866" s="2" t="n">
        <v>43235.95561342593</v>
      </c>
      <c r="C866" t="n">
        <v>0</v>
      </c>
      <c r="D866" t="n">
        <v>3</v>
      </c>
      <c r="E866" t="s">
        <v>872</v>
      </c>
      <c r="F866" t="s"/>
      <c r="G866" t="s"/>
      <c r="H866" t="s"/>
      <c r="I866" t="s"/>
      <c r="J866" t="n">
        <v>0</v>
      </c>
      <c r="K866" t="n">
        <v>0</v>
      </c>
      <c r="L866" t="n">
        <v>1</v>
      </c>
      <c r="M866" t="n">
        <v>0</v>
      </c>
    </row>
    <row r="867" spans="1:13">
      <c r="A867" s="1">
        <f>HYPERLINK("http://www.twitter.com/NathanBLawrence/status/996524477067513856", "996524477067513856")</f>
        <v/>
      </c>
      <c r="B867" s="2" t="n">
        <v>43235.95513888889</v>
      </c>
      <c r="C867" t="n">
        <v>0</v>
      </c>
      <c r="D867" t="n">
        <v>16</v>
      </c>
      <c r="E867" t="s">
        <v>873</v>
      </c>
      <c r="F867" t="s"/>
      <c r="G867" t="s"/>
      <c r="H867" t="s"/>
      <c r="I867" t="s"/>
      <c r="J867" t="n">
        <v>0.3612</v>
      </c>
      <c r="K867" t="n">
        <v>0</v>
      </c>
      <c r="L867" t="n">
        <v>0.902</v>
      </c>
      <c r="M867" t="n">
        <v>0.098</v>
      </c>
    </row>
    <row r="868" spans="1:13">
      <c r="A868" s="1">
        <f>HYPERLINK("http://www.twitter.com/NathanBLawrence/status/996522492998115329", "996522492998115329")</f>
        <v/>
      </c>
      <c r="B868" s="2" t="n">
        <v>43235.94966435185</v>
      </c>
      <c r="C868" t="n">
        <v>0</v>
      </c>
      <c r="D868" t="n">
        <v>3</v>
      </c>
      <c r="E868" t="s">
        <v>874</v>
      </c>
      <c r="F868" t="s"/>
      <c r="G868" t="s"/>
      <c r="H868" t="s"/>
      <c r="I868" t="s"/>
      <c r="J868" t="n">
        <v>0</v>
      </c>
      <c r="K868" t="n">
        <v>0</v>
      </c>
      <c r="L868" t="n">
        <v>1</v>
      </c>
      <c r="M868" t="n">
        <v>0</v>
      </c>
    </row>
    <row r="869" spans="1:13">
      <c r="A869" s="1">
        <f>HYPERLINK("http://www.twitter.com/NathanBLawrence/status/996520943194378240", "996520943194378240")</f>
        <v/>
      </c>
      <c r="B869" s="2" t="n">
        <v>43235.94538194445</v>
      </c>
      <c r="C869" t="n">
        <v>4</v>
      </c>
      <c r="D869" t="n">
        <v>3</v>
      </c>
      <c r="E869" t="s">
        <v>875</v>
      </c>
      <c r="F869" t="s"/>
      <c r="G869" t="s"/>
      <c r="H869" t="s"/>
      <c r="I869" t="s"/>
      <c r="J869" t="n">
        <v>0</v>
      </c>
      <c r="K869" t="n">
        <v>0</v>
      </c>
      <c r="L869" t="n">
        <v>1</v>
      </c>
      <c r="M869" t="n">
        <v>0</v>
      </c>
    </row>
    <row r="870" spans="1:13">
      <c r="A870" s="1">
        <f>HYPERLINK("http://www.twitter.com/NathanBLawrence/status/996520622653140992", "996520622653140992")</f>
        <v/>
      </c>
      <c r="B870" s="2" t="n">
        <v>43235.94450231481</v>
      </c>
      <c r="C870" t="n">
        <v>0</v>
      </c>
      <c r="D870" t="n">
        <v>5</v>
      </c>
      <c r="E870" t="s">
        <v>876</v>
      </c>
      <c r="F870" t="s"/>
      <c r="G870" t="s"/>
      <c r="H870" t="s"/>
      <c r="I870" t="s"/>
      <c r="J870" t="n">
        <v>-0.765</v>
      </c>
      <c r="K870" t="n">
        <v>0.338</v>
      </c>
      <c r="L870" t="n">
        <v>0.586</v>
      </c>
      <c r="M870" t="n">
        <v>0.076</v>
      </c>
    </row>
    <row r="871" spans="1:13">
      <c r="A871" s="1">
        <f>HYPERLINK("http://www.twitter.com/NathanBLawrence/status/996520553568710657", "996520553568710657")</f>
        <v/>
      </c>
      <c r="B871" s="2" t="n">
        <v>43235.94431712963</v>
      </c>
      <c r="C871" t="n">
        <v>0</v>
      </c>
      <c r="D871" t="n">
        <v>5</v>
      </c>
      <c r="E871" t="s">
        <v>877</v>
      </c>
      <c r="F871" t="s"/>
      <c r="G871" t="s"/>
      <c r="H871" t="s"/>
      <c r="I871" t="s"/>
      <c r="J871" t="n">
        <v>0.0772</v>
      </c>
      <c r="K871" t="n">
        <v>0</v>
      </c>
      <c r="L871" t="n">
        <v>0.9419999999999999</v>
      </c>
      <c r="M871" t="n">
        <v>0.058</v>
      </c>
    </row>
    <row r="872" spans="1:13">
      <c r="A872" s="1">
        <f>HYPERLINK("http://www.twitter.com/NathanBLawrence/status/996520522828668928", "996520522828668928")</f>
        <v/>
      </c>
      <c r="B872" s="2" t="n">
        <v>43235.94422453704</v>
      </c>
      <c r="C872" t="n">
        <v>0</v>
      </c>
      <c r="D872" t="n">
        <v>6</v>
      </c>
      <c r="E872" t="s">
        <v>878</v>
      </c>
      <c r="F872" t="s"/>
      <c r="G872" t="s"/>
      <c r="H872" t="s"/>
      <c r="I872" t="s"/>
      <c r="J872" t="n">
        <v>0</v>
      </c>
      <c r="K872" t="n">
        <v>0</v>
      </c>
      <c r="L872" t="n">
        <v>1</v>
      </c>
      <c r="M872" t="n">
        <v>0</v>
      </c>
    </row>
    <row r="873" spans="1:13">
      <c r="A873" s="1">
        <f>HYPERLINK("http://www.twitter.com/NathanBLawrence/status/996520483611971585", "996520483611971585")</f>
        <v/>
      </c>
      <c r="B873" s="2" t="n">
        <v>43235.94412037037</v>
      </c>
      <c r="C873" t="n">
        <v>0</v>
      </c>
      <c r="D873" t="n">
        <v>18</v>
      </c>
      <c r="E873" t="s">
        <v>879</v>
      </c>
      <c r="F873" t="s"/>
      <c r="G873" t="s"/>
      <c r="H873" t="s"/>
      <c r="I873" t="s"/>
      <c r="J873" t="n">
        <v>0</v>
      </c>
      <c r="K873" t="n">
        <v>0</v>
      </c>
      <c r="L873" t="n">
        <v>1</v>
      </c>
      <c r="M873" t="n">
        <v>0</v>
      </c>
    </row>
    <row r="874" spans="1:13">
      <c r="A874" s="1">
        <f>HYPERLINK("http://www.twitter.com/NathanBLawrence/status/996520452184043522", "996520452184043522")</f>
        <v/>
      </c>
      <c r="B874" s="2" t="n">
        <v>43235.94402777778</v>
      </c>
      <c r="C874" t="n">
        <v>0</v>
      </c>
      <c r="D874" t="n">
        <v>7</v>
      </c>
      <c r="E874" t="s">
        <v>880</v>
      </c>
      <c r="F874" t="s"/>
      <c r="G874" t="s"/>
      <c r="H874" t="s"/>
      <c r="I874" t="s"/>
      <c r="J874" t="n">
        <v>0.0772</v>
      </c>
      <c r="K874" t="n">
        <v>0</v>
      </c>
      <c r="L874" t="n">
        <v>0.947</v>
      </c>
      <c r="M874" t="n">
        <v>0.053</v>
      </c>
    </row>
    <row r="875" spans="1:13">
      <c r="A875" s="1">
        <f>HYPERLINK("http://www.twitter.com/NathanBLawrence/status/996520424069574656", "996520424069574656")</f>
        <v/>
      </c>
      <c r="B875" s="2" t="n">
        <v>43235.94395833334</v>
      </c>
      <c r="C875" t="n">
        <v>0</v>
      </c>
      <c r="D875" t="n">
        <v>6</v>
      </c>
      <c r="E875" t="s">
        <v>881</v>
      </c>
      <c r="F875" t="s"/>
      <c r="G875" t="s"/>
      <c r="H875" t="s"/>
      <c r="I875" t="s"/>
      <c r="J875" t="n">
        <v>0.4939</v>
      </c>
      <c r="K875" t="n">
        <v>0</v>
      </c>
      <c r="L875" t="n">
        <v>0.802</v>
      </c>
      <c r="M875" t="n">
        <v>0.198</v>
      </c>
    </row>
    <row r="876" spans="1:13">
      <c r="A876" s="1">
        <f>HYPERLINK("http://www.twitter.com/NathanBLawrence/status/996520397838409728", "996520397838409728")</f>
        <v/>
      </c>
      <c r="B876" s="2" t="n">
        <v>43235.94387731481</v>
      </c>
      <c r="C876" t="n">
        <v>0</v>
      </c>
      <c r="D876" t="n">
        <v>14</v>
      </c>
      <c r="E876" t="s">
        <v>882</v>
      </c>
      <c r="F876" t="s"/>
      <c r="G876" t="s"/>
      <c r="H876" t="s"/>
      <c r="I876" t="s"/>
      <c r="J876" t="n">
        <v>0.8176</v>
      </c>
      <c r="K876" t="n">
        <v>0</v>
      </c>
      <c r="L876" t="n">
        <v>0.681</v>
      </c>
      <c r="M876" t="n">
        <v>0.319</v>
      </c>
    </row>
    <row r="877" spans="1:13">
      <c r="A877" s="1">
        <f>HYPERLINK("http://www.twitter.com/NathanBLawrence/status/996520371707895808", "996520371707895808")</f>
        <v/>
      </c>
      <c r="B877" s="2" t="n">
        <v>43235.94380787037</v>
      </c>
      <c r="C877" t="n">
        <v>0</v>
      </c>
      <c r="D877" t="n">
        <v>8</v>
      </c>
      <c r="E877" t="s">
        <v>883</v>
      </c>
      <c r="F877" t="s"/>
      <c r="G877" t="s"/>
      <c r="H877" t="s"/>
      <c r="I877" t="s"/>
      <c r="J877" t="n">
        <v>0</v>
      </c>
      <c r="K877" t="n">
        <v>0</v>
      </c>
      <c r="L877" t="n">
        <v>1</v>
      </c>
      <c r="M877" t="n">
        <v>0</v>
      </c>
    </row>
    <row r="878" spans="1:13">
      <c r="A878" s="1">
        <f>HYPERLINK("http://www.twitter.com/NathanBLawrence/status/996520344872718343", "996520344872718343")</f>
        <v/>
      </c>
      <c r="B878" s="2" t="n">
        <v>43235.94373842593</v>
      </c>
      <c r="C878" t="n">
        <v>0</v>
      </c>
      <c r="D878" t="n">
        <v>10</v>
      </c>
      <c r="E878" t="s">
        <v>884</v>
      </c>
      <c r="F878" t="s"/>
      <c r="G878" t="s"/>
      <c r="H878" t="s"/>
      <c r="I878" t="s"/>
      <c r="J878" t="n">
        <v>-0.3818</v>
      </c>
      <c r="K878" t="n">
        <v>0.102</v>
      </c>
      <c r="L878" t="n">
        <v>0.898</v>
      </c>
      <c r="M878" t="n">
        <v>0</v>
      </c>
    </row>
    <row r="879" spans="1:13">
      <c r="A879" s="1">
        <f>HYPERLINK("http://www.twitter.com/NathanBLawrence/status/996520317895012353", "996520317895012353")</f>
        <v/>
      </c>
      <c r="B879" s="2" t="n">
        <v>43235.94365740741</v>
      </c>
      <c r="C879" t="n">
        <v>5</v>
      </c>
      <c r="D879" t="n">
        <v>3</v>
      </c>
      <c r="E879" t="s">
        <v>885</v>
      </c>
      <c r="F879" t="s"/>
      <c r="G879" t="s"/>
      <c r="H879" t="s"/>
      <c r="I879" t="s"/>
      <c r="J879" t="n">
        <v>0.3818</v>
      </c>
      <c r="K879" t="n">
        <v>0</v>
      </c>
      <c r="L879" t="n">
        <v>0.9330000000000001</v>
      </c>
      <c r="M879" t="n">
        <v>0.067</v>
      </c>
    </row>
    <row r="880" spans="1:13">
      <c r="A880" s="1">
        <f>HYPERLINK("http://www.twitter.com/NathanBLawrence/status/996519813257334785", "996519813257334785")</f>
        <v/>
      </c>
      <c r="B880" s="2" t="n">
        <v>43235.94226851852</v>
      </c>
      <c r="C880" t="n">
        <v>0</v>
      </c>
      <c r="D880" t="n">
        <v>7</v>
      </c>
      <c r="E880" t="s">
        <v>886</v>
      </c>
      <c r="F880">
        <f>HYPERLINK("http://pbs.twimg.com/media/DdRYEQ-W0AAh-o0.jpg", "http://pbs.twimg.com/media/DdRYEQ-W0AAh-o0.jpg")</f>
        <v/>
      </c>
      <c r="G880" t="s"/>
      <c r="H880" t="s"/>
      <c r="I880" t="s"/>
      <c r="J880" t="n">
        <v>0.4939</v>
      </c>
      <c r="K880" t="n">
        <v>0</v>
      </c>
      <c r="L880" t="n">
        <v>0.8139999999999999</v>
      </c>
      <c r="M880" t="n">
        <v>0.186</v>
      </c>
    </row>
    <row r="881" spans="1:13">
      <c r="A881" s="1">
        <f>HYPERLINK("http://www.twitter.com/NathanBLawrence/status/996518751980924933", "996518751980924933")</f>
        <v/>
      </c>
      <c r="B881" s="2" t="n">
        <v>43235.93934027778</v>
      </c>
      <c r="C881" t="n">
        <v>0</v>
      </c>
      <c r="D881" t="n">
        <v>64</v>
      </c>
      <c r="E881" t="s">
        <v>887</v>
      </c>
      <c r="F881" t="s"/>
      <c r="G881" t="s"/>
      <c r="H881" t="s"/>
      <c r="I881" t="s"/>
      <c r="J881" t="n">
        <v>0</v>
      </c>
      <c r="K881" t="n">
        <v>0</v>
      </c>
      <c r="L881" t="n">
        <v>1</v>
      </c>
      <c r="M881" t="n">
        <v>0</v>
      </c>
    </row>
    <row r="882" spans="1:13">
      <c r="A882" s="1">
        <f>HYPERLINK("http://www.twitter.com/NathanBLawrence/status/996518648964616192", "996518648964616192")</f>
        <v/>
      </c>
      <c r="B882" s="2" t="n">
        <v>43235.93905092592</v>
      </c>
      <c r="C882" t="n">
        <v>0</v>
      </c>
      <c r="D882" t="n">
        <v>12556</v>
      </c>
      <c r="E882" t="s">
        <v>888</v>
      </c>
      <c r="F882" t="s"/>
      <c r="G882" t="s"/>
      <c r="H882" t="s"/>
      <c r="I882" t="s"/>
      <c r="J882" t="n">
        <v>0</v>
      </c>
      <c r="K882" t="n">
        <v>0</v>
      </c>
      <c r="L882" t="n">
        <v>1</v>
      </c>
      <c r="M882" t="n">
        <v>0</v>
      </c>
    </row>
    <row r="883" spans="1:13">
      <c r="A883" s="1">
        <f>HYPERLINK("http://www.twitter.com/NathanBLawrence/status/996518613384343553", "996518613384343553")</f>
        <v/>
      </c>
      <c r="B883" s="2" t="n">
        <v>43235.93895833333</v>
      </c>
      <c r="C883" t="n">
        <v>0</v>
      </c>
      <c r="D883" t="n">
        <v>32031</v>
      </c>
      <c r="E883" t="s">
        <v>889</v>
      </c>
      <c r="F883" t="s"/>
      <c r="G883" t="s"/>
      <c r="H883" t="s"/>
      <c r="I883" t="s"/>
      <c r="J883" t="n">
        <v>-0.4767</v>
      </c>
      <c r="K883" t="n">
        <v>0.119</v>
      </c>
      <c r="L883" t="n">
        <v>0.881</v>
      </c>
      <c r="M883" t="n">
        <v>0</v>
      </c>
    </row>
    <row r="884" spans="1:13">
      <c r="A884" s="1">
        <f>HYPERLINK("http://www.twitter.com/NathanBLawrence/status/996518589086740480", "996518589086740480")</f>
        <v/>
      </c>
      <c r="B884" s="2" t="n">
        <v>43235.93888888889</v>
      </c>
      <c r="C884" t="n">
        <v>0</v>
      </c>
      <c r="D884" t="n">
        <v>557</v>
      </c>
      <c r="E884" t="s">
        <v>890</v>
      </c>
      <c r="F884" t="s"/>
      <c r="G884" t="s"/>
      <c r="H884" t="s"/>
      <c r="I884" t="s"/>
      <c r="J884" t="n">
        <v>-0.2023</v>
      </c>
      <c r="K884" t="n">
        <v>0.08699999999999999</v>
      </c>
      <c r="L884" t="n">
        <v>0.913</v>
      </c>
      <c r="M884" t="n">
        <v>0</v>
      </c>
    </row>
    <row r="885" spans="1:13">
      <c r="A885" s="1">
        <f>HYPERLINK("http://www.twitter.com/NathanBLawrence/status/996518561920282626", "996518561920282626")</f>
        <v/>
      </c>
      <c r="B885" s="2" t="n">
        <v>43235.93881944445</v>
      </c>
      <c r="C885" t="n">
        <v>0</v>
      </c>
      <c r="D885" t="n">
        <v>103</v>
      </c>
      <c r="E885" t="s">
        <v>891</v>
      </c>
      <c r="F885" t="s"/>
      <c r="G885" t="s"/>
      <c r="H885" t="s"/>
      <c r="I885" t="s"/>
      <c r="J885" t="n">
        <v>-0</v>
      </c>
      <c r="K885" t="n">
        <v>0.27</v>
      </c>
      <c r="L885" t="n">
        <v>0.395</v>
      </c>
      <c r="M885" t="n">
        <v>0.336</v>
      </c>
    </row>
    <row r="886" spans="1:13">
      <c r="A886" s="1">
        <f>HYPERLINK("http://www.twitter.com/NathanBLawrence/status/996518506148646913", "996518506148646913")</f>
        <v/>
      </c>
      <c r="B886" s="2" t="n">
        <v>43235.93865740741</v>
      </c>
      <c r="C886" t="n">
        <v>0</v>
      </c>
      <c r="D886" t="n">
        <v>624</v>
      </c>
      <c r="E886" t="s">
        <v>892</v>
      </c>
      <c r="F886" t="s"/>
      <c r="G886" t="s"/>
      <c r="H886" t="s"/>
      <c r="I886" t="s"/>
      <c r="J886" t="n">
        <v>0.296</v>
      </c>
      <c r="K886" t="n">
        <v>0</v>
      </c>
      <c r="L886" t="n">
        <v>0.913</v>
      </c>
      <c r="M886" t="n">
        <v>0.08699999999999999</v>
      </c>
    </row>
    <row r="887" spans="1:13">
      <c r="A887" s="1">
        <f>HYPERLINK("http://www.twitter.com/NathanBLawrence/status/996518492772986880", "996518492772986880")</f>
        <v/>
      </c>
      <c r="B887" s="2" t="n">
        <v>43235.93862268519</v>
      </c>
      <c r="C887" t="n">
        <v>0</v>
      </c>
      <c r="D887" t="n">
        <v>35</v>
      </c>
      <c r="E887" t="s">
        <v>893</v>
      </c>
      <c r="F887" t="s"/>
      <c r="G887" t="s"/>
      <c r="H887" t="s"/>
      <c r="I887" t="s"/>
      <c r="J887" t="n">
        <v>-0.25</v>
      </c>
      <c r="K887" t="n">
        <v>0.178</v>
      </c>
      <c r="L887" t="n">
        <v>0.72</v>
      </c>
      <c r="M887" t="n">
        <v>0.102</v>
      </c>
    </row>
    <row r="888" spans="1:13">
      <c r="A888" s="1">
        <f>HYPERLINK("http://www.twitter.com/NathanBLawrence/status/996518255178207232", "996518255178207232")</f>
        <v/>
      </c>
      <c r="B888" s="2" t="n">
        <v>43235.93797453704</v>
      </c>
      <c r="C888" t="n">
        <v>10</v>
      </c>
      <c r="D888" t="n">
        <v>7</v>
      </c>
      <c r="E888" t="s">
        <v>894</v>
      </c>
      <c r="F888">
        <f>HYPERLINK("http://pbs.twimg.com/media/DdRYEQ-W0AAh-o0.jpg", "http://pbs.twimg.com/media/DdRYEQ-W0AAh-o0.jpg")</f>
        <v/>
      </c>
      <c r="G888" t="s"/>
      <c r="H888" t="s"/>
      <c r="I888" t="s"/>
      <c r="J888" t="n">
        <v>0.636</v>
      </c>
      <c r="K888" t="n">
        <v>0.104</v>
      </c>
      <c r="L888" t="n">
        <v>0.702</v>
      </c>
      <c r="M888" t="n">
        <v>0.193</v>
      </c>
    </row>
    <row r="889" spans="1:13">
      <c r="A889" s="1">
        <f>HYPERLINK("http://www.twitter.com/NathanBLawrence/status/996517390933512192", "996517390933512192")</f>
        <v/>
      </c>
      <c r="B889" s="2" t="n">
        <v>43235.93559027778</v>
      </c>
      <c r="C889" t="n">
        <v>0</v>
      </c>
      <c r="D889" t="n">
        <v>11</v>
      </c>
      <c r="E889" t="s">
        <v>895</v>
      </c>
      <c r="F889" t="s"/>
      <c r="G889" t="s"/>
      <c r="H889" t="s"/>
      <c r="I889" t="s"/>
      <c r="J889" t="n">
        <v>0.4939</v>
      </c>
      <c r="K889" t="n">
        <v>0</v>
      </c>
      <c r="L889" t="n">
        <v>0.824</v>
      </c>
      <c r="M889" t="n">
        <v>0.176</v>
      </c>
    </row>
    <row r="890" spans="1:13">
      <c r="A890" s="1">
        <f>HYPERLINK("http://www.twitter.com/NathanBLawrence/status/996517368070320128", "996517368070320128")</f>
        <v/>
      </c>
      <c r="B890" s="2" t="n">
        <v>43235.93552083334</v>
      </c>
      <c r="C890" t="n">
        <v>0</v>
      </c>
      <c r="D890" t="n">
        <v>14</v>
      </c>
      <c r="E890" t="s">
        <v>896</v>
      </c>
      <c r="F890" t="s"/>
      <c r="G890" t="s"/>
      <c r="H890" t="s"/>
      <c r="I890" t="s"/>
      <c r="J890" t="n">
        <v>0</v>
      </c>
      <c r="K890" t="n">
        <v>0</v>
      </c>
      <c r="L890" t="n">
        <v>1</v>
      </c>
      <c r="M890" t="n">
        <v>0</v>
      </c>
    </row>
    <row r="891" spans="1:13">
      <c r="A891" s="1">
        <f>HYPERLINK("http://www.twitter.com/NathanBLawrence/status/996517338009751553", "996517338009751553")</f>
        <v/>
      </c>
      <c r="B891" s="2" t="n">
        <v>43235.93543981481</v>
      </c>
      <c r="C891" t="n">
        <v>0</v>
      </c>
      <c r="D891" t="n">
        <v>5</v>
      </c>
      <c r="E891" t="s">
        <v>897</v>
      </c>
      <c r="F891" t="s"/>
      <c r="G891" t="s"/>
      <c r="H891" t="s"/>
      <c r="I891" t="s"/>
      <c r="J891" t="n">
        <v>-0.296</v>
      </c>
      <c r="K891" t="n">
        <v>0.091</v>
      </c>
      <c r="L891" t="n">
        <v>0.909</v>
      </c>
      <c r="M891" t="n">
        <v>0</v>
      </c>
    </row>
    <row r="892" spans="1:13">
      <c r="A892" s="1">
        <f>HYPERLINK("http://www.twitter.com/NathanBLawrence/status/996478710529355777", "996478710529355777")</f>
        <v/>
      </c>
      <c r="B892" s="2" t="n">
        <v>43235.82884259259</v>
      </c>
      <c r="C892" t="n">
        <v>0</v>
      </c>
      <c r="D892" t="n">
        <v>7</v>
      </c>
      <c r="E892" t="s">
        <v>898</v>
      </c>
      <c r="F892" t="s"/>
      <c r="G892" t="s"/>
      <c r="H892" t="s"/>
      <c r="I892" t="s"/>
      <c r="J892" t="n">
        <v>-0.4588</v>
      </c>
      <c r="K892" t="n">
        <v>0.125</v>
      </c>
      <c r="L892" t="n">
        <v>0.875</v>
      </c>
      <c r="M892" t="n">
        <v>0</v>
      </c>
    </row>
    <row r="893" spans="1:13">
      <c r="A893" s="1">
        <f>HYPERLINK("http://www.twitter.com/NathanBLawrence/status/996478687003467777", "996478687003467777")</f>
        <v/>
      </c>
      <c r="B893" s="2" t="n">
        <v>43235.82878472222</v>
      </c>
      <c r="C893" t="n">
        <v>0</v>
      </c>
      <c r="D893" t="n">
        <v>10</v>
      </c>
      <c r="E893" t="s">
        <v>899</v>
      </c>
      <c r="F893" t="s"/>
      <c r="G893" t="s"/>
      <c r="H893" t="s"/>
      <c r="I893" t="s"/>
      <c r="J893" t="n">
        <v>0.3818</v>
      </c>
      <c r="K893" t="n">
        <v>0</v>
      </c>
      <c r="L893" t="n">
        <v>0.89</v>
      </c>
      <c r="M893" t="n">
        <v>0.11</v>
      </c>
    </row>
    <row r="894" spans="1:13">
      <c r="A894" s="1">
        <f>HYPERLINK("http://www.twitter.com/NathanBLawrence/status/996478640077639680", "996478640077639680")</f>
        <v/>
      </c>
      <c r="B894" s="2" t="n">
        <v>43235.82865740741</v>
      </c>
      <c r="C894" t="n">
        <v>0</v>
      </c>
      <c r="D894" t="n">
        <v>14</v>
      </c>
      <c r="E894" t="s">
        <v>900</v>
      </c>
      <c r="F894">
        <f>HYPERLINK("http://pbs.twimg.com/media/DdQsAyUWkAAqSEy.jpg", "http://pbs.twimg.com/media/DdQsAyUWkAAqSEy.jpg")</f>
        <v/>
      </c>
      <c r="G894" t="s"/>
      <c r="H894" t="s"/>
      <c r="I894" t="s"/>
      <c r="J894" t="n">
        <v>0.4149</v>
      </c>
      <c r="K894" t="n">
        <v>0.051</v>
      </c>
      <c r="L894" t="n">
        <v>0.798</v>
      </c>
      <c r="M894" t="n">
        <v>0.151</v>
      </c>
    </row>
    <row r="895" spans="1:13">
      <c r="A895" s="1">
        <f>HYPERLINK("http://www.twitter.com/NathanBLawrence/status/996478597916430337", "996478597916430337")</f>
        <v/>
      </c>
      <c r="B895" s="2" t="n">
        <v>43235.82854166667</v>
      </c>
      <c r="C895" t="n">
        <v>0</v>
      </c>
      <c r="D895" t="n">
        <v>7</v>
      </c>
      <c r="E895" t="s">
        <v>901</v>
      </c>
      <c r="F895" t="s"/>
      <c r="G895" t="s"/>
      <c r="H895" t="s"/>
      <c r="I895" t="s"/>
      <c r="J895" t="n">
        <v>-0.534</v>
      </c>
      <c r="K895" t="n">
        <v>0.206</v>
      </c>
      <c r="L895" t="n">
        <v>0.794</v>
      </c>
      <c r="M895" t="n">
        <v>0</v>
      </c>
    </row>
    <row r="896" spans="1:13">
      <c r="A896" s="1">
        <f>HYPERLINK("http://www.twitter.com/NathanBLawrence/status/996478583869763584", "996478583869763584")</f>
        <v/>
      </c>
      <c r="B896" s="2" t="n">
        <v>43235.82849537037</v>
      </c>
      <c r="C896" t="n">
        <v>0</v>
      </c>
      <c r="D896" t="n">
        <v>7</v>
      </c>
      <c r="E896" t="s">
        <v>902</v>
      </c>
      <c r="F896" t="s"/>
      <c r="G896" t="s"/>
      <c r="H896" t="s"/>
      <c r="I896" t="s"/>
      <c r="J896" t="n">
        <v>-0.4767</v>
      </c>
      <c r="K896" t="n">
        <v>0.129</v>
      </c>
      <c r="L896" t="n">
        <v>0.871</v>
      </c>
      <c r="M896" t="n">
        <v>0</v>
      </c>
    </row>
    <row r="897" spans="1:13">
      <c r="A897" s="1">
        <f>HYPERLINK("http://www.twitter.com/NathanBLawrence/status/996478561572794368", "996478561572794368")</f>
        <v/>
      </c>
      <c r="B897" s="2" t="n">
        <v>43235.8284375</v>
      </c>
      <c r="C897" t="n">
        <v>0</v>
      </c>
      <c r="D897" t="n">
        <v>9</v>
      </c>
      <c r="E897" t="s">
        <v>903</v>
      </c>
      <c r="F897" t="s"/>
      <c r="G897" t="s"/>
      <c r="H897" t="s"/>
      <c r="I897" t="s"/>
      <c r="J897" t="n">
        <v>-0.2263</v>
      </c>
      <c r="K897" t="n">
        <v>0.091</v>
      </c>
      <c r="L897" t="n">
        <v>0.909</v>
      </c>
      <c r="M897" t="n">
        <v>0</v>
      </c>
    </row>
    <row r="898" spans="1:13">
      <c r="A898" s="1">
        <f>HYPERLINK("http://www.twitter.com/NathanBLawrence/status/996412693744668673", "996412693744668673")</f>
        <v/>
      </c>
      <c r="B898" s="2" t="n">
        <v>43235.64667824074</v>
      </c>
      <c r="C898" t="n">
        <v>5</v>
      </c>
      <c r="D898" t="n">
        <v>3</v>
      </c>
      <c r="E898" t="s">
        <v>904</v>
      </c>
      <c r="F898" t="s"/>
      <c r="G898" t="s"/>
      <c r="H898" t="s"/>
      <c r="I898" t="s"/>
      <c r="J898" t="n">
        <v>0.4939</v>
      </c>
      <c r="K898" t="n">
        <v>0.063</v>
      </c>
      <c r="L898" t="n">
        <v>0.8</v>
      </c>
      <c r="M898" t="n">
        <v>0.137</v>
      </c>
    </row>
    <row r="899" spans="1:13">
      <c r="A899" s="1">
        <f>HYPERLINK("http://www.twitter.com/NathanBLawrence/status/996412534386233345", "996412534386233345")</f>
        <v/>
      </c>
      <c r="B899" s="2" t="n">
        <v>43235.64623842593</v>
      </c>
      <c r="C899" t="n">
        <v>2</v>
      </c>
      <c r="D899" t="n">
        <v>1</v>
      </c>
      <c r="E899" t="s">
        <v>905</v>
      </c>
      <c r="F899" t="s"/>
      <c r="G899" t="s"/>
      <c r="H899" t="s"/>
      <c r="I899" t="s"/>
      <c r="J899" t="n">
        <v>0.25</v>
      </c>
      <c r="K899" t="n">
        <v>0.07099999999999999</v>
      </c>
      <c r="L899" t="n">
        <v>0.821</v>
      </c>
      <c r="M899" t="n">
        <v>0.108</v>
      </c>
    </row>
    <row r="900" spans="1:13">
      <c r="A900" s="1">
        <f>HYPERLINK("http://www.twitter.com/NathanBLawrence/status/996403798439616512", "996403798439616512")</f>
        <v/>
      </c>
      <c r="B900" s="2" t="n">
        <v>43235.62212962963</v>
      </c>
      <c r="C900" t="n">
        <v>0</v>
      </c>
      <c r="D900" t="n">
        <v>13</v>
      </c>
      <c r="E900" t="s">
        <v>906</v>
      </c>
      <c r="F900">
        <f>HYPERLINK("http://pbs.twimg.com/media/DdPkGvmW4AUceFf.jpg", "http://pbs.twimg.com/media/DdPkGvmW4AUceFf.jpg")</f>
        <v/>
      </c>
      <c r="G900" t="s"/>
      <c r="H900" t="s"/>
      <c r="I900" t="s"/>
      <c r="J900" t="n">
        <v>-0.1027</v>
      </c>
      <c r="K900" t="n">
        <v>0.055</v>
      </c>
      <c r="L900" t="n">
        <v>0.945</v>
      </c>
      <c r="M900" t="n">
        <v>0</v>
      </c>
    </row>
    <row r="901" spans="1:13">
      <c r="A901" s="1">
        <f>HYPERLINK("http://www.twitter.com/NathanBLawrence/status/996403779640717314", "996403779640717314")</f>
        <v/>
      </c>
      <c r="B901" s="2" t="n">
        <v>43235.62208333334</v>
      </c>
      <c r="C901" t="n">
        <v>0</v>
      </c>
      <c r="D901" t="n">
        <v>14</v>
      </c>
      <c r="E901" t="s">
        <v>907</v>
      </c>
      <c r="F901">
        <f>HYPERLINK("http://pbs.twimg.com/media/DdPsE9kX4AANtB5.jpg", "http://pbs.twimg.com/media/DdPsE9kX4AANtB5.jpg")</f>
        <v/>
      </c>
      <c r="G901" t="s"/>
      <c r="H901" t="s"/>
      <c r="I901" t="s"/>
      <c r="J901" t="n">
        <v>-0.1027</v>
      </c>
      <c r="K901" t="n">
        <v>0.057</v>
      </c>
      <c r="L901" t="n">
        <v>0.9429999999999999</v>
      </c>
      <c r="M901" t="n">
        <v>0</v>
      </c>
    </row>
    <row r="902" spans="1:13">
      <c r="A902" s="1">
        <f>HYPERLINK("http://www.twitter.com/NathanBLawrence/status/996403763723341824", "996403763723341824")</f>
        <v/>
      </c>
      <c r="B902" s="2" t="n">
        <v>43235.62203703704</v>
      </c>
      <c r="C902" t="n">
        <v>0</v>
      </c>
      <c r="D902" t="n">
        <v>12</v>
      </c>
      <c r="E902" t="s">
        <v>908</v>
      </c>
      <c r="F902">
        <f>HYPERLINK("http://pbs.twimg.com/media/DdPla3WXkAAPWcQ.jpg", "http://pbs.twimg.com/media/DdPla3WXkAAPWcQ.jpg")</f>
        <v/>
      </c>
      <c r="G902" t="s"/>
      <c r="H902" t="s"/>
      <c r="I902" t="s"/>
      <c r="J902" t="n">
        <v>-0.1027</v>
      </c>
      <c r="K902" t="n">
        <v>0.057</v>
      </c>
      <c r="L902" t="n">
        <v>0.9429999999999999</v>
      </c>
      <c r="M902" t="n">
        <v>0</v>
      </c>
    </row>
    <row r="903" spans="1:13">
      <c r="A903" s="1">
        <f>HYPERLINK("http://www.twitter.com/NathanBLawrence/status/996403712196300801", "996403712196300801")</f>
        <v/>
      </c>
      <c r="B903" s="2" t="n">
        <v>43235.62188657407</v>
      </c>
      <c r="C903" t="n">
        <v>0</v>
      </c>
      <c r="D903" t="n">
        <v>4</v>
      </c>
      <c r="E903" t="s">
        <v>909</v>
      </c>
      <c r="F903">
        <f>HYPERLINK("http://pbs.twimg.com/media/DdPm11nXcAA8Xvh.jpg", "http://pbs.twimg.com/media/DdPm11nXcAA8Xvh.jpg")</f>
        <v/>
      </c>
      <c r="G903" t="s"/>
      <c r="H903" t="s"/>
      <c r="I903" t="s"/>
      <c r="J903" t="n">
        <v>-0.4215</v>
      </c>
      <c r="K903" t="n">
        <v>0.183</v>
      </c>
      <c r="L903" t="n">
        <v>0.8169999999999999</v>
      </c>
      <c r="M903" t="n">
        <v>0</v>
      </c>
    </row>
    <row r="904" spans="1:13">
      <c r="A904" s="1">
        <f>HYPERLINK("http://www.twitter.com/NathanBLawrence/status/996386685591150592", "996386685591150592")</f>
        <v/>
      </c>
      <c r="B904" s="2" t="n">
        <v>43235.5749074074</v>
      </c>
      <c r="C904" t="n">
        <v>0</v>
      </c>
      <c r="D904" t="n">
        <v>0</v>
      </c>
      <c r="E904" t="s">
        <v>910</v>
      </c>
      <c r="F904" t="s"/>
      <c r="G904" t="s"/>
      <c r="H904" t="s"/>
      <c r="I904" t="s"/>
      <c r="J904" t="n">
        <v>-0.3919</v>
      </c>
      <c r="K904" t="n">
        <v>0.067</v>
      </c>
      <c r="L904" t="n">
        <v>0.906</v>
      </c>
      <c r="M904" t="n">
        <v>0.027</v>
      </c>
    </row>
    <row r="905" spans="1:13">
      <c r="A905" s="1">
        <f>HYPERLINK("http://www.twitter.com/NathanBLawrence/status/996386325472432131", "996386325472432131")</f>
        <v/>
      </c>
      <c r="B905" s="2" t="n">
        <v>43235.57391203703</v>
      </c>
      <c r="C905" t="n">
        <v>0</v>
      </c>
      <c r="D905" t="n">
        <v>0</v>
      </c>
      <c r="E905" t="s">
        <v>911</v>
      </c>
      <c r="F905" t="s"/>
      <c r="G905" t="s"/>
      <c r="H905" t="s"/>
      <c r="I905" t="s"/>
      <c r="J905" t="n">
        <v>0</v>
      </c>
      <c r="K905" t="n">
        <v>0</v>
      </c>
      <c r="L905" t="n">
        <v>1</v>
      </c>
      <c r="M905" t="n">
        <v>0</v>
      </c>
    </row>
    <row r="906" spans="1:13">
      <c r="A906" s="1">
        <f>HYPERLINK("http://www.twitter.com/NathanBLawrence/status/996386032097677312", "996386032097677312")</f>
        <v/>
      </c>
      <c r="B906" s="2" t="n">
        <v>43235.57310185185</v>
      </c>
      <c r="C906" t="n">
        <v>0</v>
      </c>
      <c r="D906" t="n">
        <v>51</v>
      </c>
      <c r="E906" t="s">
        <v>912</v>
      </c>
      <c r="F906" t="s"/>
      <c r="G906" t="s"/>
      <c r="H906" t="s"/>
      <c r="I906" t="s"/>
      <c r="J906" t="n">
        <v>-0.7003</v>
      </c>
      <c r="K906" t="n">
        <v>0.286</v>
      </c>
      <c r="L906" t="n">
        <v>0.714</v>
      </c>
      <c r="M906" t="n">
        <v>0</v>
      </c>
    </row>
    <row r="907" spans="1:13">
      <c r="A907" s="1">
        <f>HYPERLINK("http://www.twitter.com/NathanBLawrence/status/996385920373940225", "996385920373940225")</f>
        <v/>
      </c>
      <c r="B907" s="2" t="n">
        <v>43235.57280092593</v>
      </c>
      <c r="C907" t="n">
        <v>0</v>
      </c>
      <c r="D907" t="n">
        <v>32</v>
      </c>
      <c r="E907" t="s">
        <v>913</v>
      </c>
      <c r="F907">
        <f>HYPERLINK("http://pbs.twimg.com/media/DdPbtMgV0AEH44-.jpg", "http://pbs.twimg.com/media/DdPbtMgV0AEH44-.jpg")</f>
        <v/>
      </c>
      <c r="G907" t="s"/>
      <c r="H907" t="s"/>
      <c r="I907" t="s"/>
      <c r="J907" t="n">
        <v>-0.7783</v>
      </c>
      <c r="K907" t="n">
        <v>0.315</v>
      </c>
      <c r="L907" t="n">
        <v>0.6850000000000001</v>
      </c>
      <c r="M907" t="n">
        <v>0</v>
      </c>
    </row>
    <row r="908" spans="1:13">
      <c r="A908" s="1">
        <f>HYPERLINK("http://www.twitter.com/NathanBLawrence/status/996384665903796225", "996384665903796225")</f>
        <v/>
      </c>
      <c r="B908" s="2" t="n">
        <v>43235.56932870371</v>
      </c>
      <c r="C908" t="n">
        <v>0</v>
      </c>
      <c r="D908" t="n">
        <v>12</v>
      </c>
      <c r="E908" t="s">
        <v>914</v>
      </c>
      <c r="F908" t="s"/>
      <c r="G908" t="s"/>
      <c r="H908" t="s"/>
      <c r="I908" t="s"/>
      <c r="J908" t="n">
        <v>0.5106000000000001</v>
      </c>
      <c r="K908" t="n">
        <v>0.154</v>
      </c>
      <c r="L908" t="n">
        <v>0.609</v>
      </c>
      <c r="M908" t="n">
        <v>0.237</v>
      </c>
    </row>
    <row r="909" spans="1:13">
      <c r="A909" s="1">
        <f>HYPERLINK("http://www.twitter.com/NathanBLawrence/status/996384634824003584", "996384634824003584")</f>
        <v/>
      </c>
      <c r="B909" s="2" t="n">
        <v>43235.56924768518</v>
      </c>
      <c r="C909" t="n">
        <v>0</v>
      </c>
      <c r="D909" t="n">
        <v>3</v>
      </c>
      <c r="E909" t="s">
        <v>915</v>
      </c>
      <c r="F909" t="s"/>
      <c r="G909" t="s"/>
      <c r="H909" t="s"/>
      <c r="I909" t="s"/>
      <c r="J909" t="n">
        <v>0</v>
      </c>
      <c r="K909" t="n">
        <v>0</v>
      </c>
      <c r="L909" t="n">
        <v>1</v>
      </c>
      <c r="M909" t="n">
        <v>0</v>
      </c>
    </row>
    <row r="910" spans="1:13">
      <c r="A910" s="1">
        <f>HYPERLINK("http://www.twitter.com/NathanBLawrence/status/996384608911593475", "996384608911593475")</f>
        <v/>
      </c>
      <c r="B910" s="2" t="n">
        <v>43235.56917824074</v>
      </c>
      <c r="C910" t="n">
        <v>0</v>
      </c>
      <c r="D910" t="n">
        <v>4</v>
      </c>
      <c r="E910" t="s">
        <v>916</v>
      </c>
      <c r="F910">
        <f>HYPERLINK("http://pbs.twimg.com/media/DdPTArfUwAAb8dD.jpg", "http://pbs.twimg.com/media/DdPTArfUwAAb8dD.jpg")</f>
        <v/>
      </c>
      <c r="G910" t="s"/>
      <c r="H910" t="s"/>
      <c r="I910" t="s"/>
      <c r="J910" t="n">
        <v>0.4863</v>
      </c>
      <c r="K910" t="n">
        <v>0</v>
      </c>
      <c r="L910" t="n">
        <v>0.826</v>
      </c>
      <c r="M910" t="n">
        <v>0.174</v>
      </c>
    </row>
    <row r="911" spans="1:13">
      <c r="A911" s="1">
        <f>HYPERLINK("http://www.twitter.com/NathanBLawrence/status/996384299883560961", "996384299883560961")</f>
        <v/>
      </c>
      <c r="B911" s="2" t="n">
        <v>43235.56832175926</v>
      </c>
      <c r="C911" t="n">
        <v>0</v>
      </c>
      <c r="D911" t="n">
        <v>20</v>
      </c>
      <c r="E911" t="s">
        <v>917</v>
      </c>
      <c r="F911">
        <f>HYPERLINK("http://pbs.twimg.com/media/DdPVGVJW0AUY99u.jpg", "http://pbs.twimg.com/media/DdPVGVJW0AUY99u.jpg")</f>
        <v/>
      </c>
      <c r="G911" t="s"/>
      <c r="H911" t="s"/>
      <c r="I911" t="s"/>
      <c r="J911" t="n">
        <v>-0.2732</v>
      </c>
      <c r="K911" t="n">
        <v>0.26</v>
      </c>
      <c r="L911" t="n">
        <v>0.554</v>
      </c>
      <c r="M911" t="n">
        <v>0.187</v>
      </c>
    </row>
    <row r="912" spans="1:13">
      <c r="A912" s="1">
        <f>HYPERLINK("http://www.twitter.com/NathanBLawrence/status/996384182875119616", "996384182875119616")</f>
        <v/>
      </c>
      <c r="B912" s="2" t="n">
        <v>43235.56799768518</v>
      </c>
      <c r="C912" t="n">
        <v>0</v>
      </c>
      <c r="D912" t="n">
        <v>14</v>
      </c>
      <c r="E912" t="s">
        <v>918</v>
      </c>
      <c r="F912" t="s"/>
      <c r="G912" t="s"/>
      <c r="H912" t="s"/>
      <c r="I912" t="s"/>
      <c r="J912" t="n">
        <v>0.2003</v>
      </c>
      <c r="K912" t="n">
        <v>0</v>
      </c>
      <c r="L912" t="n">
        <v>0.918</v>
      </c>
      <c r="M912" t="n">
        <v>0.082</v>
      </c>
    </row>
    <row r="913" spans="1:13">
      <c r="A913" s="1">
        <f>HYPERLINK("http://www.twitter.com/NathanBLawrence/status/996384149048000512", "996384149048000512")</f>
        <v/>
      </c>
      <c r="B913" s="2" t="n">
        <v>43235.56790509259</v>
      </c>
      <c r="C913" t="n">
        <v>1</v>
      </c>
      <c r="D913" t="n">
        <v>0</v>
      </c>
      <c r="E913" t="s">
        <v>919</v>
      </c>
      <c r="F913" t="s"/>
      <c r="G913" t="s"/>
      <c r="H913" t="s"/>
      <c r="I913" t="s"/>
      <c r="J913" t="n">
        <v>-0.2732</v>
      </c>
      <c r="K913" t="n">
        <v>0.208</v>
      </c>
      <c r="L913" t="n">
        <v>0.792</v>
      </c>
      <c r="M913" t="n">
        <v>0</v>
      </c>
    </row>
    <row r="914" spans="1:13">
      <c r="A914" s="1">
        <f>HYPERLINK("http://www.twitter.com/NathanBLawrence/status/996383939987197953", "996383939987197953")</f>
        <v/>
      </c>
      <c r="B914" s="2" t="n">
        <v>43235.56732638889</v>
      </c>
      <c r="C914" t="n">
        <v>0</v>
      </c>
      <c r="D914" t="n">
        <v>10</v>
      </c>
      <c r="E914" t="s">
        <v>920</v>
      </c>
      <c r="F914">
        <f>HYPERLINK("http://pbs.twimg.com/media/DdPc57lVwAI5mAQ.jpg", "http://pbs.twimg.com/media/DdPc57lVwAI5mAQ.jpg")</f>
        <v/>
      </c>
      <c r="G914" t="s"/>
      <c r="H914" t="s"/>
      <c r="I914" t="s"/>
      <c r="J914" t="n">
        <v>-0.296</v>
      </c>
      <c r="K914" t="n">
        <v>0.08699999999999999</v>
      </c>
      <c r="L914" t="n">
        <v>0.913</v>
      </c>
      <c r="M914" t="n">
        <v>0</v>
      </c>
    </row>
    <row r="915" spans="1:13">
      <c r="A915" s="1">
        <f>HYPERLINK("http://www.twitter.com/NathanBLawrence/status/996383928054439936", "996383928054439936")</f>
        <v/>
      </c>
      <c r="B915" s="2" t="n">
        <v>43235.56730324074</v>
      </c>
      <c r="C915" t="n">
        <v>0</v>
      </c>
      <c r="D915" t="n">
        <v>1</v>
      </c>
      <c r="E915" t="s">
        <v>921</v>
      </c>
      <c r="F915" t="s"/>
      <c r="G915" t="s"/>
      <c r="H915" t="s"/>
      <c r="I915" t="s"/>
      <c r="J915" t="n">
        <v>-0.296</v>
      </c>
      <c r="K915" t="n">
        <v>0.08699999999999999</v>
      </c>
      <c r="L915" t="n">
        <v>0.913</v>
      </c>
      <c r="M915" t="n">
        <v>0</v>
      </c>
    </row>
    <row r="916" spans="1:13">
      <c r="A916" s="1">
        <f>HYPERLINK("http://www.twitter.com/NathanBLawrence/status/996301782329552896", "996301782329552896")</f>
        <v/>
      </c>
      <c r="B916" s="2" t="n">
        <v>43235.34061342593</v>
      </c>
      <c r="C916" t="n">
        <v>0</v>
      </c>
      <c r="D916" t="n">
        <v>2166</v>
      </c>
      <c r="E916" t="s">
        <v>922</v>
      </c>
      <c r="F916" t="s"/>
      <c r="G916" t="s"/>
      <c r="H916" t="s"/>
      <c r="I916" t="s"/>
      <c r="J916" t="n">
        <v>0.7579</v>
      </c>
      <c r="K916" t="n">
        <v>0</v>
      </c>
      <c r="L916" t="n">
        <v>0.651</v>
      </c>
      <c r="M916" t="n">
        <v>0.349</v>
      </c>
    </row>
    <row r="917" spans="1:13">
      <c r="A917" s="1">
        <f>HYPERLINK("http://www.twitter.com/NathanBLawrence/status/996301765715914752", "996301765715914752")</f>
        <v/>
      </c>
      <c r="B917" s="2" t="n">
        <v>43235.34056712963</v>
      </c>
      <c r="C917" t="n">
        <v>0</v>
      </c>
      <c r="D917" t="n">
        <v>2832</v>
      </c>
      <c r="E917" t="s">
        <v>923</v>
      </c>
      <c r="F917" t="s"/>
      <c r="G917" t="s"/>
      <c r="H917" t="s"/>
      <c r="I917" t="s"/>
      <c r="J917" t="n">
        <v>-0.4753</v>
      </c>
      <c r="K917" t="n">
        <v>0.194</v>
      </c>
      <c r="L917" t="n">
        <v>0.705</v>
      </c>
      <c r="M917" t="n">
        <v>0.101</v>
      </c>
    </row>
    <row r="918" spans="1:13">
      <c r="A918" s="1">
        <f>HYPERLINK("http://www.twitter.com/NathanBLawrence/status/996299214954082305", "996299214954082305")</f>
        <v/>
      </c>
      <c r="B918" s="2" t="n">
        <v>43235.33353009259</v>
      </c>
      <c r="C918" t="n">
        <v>0</v>
      </c>
      <c r="D918" t="n">
        <v>235</v>
      </c>
      <c r="E918" t="s">
        <v>924</v>
      </c>
      <c r="F918">
        <f>HYPERLINK("http://pbs.twimg.com/media/DdNx6OIV0AA8CvW.jpg", "http://pbs.twimg.com/media/DdNx6OIV0AA8CvW.jpg")</f>
        <v/>
      </c>
      <c r="G918" t="s"/>
      <c r="H918" t="s"/>
      <c r="I918" t="s"/>
      <c r="J918" t="n">
        <v>0.4926</v>
      </c>
      <c r="K918" t="n">
        <v>0</v>
      </c>
      <c r="L918" t="n">
        <v>0.556</v>
      </c>
      <c r="M918" t="n">
        <v>0.444</v>
      </c>
    </row>
    <row r="919" spans="1:13">
      <c r="A919" s="1">
        <f>HYPERLINK("http://www.twitter.com/NathanBLawrence/status/996299050508062720", "996299050508062720")</f>
        <v/>
      </c>
      <c r="B919" s="2" t="n">
        <v>43235.3330787037</v>
      </c>
      <c r="C919" t="n">
        <v>0</v>
      </c>
      <c r="D919" t="n">
        <v>1829</v>
      </c>
      <c r="E919" t="s">
        <v>925</v>
      </c>
      <c r="F919">
        <f>HYPERLINK("http://pbs.twimg.com/media/DdLMNjzXUAEUjTY.jpg", "http://pbs.twimg.com/media/DdLMNjzXUAEUjTY.jpg")</f>
        <v/>
      </c>
      <c r="G919">
        <f>HYPERLINK("http://pbs.twimg.com/media/DdLNzN7WAAAJekZ.jpg", "http://pbs.twimg.com/media/DdLNzN7WAAAJekZ.jpg")</f>
        <v/>
      </c>
      <c r="H919" t="s"/>
      <c r="I919" t="s"/>
      <c r="J919" t="n">
        <v>0.4404</v>
      </c>
      <c r="K919" t="n">
        <v>0</v>
      </c>
      <c r="L919" t="n">
        <v>0.58</v>
      </c>
      <c r="M919" t="n">
        <v>0.42</v>
      </c>
    </row>
    <row r="920" spans="1:13">
      <c r="A920" s="1">
        <f>HYPERLINK("http://www.twitter.com/NathanBLawrence/status/996298803882971136", "996298803882971136")</f>
        <v/>
      </c>
      <c r="B920" s="2" t="n">
        <v>43235.33239583333</v>
      </c>
      <c r="C920" t="n">
        <v>0</v>
      </c>
      <c r="D920" t="n">
        <v>4694</v>
      </c>
      <c r="E920" t="s">
        <v>926</v>
      </c>
      <c r="F920" t="s"/>
      <c r="G920" t="s"/>
      <c r="H920" t="s"/>
      <c r="I920" t="s"/>
      <c r="J920" t="n">
        <v>-0.7717000000000001</v>
      </c>
      <c r="K920" t="n">
        <v>0.224</v>
      </c>
      <c r="L920" t="n">
        <v>0.735</v>
      </c>
      <c r="M920" t="n">
        <v>0.042</v>
      </c>
    </row>
    <row r="921" spans="1:13">
      <c r="A921" s="1">
        <f>HYPERLINK("http://www.twitter.com/NathanBLawrence/status/996298773952385024", "996298773952385024")</f>
        <v/>
      </c>
      <c r="B921" s="2" t="n">
        <v>43235.33231481481</v>
      </c>
      <c r="C921" t="n">
        <v>0</v>
      </c>
      <c r="D921" t="n">
        <v>148</v>
      </c>
      <c r="E921" t="s">
        <v>927</v>
      </c>
      <c r="F921" t="s"/>
      <c r="G921" t="s"/>
      <c r="H921" t="s"/>
      <c r="I921" t="s"/>
      <c r="J921" t="n">
        <v>0</v>
      </c>
      <c r="K921" t="n">
        <v>0</v>
      </c>
      <c r="L921" t="n">
        <v>1</v>
      </c>
      <c r="M921" t="n">
        <v>0</v>
      </c>
    </row>
    <row r="922" spans="1:13">
      <c r="A922" s="1">
        <f>HYPERLINK("http://www.twitter.com/NathanBLawrence/status/996298728557481985", "996298728557481985")</f>
        <v/>
      </c>
      <c r="B922" s="2" t="n">
        <v>43235.3321875</v>
      </c>
      <c r="C922" t="n">
        <v>0</v>
      </c>
      <c r="D922" t="n">
        <v>4902</v>
      </c>
      <c r="E922" t="s">
        <v>928</v>
      </c>
      <c r="F922" t="s"/>
      <c r="G922" t="s"/>
      <c r="H922" t="s"/>
      <c r="I922" t="s"/>
      <c r="J922" t="n">
        <v>0</v>
      </c>
      <c r="K922" t="n">
        <v>0</v>
      </c>
      <c r="L922" t="n">
        <v>1</v>
      </c>
      <c r="M922" t="n">
        <v>0</v>
      </c>
    </row>
    <row r="923" spans="1:13">
      <c r="A923" s="1">
        <f>HYPERLINK("http://www.twitter.com/NathanBLawrence/status/996298657740836864", "996298657740836864")</f>
        <v/>
      </c>
      <c r="B923" s="2" t="n">
        <v>43235.33199074074</v>
      </c>
      <c r="C923" t="n">
        <v>0</v>
      </c>
      <c r="D923" t="n">
        <v>3510</v>
      </c>
      <c r="E923" t="s">
        <v>929</v>
      </c>
      <c r="F923" t="s"/>
      <c r="G923" t="s"/>
      <c r="H923" t="s"/>
      <c r="I923" t="s"/>
      <c r="J923" t="n">
        <v>0</v>
      </c>
      <c r="K923" t="n">
        <v>0</v>
      </c>
      <c r="L923" t="n">
        <v>1</v>
      </c>
      <c r="M923" t="n">
        <v>0</v>
      </c>
    </row>
    <row r="924" spans="1:13">
      <c r="A924" s="1">
        <f>HYPERLINK("http://www.twitter.com/NathanBLawrence/status/996298626140901376", "996298626140901376")</f>
        <v/>
      </c>
      <c r="B924" s="2" t="n">
        <v>43235.33190972222</v>
      </c>
      <c r="C924" t="n">
        <v>0</v>
      </c>
      <c r="D924" t="n">
        <v>3818</v>
      </c>
      <c r="E924" t="s">
        <v>930</v>
      </c>
      <c r="F924" t="s"/>
      <c r="G924" t="s"/>
      <c r="H924" t="s"/>
      <c r="I924" t="s"/>
      <c r="J924" t="n">
        <v>0.7341</v>
      </c>
      <c r="K924" t="n">
        <v>0</v>
      </c>
      <c r="L924" t="n">
        <v>0.729</v>
      </c>
      <c r="M924" t="n">
        <v>0.271</v>
      </c>
    </row>
    <row r="925" spans="1:13">
      <c r="A925" s="1">
        <f>HYPERLINK("http://www.twitter.com/NathanBLawrence/status/996298375917162497", "996298375917162497")</f>
        <v/>
      </c>
      <c r="B925" s="2" t="n">
        <v>43235.33121527778</v>
      </c>
      <c r="C925" t="n">
        <v>0</v>
      </c>
      <c r="D925" t="n">
        <v>9</v>
      </c>
      <c r="E925" t="s">
        <v>931</v>
      </c>
      <c r="F925" t="s"/>
      <c r="G925" t="s"/>
      <c r="H925" t="s"/>
      <c r="I925" t="s"/>
      <c r="J925" t="n">
        <v>-0.6369</v>
      </c>
      <c r="K925" t="n">
        <v>0.215</v>
      </c>
      <c r="L925" t="n">
        <v>0.785</v>
      </c>
      <c r="M925" t="n">
        <v>0</v>
      </c>
    </row>
    <row r="926" spans="1:13">
      <c r="A926" s="1">
        <f>HYPERLINK("http://www.twitter.com/NathanBLawrence/status/996298338478718976", "996298338478718976")</f>
        <v/>
      </c>
      <c r="B926" s="2" t="n">
        <v>43235.33111111111</v>
      </c>
      <c r="C926" t="n">
        <v>0</v>
      </c>
      <c r="D926" t="n">
        <v>3</v>
      </c>
      <c r="E926" t="s">
        <v>932</v>
      </c>
      <c r="F926" t="s"/>
      <c r="G926" t="s"/>
      <c r="H926" t="s"/>
      <c r="I926" t="s"/>
      <c r="J926" t="n">
        <v>0.5106000000000001</v>
      </c>
      <c r="K926" t="n">
        <v>0</v>
      </c>
      <c r="L926" t="n">
        <v>0.879</v>
      </c>
      <c r="M926" t="n">
        <v>0.121</v>
      </c>
    </row>
    <row r="927" spans="1:13">
      <c r="A927" s="1">
        <f>HYPERLINK("http://www.twitter.com/NathanBLawrence/status/996298309584195584", "996298309584195584")</f>
        <v/>
      </c>
      <c r="B927" s="2" t="n">
        <v>43235.3310300926</v>
      </c>
      <c r="C927" t="n">
        <v>0</v>
      </c>
      <c r="D927" t="n">
        <v>3</v>
      </c>
      <c r="E927" t="s">
        <v>933</v>
      </c>
      <c r="F927" t="s"/>
      <c r="G927" t="s"/>
      <c r="H927" t="s"/>
      <c r="I927" t="s"/>
      <c r="J927" t="n">
        <v>0</v>
      </c>
      <c r="K927" t="n">
        <v>0</v>
      </c>
      <c r="L927" t="n">
        <v>1</v>
      </c>
      <c r="M927" t="n">
        <v>0</v>
      </c>
    </row>
    <row r="928" spans="1:13">
      <c r="A928" s="1">
        <f>HYPERLINK("http://www.twitter.com/NathanBLawrence/status/996298125592625152", "996298125592625152")</f>
        <v/>
      </c>
      <c r="B928" s="2" t="n">
        <v>43235.33053240741</v>
      </c>
      <c r="C928" t="n">
        <v>2</v>
      </c>
      <c r="D928" t="n">
        <v>1</v>
      </c>
      <c r="E928" t="s">
        <v>934</v>
      </c>
      <c r="F928" t="s"/>
      <c r="G928" t="s"/>
      <c r="H928" t="s"/>
      <c r="I928" t="s"/>
      <c r="J928" t="n">
        <v>-0.5876</v>
      </c>
      <c r="K928" t="n">
        <v>0.068</v>
      </c>
      <c r="L928" t="n">
        <v>0.9320000000000001</v>
      </c>
      <c r="M928" t="n">
        <v>0</v>
      </c>
    </row>
    <row r="929" spans="1:13">
      <c r="A929" s="1">
        <f>HYPERLINK("http://www.twitter.com/NathanBLawrence/status/996297505355726848", "996297505355726848")</f>
        <v/>
      </c>
      <c r="B929" s="2" t="n">
        <v>43235.32881944445</v>
      </c>
      <c r="C929" t="n">
        <v>0</v>
      </c>
      <c r="D929" t="n">
        <v>7</v>
      </c>
      <c r="E929" t="s">
        <v>935</v>
      </c>
      <c r="F929" t="s"/>
      <c r="G929" t="s"/>
      <c r="H929" t="s"/>
      <c r="I929" t="s"/>
      <c r="J929" t="n">
        <v>0.3612</v>
      </c>
      <c r="K929" t="n">
        <v>0</v>
      </c>
      <c r="L929" t="n">
        <v>0.898</v>
      </c>
      <c r="M929" t="n">
        <v>0.102</v>
      </c>
    </row>
    <row r="930" spans="1:13">
      <c r="A930" s="1">
        <f>HYPERLINK("http://www.twitter.com/NathanBLawrence/status/996297489392259072", "996297489392259072")</f>
        <v/>
      </c>
      <c r="B930" s="2" t="n">
        <v>43235.32877314815</v>
      </c>
      <c r="C930" t="n">
        <v>0</v>
      </c>
      <c r="D930" t="n">
        <v>3</v>
      </c>
      <c r="E930" t="s">
        <v>936</v>
      </c>
      <c r="F930" t="s"/>
      <c r="G930" t="s"/>
      <c r="H930" t="s"/>
      <c r="I930" t="s"/>
      <c r="J930" t="n">
        <v>0</v>
      </c>
      <c r="K930" t="n">
        <v>0</v>
      </c>
      <c r="L930" t="n">
        <v>1</v>
      </c>
      <c r="M930" t="n">
        <v>0</v>
      </c>
    </row>
    <row r="931" spans="1:13">
      <c r="A931" s="1">
        <f>HYPERLINK("http://www.twitter.com/NathanBLawrence/status/996297460908773377", "996297460908773377")</f>
        <v/>
      </c>
      <c r="B931" s="2" t="n">
        <v>43235.32869212963</v>
      </c>
      <c r="C931" t="n">
        <v>0</v>
      </c>
      <c r="D931" t="n">
        <v>13</v>
      </c>
      <c r="E931" t="s">
        <v>937</v>
      </c>
      <c r="F931">
        <f>HYPERLINK("http://pbs.twimg.com/media/DdNNmBfWkAIePMt.jpg", "http://pbs.twimg.com/media/DdNNmBfWkAIePMt.jpg")</f>
        <v/>
      </c>
      <c r="G931" t="s"/>
      <c r="H931" t="s"/>
      <c r="I931" t="s"/>
      <c r="J931" t="n">
        <v>0</v>
      </c>
      <c r="K931" t="n">
        <v>0</v>
      </c>
      <c r="L931" t="n">
        <v>1</v>
      </c>
      <c r="M931" t="n">
        <v>0</v>
      </c>
    </row>
    <row r="932" spans="1:13">
      <c r="A932" s="1">
        <f>HYPERLINK("http://www.twitter.com/NathanBLawrence/status/996297379841302528", "996297379841302528")</f>
        <v/>
      </c>
      <c r="B932" s="2" t="n">
        <v>43235.32847222222</v>
      </c>
      <c r="C932" t="n">
        <v>0</v>
      </c>
      <c r="D932" t="n">
        <v>2</v>
      </c>
      <c r="E932" t="s">
        <v>938</v>
      </c>
      <c r="F932" t="s"/>
      <c r="G932" t="s"/>
      <c r="H932" t="s"/>
      <c r="I932" t="s"/>
      <c r="J932" t="n">
        <v>0</v>
      </c>
      <c r="K932" t="n">
        <v>0</v>
      </c>
      <c r="L932" t="n">
        <v>1</v>
      </c>
      <c r="M932" t="n">
        <v>0</v>
      </c>
    </row>
    <row r="933" spans="1:13">
      <c r="A933" s="1">
        <f>HYPERLINK("http://www.twitter.com/NathanBLawrence/status/996297362208419840", "996297362208419840")</f>
        <v/>
      </c>
      <c r="B933" s="2" t="n">
        <v>43235.32842592592</v>
      </c>
      <c r="C933" t="n">
        <v>0</v>
      </c>
      <c r="D933" t="n">
        <v>3</v>
      </c>
      <c r="E933" t="s">
        <v>939</v>
      </c>
      <c r="F933" t="s"/>
      <c r="G933" t="s"/>
      <c r="H933" t="s"/>
      <c r="I933" t="s"/>
      <c r="J933" t="n">
        <v>0.4019</v>
      </c>
      <c r="K933" t="n">
        <v>0</v>
      </c>
      <c r="L933" t="n">
        <v>0.876</v>
      </c>
      <c r="M933" t="n">
        <v>0.124</v>
      </c>
    </row>
    <row r="934" spans="1:13">
      <c r="A934" s="1">
        <f>HYPERLINK("http://www.twitter.com/NathanBLawrence/status/996297339261345793", "996297339261345793")</f>
        <v/>
      </c>
      <c r="B934" s="2" t="n">
        <v>43235.32835648148</v>
      </c>
      <c r="C934" t="n">
        <v>0</v>
      </c>
      <c r="D934" t="n">
        <v>2</v>
      </c>
      <c r="E934" t="s">
        <v>940</v>
      </c>
      <c r="F934" t="s"/>
      <c r="G934" t="s"/>
      <c r="H934" t="s"/>
      <c r="I934" t="s"/>
      <c r="J934" t="n">
        <v>0.5859</v>
      </c>
      <c r="K934" t="n">
        <v>0</v>
      </c>
      <c r="L934" t="n">
        <v>0.745</v>
      </c>
      <c r="M934" t="n">
        <v>0.255</v>
      </c>
    </row>
    <row r="935" spans="1:13">
      <c r="A935" s="1">
        <f>HYPERLINK("http://www.twitter.com/NathanBLawrence/status/996297136571465728", "996297136571465728")</f>
        <v/>
      </c>
      <c r="B935" s="2" t="n">
        <v>43235.32780092592</v>
      </c>
      <c r="C935" t="n">
        <v>0</v>
      </c>
      <c r="D935" t="n">
        <v>3</v>
      </c>
      <c r="E935" t="s">
        <v>941</v>
      </c>
      <c r="F935" t="s"/>
      <c r="G935" t="s"/>
      <c r="H935" t="s"/>
      <c r="I935" t="s"/>
      <c r="J935" t="n">
        <v>-0.296</v>
      </c>
      <c r="K935" t="n">
        <v>0.109</v>
      </c>
      <c r="L935" t="n">
        <v>0.891</v>
      </c>
      <c r="M935" t="n">
        <v>0</v>
      </c>
    </row>
    <row r="936" spans="1:13">
      <c r="A936" s="1">
        <f>HYPERLINK("http://www.twitter.com/NathanBLawrence/status/996297114241167361", "996297114241167361")</f>
        <v/>
      </c>
      <c r="B936" s="2" t="n">
        <v>43235.32773148148</v>
      </c>
      <c r="C936" t="n">
        <v>0</v>
      </c>
      <c r="D936" t="n">
        <v>6</v>
      </c>
      <c r="E936" t="s">
        <v>942</v>
      </c>
      <c r="F936" t="s"/>
      <c r="G936" t="s"/>
      <c r="H936" t="s"/>
      <c r="I936" t="s"/>
      <c r="J936" t="n">
        <v>0.3612</v>
      </c>
      <c r="K936" t="n">
        <v>0</v>
      </c>
      <c r="L936" t="n">
        <v>0.902</v>
      </c>
      <c r="M936" t="n">
        <v>0.098</v>
      </c>
    </row>
    <row r="937" spans="1:13">
      <c r="A937" s="1">
        <f>HYPERLINK("http://www.twitter.com/NathanBLawrence/status/996297088072855552", "996297088072855552")</f>
        <v/>
      </c>
      <c r="B937" s="2" t="n">
        <v>43235.32766203704</v>
      </c>
      <c r="C937" t="n">
        <v>0</v>
      </c>
      <c r="D937" t="n">
        <v>6</v>
      </c>
      <c r="E937" t="s">
        <v>943</v>
      </c>
      <c r="F937">
        <f>HYPERLINK("http://pbs.twimg.com/media/DdNqwjgWAAAM_bw.jpg", "http://pbs.twimg.com/media/DdNqwjgWAAAM_bw.jpg")</f>
        <v/>
      </c>
      <c r="G937" t="s"/>
      <c r="H937" t="s"/>
      <c r="I937" t="s"/>
      <c r="J937" t="n">
        <v>0</v>
      </c>
      <c r="K937" t="n">
        <v>0</v>
      </c>
      <c r="L937" t="n">
        <v>1</v>
      </c>
      <c r="M937" t="n">
        <v>0</v>
      </c>
    </row>
    <row r="938" spans="1:13">
      <c r="A938" s="1">
        <f>HYPERLINK("http://www.twitter.com/NathanBLawrence/status/996296860871659521", "996296860871659521")</f>
        <v/>
      </c>
      <c r="B938" s="2" t="n">
        <v>43235.32703703704</v>
      </c>
      <c r="C938" t="n">
        <v>0</v>
      </c>
      <c r="D938" t="n">
        <v>4</v>
      </c>
      <c r="E938" t="s">
        <v>944</v>
      </c>
      <c r="F938" t="s"/>
      <c r="G938" t="s"/>
      <c r="H938" t="s"/>
      <c r="I938" t="s"/>
      <c r="J938" t="n">
        <v>-0.7351</v>
      </c>
      <c r="K938" t="n">
        <v>0.311</v>
      </c>
      <c r="L938" t="n">
        <v>0.594</v>
      </c>
      <c r="M938" t="n">
        <v>0.094</v>
      </c>
    </row>
    <row r="939" spans="1:13">
      <c r="A939" s="1">
        <f>HYPERLINK("http://www.twitter.com/NathanBLawrence/status/996296783688011776", "996296783688011776")</f>
        <v/>
      </c>
      <c r="B939" s="2" t="n">
        <v>43235.32682870371</v>
      </c>
      <c r="C939" t="n">
        <v>0</v>
      </c>
      <c r="D939" t="n">
        <v>14</v>
      </c>
      <c r="E939" t="s">
        <v>945</v>
      </c>
      <c r="F939" t="s"/>
      <c r="G939" t="s"/>
      <c r="H939" t="s"/>
      <c r="I939" t="s"/>
      <c r="J939" t="n">
        <v>-0.296</v>
      </c>
      <c r="K939" t="n">
        <v>0.095</v>
      </c>
      <c r="L939" t="n">
        <v>0.905</v>
      </c>
      <c r="M939" t="n">
        <v>0</v>
      </c>
    </row>
    <row r="940" spans="1:13">
      <c r="A940" s="1">
        <f>HYPERLINK("http://www.twitter.com/NathanBLawrence/status/996296726691495937", "996296726691495937")</f>
        <v/>
      </c>
      <c r="B940" s="2" t="n">
        <v>43235.32666666667</v>
      </c>
      <c r="C940" t="n">
        <v>0</v>
      </c>
      <c r="D940" t="n">
        <v>16</v>
      </c>
      <c r="E940" t="s">
        <v>946</v>
      </c>
      <c r="F940" t="s"/>
      <c r="G940" t="s"/>
      <c r="H940" t="s"/>
      <c r="I940" t="s"/>
      <c r="J940" t="n">
        <v>-0.1779</v>
      </c>
      <c r="K940" t="n">
        <v>0.097</v>
      </c>
      <c r="L940" t="n">
        <v>0.837</v>
      </c>
      <c r="M940" t="n">
        <v>0.066</v>
      </c>
    </row>
    <row r="941" spans="1:13">
      <c r="A941" s="1">
        <f>HYPERLINK("http://www.twitter.com/NathanBLawrence/status/996296706613489664", "996296706613489664")</f>
        <v/>
      </c>
      <c r="B941" s="2" t="n">
        <v>43235.3266087963</v>
      </c>
      <c r="C941" t="n">
        <v>0</v>
      </c>
      <c r="D941" t="n">
        <v>23</v>
      </c>
      <c r="E941" t="s">
        <v>947</v>
      </c>
      <c r="F941">
        <f>HYPERLINK("http://pbs.twimg.com/media/DdKCbiHVQAAZH_p.jpg", "http://pbs.twimg.com/media/DdKCbiHVQAAZH_p.jpg")</f>
        <v/>
      </c>
      <c r="G941" t="s"/>
      <c r="H941" t="s"/>
      <c r="I941" t="s"/>
      <c r="J941" t="n">
        <v>-0.6874</v>
      </c>
      <c r="K941" t="n">
        <v>0.25</v>
      </c>
      <c r="L941" t="n">
        <v>0.75</v>
      </c>
      <c r="M941" t="n">
        <v>0</v>
      </c>
    </row>
    <row r="942" spans="1:13">
      <c r="A942" s="1">
        <f>HYPERLINK("http://www.twitter.com/NathanBLawrence/status/996296690536599554", "996296690536599554")</f>
        <v/>
      </c>
      <c r="B942" s="2" t="n">
        <v>43235.3265625</v>
      </c>
      <c r="C942" t="n">
        <v>0</v>
      </c>
      <c r="D942" t="n">
        <v>15</v>
      </c>
      <c r="E942" t="s">
        <v>948</v>
      </c>
      <c r="F942">
        <f>HYPERLINK("http://pbs.twimg.com/media/DdKSOVQXcAAFpad.jpg", "http://pbs.twimg.com/media/DdKSOVQXcAAFpad.jpg")</f>
        <v/>
      </c>
      <c r="G942" t="s"/>
      <c r="H942" t="s"/>
      <c r="I942" t="s"/>
      <c r="J942" t="n">
        <v>-0.34</v>
      </c>
      <c r="K942" t="n">
        <v>0.192</v>
      </c>
      <c r="L942" t="n">
        <v>0.698</v>
      </c>
      <c r="M942" t="n">
        <v>0.11</v>
      </c>
    </row>
    <row r="943" spans="1:13">
      <c r="A943" s="1">
        <f>HYPERLINK("http://www.twitter.com/NathanBLawrence/status/996296662434934784", "996296662434934784")</f>
        <v/>
      </c>
      <c r="B943" s="2" t="n">
        <v>43235.32649305555</v>
      </c>
      <c r="C943" t="n">
        <v>0</v>
      </c>
      <c r="D943" t="n">
        <v>13</v>
      </c>
      <c r="E943" t="s">
        <v>949</v>
      </c>
      <c r="F943" t="s"/>
      <c r="G943" t="s"/>
      <c r="H943" t="s"/>
      <c r="I943" t="s"/>
      <c r="J943" t="n">
        <v>0</v>
      </c>
      <c r="K943" t="n">
        <v>0.109</v>
      </c>
      <c r="L943" t="n">
        <v>0.783</v>
      </c>
      <c r="M943" t="n">
        <v>0.109</v>
      </c>
    </row>
    <row r="944" spans="1:13">
      <c r="A944" s="1">
        <f>HYPERLINK("http://www.twitter.com/NathanBLawrence/status/996296650573393920", "996296650573393920")</f>
        <v/>
      </c>
      <c r="B944" s="2" t="n">
        <v>43235.32645833334</v>
      </c>
      <c r="C944" t="n">
        <v>0</v>
      </c>
      <c r="D944" t="n">
        <v>5</v>
      </c>
      <c r="E944" t="s">
        <v>950</v>
      </c>
      <c r="F944" t="s"/>
      <c r="G944" t="s"/>
      <c r="H944" t="s"/>
      <c r="I944" t="s"/>
      <c r="J944" t="n">
        <v>0.3182</v>
      </c>
      <c r="K944" t="n">
        <v>0</v>
      </c>
      <c r="L944" t="n">
        <v>0.827</v>
      </c>
      <c r="M944" t="n">
        <v>0.173</v>
      </c>
    </row>
    <row r="945" spans="1:13">
      <c r="A945" s="1">
        <f>HYPERLINK("http://www.twitter.com/NathanBLawrence/status/996296625944489985", "996296625944489985")</f>
        <v/>
      </c>
      <c r="B945" s="2" t="n">
        <v>43235.32638888889</v>
      </c>
      <c r="C945" t="n">
        <v>0</v>
      </c>
      <c r="D945" t="n">
        <v>14</v>
      </c>
      <c r="E945" t="s">
        <v>951</v>
      </c>
      <c r="F945" t="s"/>
      <c r="G945" t="s"/>
      <c r="H945" t="s"/>
      <c r="I945" t="s"/>
      <c r="J945" t="n">
        <v>0.1531</v>
      </c>
      <c r="K945" t="n">
        <v>0.137</v>
      </c>
      <c r="L945" t="n">
        <v>0.703</v>
      </c>
      <c r="M945" t="n">
        <v>0.16</v>
      </c>
    </row>
    <row r="946" spans="1:13">
      <c r="A946" s="1">
        <f>HYPERLINK("http://www.twitter.com/NathanBLawrence/status/996296599704915968", "996296599704915968")</f>
        <v/>
      </c>
      <c r="B946" s="2" t="n">
        <v>43235.32631944444</v>
      </c>
      <c r="C946" t="n">
        <v>0</v>
      </c>
      <c r="D946" t="n">
        <v>10</v>
      </c>
      <c r="E946" t="s">
        <v>952</v>
      </c>
      <c r="F946" t="s"/>
      <c r="G946" t="s"/>
      <c r="H946" t="s"/>
      <c r="I946" t="s"/>
      <c r="J946" t="n">
        <v>0</v>
      </c>
      <c r="K946" t="n">
        <v>0</v>
      </c>
      <c r="L946" t="n">
        <v>1</v>
      </c>
      <c r="M946" t="n">
        <v>0</v>
      </c>
    </row>
    <row r="947" spans="1:13">
      <c r="A947" s="1">
        <f>HYPERLINK("http://www.twitter.com/NathanBLawrence/status/996296585679171584", "996296585679171584")</f>
        <v/>
      </c>
      <c r="B947" s="2" t="n">
        <v>43235.32627314814</v>
      </c>
      <c r="C947" t="n">
        <v>0</v>
      </c>
      <c r="D947" t="n">
        <v>10</v>
      </c>
      <c r="E947" t="s">
        <v>953</v>
      </c>
      <c r="F947" t="s"/>
      <c r="G947" t="s"/>
      <c r="H947" t="s"/>
      <c r="I947" t="s"/>
      <c r="J947" t="n">
        <v>0.0493</v>
      </c>
      <c r="K947" t="n">
        <v>0.229</v>
      </c>
      <c r="L947" t="n">
        <v>0.5659999999999999</v>
      </c>
      <c r="M947" t="n">
        <v>0.205</v>
      </c>
    </row>
    <row r="948" spans="1:13">
      <c r="A948" s="1">
        <f>HYPERLINK("http://www.twitter.com/NathanBLawrence/status/996296574937587712", "996296574937587712")</f>
        <v/>
      </c>
      <c r="B948" s="2" t="n">
        <v>43235.32625</v>
      </c>
      <c r="C948" t="n">
        <v>0</v>
      </c>
      <c r="D948" t="n">
        <v>22</v>
      </c>
      <c r="E948" t="s">
        <v>954</v>
      </c>
      <c r="F948" t="s"/>
      <c r="G948" t="s"/>
      <c r="H948" t="s"/>
      <c r="I948" t="s"/>
      <c r="J948" t="n">
        <v>0</v>
      </c>
      <c r="K948" t="n">
        <v>0</v>
      </c>
      <c r="L948" t="n">
        <v>1</v>
      </c>
      <c r="M948" t="n">
        <v>0</v>
      </c>
    </row>
    <row r="949" spans="1:13">
      <c r="A949" s="1">
        <f>HYPERLINK("http://www.twitter.com/NathanBLawrence/status/996296552812634112", "996296552812634112")</f>
        <v/>
      </c>
      <c r="B949" s="2" t="n">
        <v>43235.32619212963</v>
      </c>
      <c r="C949" t="n">
        <v>0</v>
      </c>
      <c r="D949" t="n">
        <v>11</v>
      </c>
      <c r="E949" t="s">
        <v>955</v>
      </c>
      <c r="F949">
        <f>HYPERLINK("http://pbs.twimg.com/media/DdM32eKVAAALbAz.jpg", "http://pbs.twimg.com/media/DdM32eKVAAALbAz.jpg")</f>
        <v/>
      </c>
      <c r="G949">
        <f>HYPERLINK("http://pbs.twimg.com/media/DdM33KfU8AM3oUw.jpg", "http://pbs.twimg.com/media/DdM33KfU8AM3oUw.jpg")</f>
        <v/>
      </c>
      <c r="H949" t="s"/>
      <c r="I949" t="s"/>
      <c r="J949" t="n">
        <v>0</v>
      </c>
      <c r="K949" t="n">
        <v>0</v>
      </c>
      <c r="L949" t="n">
        <v>1</v>
      </c>
      <c r="M949" t="n">
        <v>0</v>
      </c>
    </row>
    <row r="950" spans="1:13">
      <c r="A950" s="1">
        <f>HYPERLINK("http://www.twitter.com/NathanBLawrence/status/996296517400104960", "996296517400104960")</f>
        <v/>
      </c>
      <c r="B950" s="2" t="n">
        <v>43235.32608796296</v>
      </c>
      <c r="C950" t="n">
        <v>0</v>
      </c>
      <c r="D950" t="n">
        <v>3</v>
      </c>
      <c r="E950" t="s">
        <v>956</v>
      </c>
      <c r="F950">
        <f>HYPERLINK("http://pbs.twimg.com/media/DdM-vHWV4AESaQX.jpg", "http://pbs.twimg.com/media/DdM-vHWV4AESaQX.jpg")</f>
        <v/>
      </c>
      <c r="G950" t="s"/>
      <c r="H950" t="s"/>
      <c r="I950" t="s"/>
      <c r="J950" t="n">
        <v>0.2244</v>
      </c>
      <c r="K950" t="n">
        <v>0.135</v>
      </c>
      <c r="L950" t="n">
        <v>0.675</v>
      </c>
      <c r="M950" t="n">
        <v>0.19</v>
      </c>
    </row>
    <row r="951" spans="1:13">
      <c r="A951" s="1">
        <f>HYPERLINK("http://www.twitter.com/NathanBLawrence/status/996296503701405696", "996296503701405696")</f>
        <v/>
      </c>
      <c r="B951" s="2" t="n">
        <v>43235.32605324074</v>
      </c>
      <c r="C951" t="n">
        <v>0</v>
      </c>
      <c r="D951" t="n">
        <v>7</v>
      </c>
      <c r="E951" t="s">
        <v>957</v>
      </c>
      <c r="F951" t="s"/>
      <c r="G951" t="s"/>
      <c r="H951" t="s"/>
      <c r="I951" t="s"/>
      <c r="J951" t="n">
        <v>0.364</v>
      </c>
      <c r="K951" t="n">
        <v>0</v>
      </c>
      <c r="L951" t="n">
        <v>0.893</v>
      </c>
      <c r="M951" t="n">
        <v>0.107</v>
      </c>
    </row>
    <row r="952" spans="1:13">
      <c r="A952" s="1">
        <f>HYPERLINK("http://www.twitter.com/NathanBLawrence/status/996296480674779136", "996296480674779136")</f>
        <v/>
      </c>
      <c r="B952" s="2" t="n">
        <v>43235.3259837963</v>
      </c>
      <c r="C952" t="n">
        <v>0</v>
      </c>
      <c r="D952" t="n">
        <v>6</v>
      </c>
      <c r="E952" t="s">
        <v>958</v>
      </c>
      <c r="F952" t="s"/>
      <c r="G952" t="s"/>
      <c r="H952" t="s"/>
      <c r="I952" t="s"/>
      <c r="J952" t="n">
        <v>0.0258</v>
      </c>
      <c r="K952" t="n">
        <v>0.094</v>
      </c>
      <c r="L952" t="n">
        <v>0.8090000000000001</v>
      </c>
      <c r="M952" t="n">
        <v>0.098</v>
      </c>
    </row>
    <row r="953" spans="1:13">
      <c r="A953" s="1">
        <f>HYPERLINK("http://www.twitter.com/NathanBLawrence/status/996296397644234752", "996296397644234752")</f>
        <v/>
      </c>
      <c r="B953" s="2" t="n">
        <v>43235.32576388889</v>
      </c>
      <c r="C953" t="n">
        <v>0</v>
      </c>
      <c r="D953" t="n">
        <v>7</v>
      </c>
      <c r="E953" t="s">
        <v>959</v>
      </c>
      <c r="F953" t="s"/>
      <c r="G953" t="s"/>
      <c r="H953" t="s"/>
      <c r="I953" t="s"/>
      <c r="J953" t="n">
        <v>0</v>
      </c>
      <c r="K953" t="n">
        <v>0</v>
      </c>
      <c r="L953" t="n">
        <v>1</v>
      </c>
      <c r="M953" t="n">
        <v>0</v>
      </c>
    </row>
    <row r="954" spans="1:13">
      <c r="A954" s="1">
        <f>HYPERLINK("http://www.twitter.com/NathanBLawrence/status/996296361262886912", "996296361262886912")</f>
        <v/>
      </c>
      <c r="B954" s="2" t="n">
        <v>43235.32565972222</v>
      </c>
      <c r="C954" t="n">
        <v>0</v>
      </c>
      <c r="D954" t="n">
        <v>14</v>
      </c>
      <c r="E954" t="s">
        <v>960</v>
      </c>
      <c r="F954" t="s"/>
      <c r="G954" t="s"/>
      <c r="H954" t="s"/>
      <c r="I954" t="s"/>
      <c r="J954" t="n">
        <v>0.6371</v>
      </c>
      <c r="K954" t="n">
        <v>0.103</v>
      </c>
      <c r="L954" t="n">
        <v>0.637</v>
      </c>
      <c r="M954" t="n">
        <v>0.26</v>
      </c>
    </row>
    <row r="955" spans="1:13">
      <c r="A955" s="1">
        <f>HYPERLINK("http://www.twitter.com/NathanBLawrence/status/996296349560852480", "996296349560852480")</f>
        <v/>
      </c>
      <c r="B955" s="2" t="n">
        <v>43235.325625</v>
      </c>
      <c r="C955" t="n">
        <v>0</v>
      </c>
      <c r="D955" t="n">
        <v>22</v>
      </c>
      <c r="E955" t="s">
        <v>961</v>
      </c>
      <c r="F955" t="s"/>
      <c r="G955" t="s"/>
      <c r="H955" t="s"/>
      <c r="I955" t="s"/>
      <c r="J955" t="n">
        <v>0.2481</v>
      </c>
      <c r="K955" t="n">
        <v>0.096</v>
      </c>
      <c r="L955" t="n">
        <v>0.731</v>
      </c>
      <c r="M955" t="n">
        <v>0.173</v>
      </c>
    </row>
    <row r="956" spans="1:13">
      <c r="A956" s="1">
        <f>HYPERLINK("http://www.twitter.com/NathanBLawrence/status/996296335337967616", "996296335337967616")</f>
        <v/>
      </c>
      <c r="B956" s="2" t="n">
        <v>43235.32559027777</v>
      </c>
      <c r="C956" t="n">
        <v>0</v>
      </c>
      <c r="D956" t="n">
        <v>6</v>
      </c>
      <c r="E956" t="s">
        <v>962</v>
      </c>
      <c r="F956" t="s"/>
      <c r="G956" t="s"/>
      <c r="H956" t="s"/>
      <c r="I956" t="s"/>
      <c r="J956" t="n">
        <v>0.128</v>
      </c>
      <c r="K956" t="n">
        <v>0.091</v>
      </c>
      <c r="L956" t="n">
        <v>0.798</v>
      </c>
      <c r="M956" t="n">
        <v>0.11</v>
      </c>
    </row>
    <row r="957" spans="1:13">
      <c r="A957" s="1">
        <f>HYPERLINK("http://www.twitter.com/NathanBLawrence/status/996296322457227264", "996296322457227264")</f>
        <v/>
      </c>
      <c r="B957" s="2" t="n">
        <v>43235.32555555556</v>
      </c>
      <c r="C957" t="n">
        <v>0</v>
      </c>
      <c r="D957" t="n">
        <v>15</v>
      </c>
      <c r="E957" t="s">
        <v>963</v>
      </c>
      <c r="F957" t="s"/>
      <c r="G957" t="s"/>
      <c r="H957" t="s"/>
      <c r="I957" t="s"/>
      <c r="J957" t="n">
        <v>0</v>
      </c>
      <c r="K957" t="n">
        <v>0</v>
      </c>
      <c r="L957" t="n">
        <v>1</v>
      </c>
      <c r="M957" t="n">
        <v>0</v>
      </c>
    </row>
    <row r="958" spans="1:13">
      <c r="A958" s="1">
        <f>HYPERLINK("http://www.twitter.com/NathanBLawrence/status/996296307781390336", "996296307781390336")</f>
        <v/>
      </c>
      <c r="B958" s="2" t="n">
        <v>43235.32550925926</v>
      </c>
      <c r="C958" t="n">
        <v>0</v>
      </c>
      <c r="D958" t="n">
        <v>21</v>
      </c>
      <c r="E958" t="s">
        <v>964</v>
      </c>
      <c r="F958" t="s"/>
      <c r="G958" t="s"/>
      <c r="H958" t="s"/>
      <c r="I958" t="s"/>
      <c r="J958" t="n">
        <v>0.5859</v>
      </c>
      <c r="K958" t="n">
        <v>0</v>
      </c>
      <c r="L958" t="n">
        <v>0.821</v>
      </c>
      <c r="M958" t="n">
        <v>0.179</v>
      </c>
    </row>
    <row r="959" spans="1:13">
      <c r="A959" s="1">
        <f>HYPERLINK("http://www.twitter.com/NathanBLawrence/status/996296248629059584", "996296248629059584")</f>
        <v/>
      </c>
      <c r="B959" s="2" t="n">
        <v>43235.32534722222</v>
      </c>
      <c r="C959" t="n">
        <v>0</v>
      </c>
      <c r="D959" t="n">
        <v>34</v>
      </c>
      <c r="E959" t="s">
        <v>965</v>
      </c>
      <c r="F959" t="s"/>
      <c r="G959" t="s"/>
      <c r="H959" t="s"/>
      <c r="I959" t="s"/>
      <c r="J959" t="n">
        <v>-0.6486</v>
      </c>
      <c r="K959" t="n">
        <v>0.202</v>
      </c>
      <c r="L959" t="n">
        <v>0.798</v>
      </c>
      <c r="M959" t="n">
        <v>0</v>
      </c>
    </row>
    <row r="960" spans="1:13">
      <c r="A960" s="1">
        <f>HYPERLINK("http://www.twitter.com/NathanBLawrence/status/996296169176301568", "996296169176301568")</f>
        <v/>
      </c>
      <c r="B960" s="2" t="n">
        <v>43235.32512731481</v>
      </c>
      <c r="C960" t="n">
        <v>0</v>
      </c>
      <c r="D960" t="n">
        <v>25</v>
      </c>
      <c r="E960" t="s">
        <v>966</v>
      </c>
      <c r="F960">
        <f>HYPERLINK("http://pbs.twimg.com/media/DdL_Qf5WkAAFmlm.jpg", "http://pbs.twimg.com/media/DdL_Qf5WkAAFmlm.jpg")</f>
        <v/>
      </c>
      <c r="G960" t="s"/>
      <c r="H960" t="s"/>
      <c r="I960" t="s"/>
      <c r="J960" t="n">
        <v>-0.4184</v>
      </c>
      <c r="K960" t="n">
        <v>0.108</v>
      </c>
      <c r="L960" t="n">
        <v>0.892</v>
      </c>
      <c r="M960" t="n">
        <v>0</v>
      </c>
    </row>
    <row r="961" spans="1:13">
      <c r="A961" s="1">
        <f>HYPERLINK("http://www.twitter.com/NathanBLawrence/status/996296139715629056", "996296139715629056")</f>
        <v/>
      </c>
      <c r="B961" s="2" t="n">
        <v>43235.3250462963</v>
      </c>
      <c r="C961" t="n">
        <v>0</v>
      </c>
      <c r="D961" t="n">
        <v>18</v>
      </c>
      <c r="E961" t="s">
        <v>967</v>
      </c>
      <c r="F961">
        <f>HYPERLINK("http://pbs.twimg.com/media/DdNbxqDWAAAfDNi.jpg", "http://pbs.twimg.com/media/DdNbxqDWAAAfDNi.jpg")</f>
        <v/>
      </c>
      <c r="G961" t="s"/>
      <c r="H961" t="s"/>
      <c r="I961" t="s"/>
      <c r="J961" t="n">
        <v>-0.703</v>
      </c>
      <c r="K961" t="n">
        <v>0.226</v>
      </c>
      <c r="L961" t="n">
        <v>0.774</v>
      </c>
      <c r="M961" t="n">
        <v>0</v>
      </c>
    </row>
    <row r="962" spans="1:13">
      <c r="A962" s="1">
        <f>HYPERLINK("http://www.twitter.com/NathanBLawrence/status/996296124846825472", "996296124846825472")</f>
        <v/>
      </c>
      <c r="B962" s="2" t="n">
        <v>43235.32501157407</v>
      </c>
      <c r="C962" t="n">
        <v>0</v>
      </c>
      <c r="D962" t="n">
        <v>23</v>
      </c>
      <c r="E962" t="s">
        <v>968</v>
      </c>
      <c r="F962">
        <f>HYPERLINK("http://pbs.twimg.com/media/DdMvXEtU8AAgf7a.jpg", "http://pbs.twimg.com/media/DdMvXEtU8AAgf7a.jpg")</f>
        <v/>
      </c>
      <c r="G962" t="s"/>
      <c r="H962" t="s"/>
      <c r="I962" t="s"/>
      <c r="J962" t="n">
        <v>-0.296</v>
      </c>
      <c r="K962" t="n">
        <v>0.104</v>
      </c>
      <c r="L962" t="n">
        <v>0.896</v>
      </c>
      <c r="M962" t="n">
        <v>0</v>
      </c>
    </row>
    <row r="963" spans="1:13">
      <c r="A963" s="1">
        <f>HYPERLINK("http://www.twitter.com/NathanBLawrence/status/996296046669070336", "996296046669070336")</f>
        <v/>
      </c>
      <c r="B963" s="2" t="n">
        <v>43235.32479166667</v>
      </c>
      <c r="C963" t="n">
        <v>0</v>
      </c>
      <c r="D963" t="n">
        <v>12</v>
      </c>
      <c r="E963" t="s">
        <v>969</v>
      </c>
      <c r="F963">
        <f>HYPERLINK("http://pbs.twimg.com/media/DdNlnVZVMAEyrTh.jpg", "http://pbs.twimg.com/media/DdNlnVZVMAEyrTh.jpg")</f>
        <v/>
      </c>
      <c r="G963" t="s"/>
      <c r="H963" t="s"/>
      <c r="I963" t="s"/>
      <c r="J963" t="n">
        <v>-0.1027</v>
      </c>
      <c r="K963" t="n">
        <v>0.055</v>
      </c>
      <c r="L963" t="n">
        <v>0.945</v>
      </c>
      <c r="M963" t="n">
        <v>0</v>
      </c>
    </row>
    <row r="964" spans="1:13">
      <c r="A964" s="1">
        <f>HYPERLINK("http://www.twitter.com/NathanBLawrence/status/996296033113202688", "996296033113202688")</f>
        <v/>
      </c>
      <c r="B964" s="2" t="n">
        <v>43235.32475694444</v>
      </c>
      <c r="C964" t="n">
        <v>0</v>
      </c>
      <c r="D964" t="n">
        <v>14</v>
      </c>
      <c r="E964" t="s">
        <v>970</v>
      </c>
      <c r="F964">
        <f>HYPERLINK("http://pbs.twimg.com/media/DdNjTeNWAAEUR_D.jpg", "http://pbs.twimg.com/media/DdNjTeNWAAEUR_D.jpg")</f>
        <v/>
      </c>
      <c r="G964" t="s"/>
      <c r="H964" t="s"/>
      <c r="I964" t="s"/>
      <c r="J964" t="n">
        <v>0.4389</v>
      </c>
      <c r="K964" t="n">
        <v>0.054</v>
      </c>
      <c r="L964" t="n">
        <v>0.778</v>
      </c>
      <c r="M964" t="n">
        <v>0.167</v>
      </c>
    </row>
    <row r="965" spans="1:13">
      <c r="A965" s="1">
        <f>HYPERLINK("http://www.twitter.com/NathanBLawrence/status/996295691071840256", "996295691071840256")</f>
        <v/>
      </c>
      <c r="B965" s="2" t="n">
        <v>43235.32380787037</v>
      </c>
      <c r="C965" t="n">
        <v>0</v>
      </c>
      <c r="D965" t="n">
        <v>29</v>
      </c>
      <c r="E965" t="s">
        <v>971</v>
      </c>
      <c r="F965" t="s"/>
      <c r="G965" t="s"/>
      <c r="H965" t="s"/>
      <c r="I965" t="s"/>
      <c r="J965" t="n">
        <v>-0.3182</v>
      </c>
      <c r="K965" t="n">
        <v>0.209</v>
      </c>
      <c r="L965" t="n">
        <v>0.672</v>
      </c>
      <c r="M965" t="n">
        <v>0.119</v>
      </c>
    </row>
    <row r="966" spans="1:13">
      <c r="A966" s="1">
        <f>HYPERLINK("http://www.twitter.com/NathanBLawrence/status/996295667323670529", "996295667323670529")</f>
        <v/>
      </c>
      <c r="B966" s="2" t="n">
        <v>43235.32375</v>
      </c>
      <c r="C966" t="n">
        <v>0</v>
      </c>
      <c r="D966" t="n">
        <v>29</v>
      </c>
      <c r="E966" t="s">
        <v>972</v>
      </c>
      <c r="F966" t="s"/>
      <c r="G966" t="s"/>
      <c r="H966" t="s"/>
      <c r="I966" t="s"/>
      <c r="J966" t="n">
        <v>-0.6124000000000001</v>
      </c>
      <c r="K966" t="n">
        <v>0.185</v>
      </c>
      <c r="L966" t="n">
        <v>0.8149999999999999</v>
      </c>
      <c r="M966" t="n">
        <v>0</v>
      </c>
    </row>
    <row r="967" spans="1:13">
      <c r="A967" s="1">
        <f>HYPERLINK("http://www.twitter.com/NathanBLawrence/status/996295620813082624", "996295620813082624")</f>
        <v/>
      </c>
      <c r="B967" s="2" t="n">
        <v>43235.32361111111</v>
      </c>
      <c r="C967" t="n">
        <v>0</v>
      </c>
      <c r="D967" t="n">
        <v>25</v>
      </c>
      <c r="E967" t="s">
        <v>973</v>
      </c>
      <c r="F967" t="s"/>
      <c r="G967" t="s"/>
      <c r="H967" t="s"/>
      <c r="I967" t="s"/>
      <c r="J967" t="n">
        <v>0.0258</v>
      </c>
      <c r="K967" t="n">
        <v>0.114</v>
      </c>
      <c r="L967" t="n">
        <v>0.769</v>
      </c>
      <c r="M967" t="n">
        <v>0.117</v>
      </c>
    </row>
    <row r="968" spans="1:13">
      <c r="A968" s="1">
        <f>HYPERLINK("http://www.twitter.com/NathanBLawrence/status/996295567851614208", "996295567851614208")</f>
        <v/>
      </c>
      <c r="B968" s="2" t="n">
        <v>43235.32347222222</v>
      </c>
      <c r="C968" t="n">
        <v>0</v>
      </c>
      <c r="D968" t="n">
        <v>11</v>
      </c>
      <c r="E968" t="s">
        <v>974</v>
      </c>
      <c r="F968" t="s"/>
      <c r="G968" t="s"/>
      <c r="H968" t="s"/>
      <c r="I968" t="s"/>
      <c r="J968" t="n">
        <v>0.4215</v>
      </c>
      <c r="K968" t="n">
        <v>0.08400000000000001</v>
      </c>
      <c r="L968" t="n">
        <v>0.6929999999999999</v>
      </c>
      <c r="M968" t="n">
        <v>0.223</v>
      </c>
    </row>
    <row r="969" spans="1:13">
      <c r="A969" s="1">
        <f>HYPERLINK("http://www.twitter.com/NathanBLawrence/status/996295481495089153", "996295481495089153")</f>
        <v/>
      </c>
      <c r="B969" s="2" t="n">
        <v>43235.32322916666</v>
      </c>
      <c r="C969" t="n">
        <v>0</v>
      </c>
      <c r="D969" t="n">
        <v>26536</v>
      </c>
      <c r="E969" t="s">
        <v>975</v>
      </c>
      <c r="F969" t="s"/>
      <c r="G969" t="s"/>
      <c r="H969" t="s"/>
      <c r="I969" t="s"/>
      <c r="J969" t="n">
        <v>-0.4767</v>
      </c>
      <c r="K969" t="n">
        <v>0.119</v>
      </c>
      <c r="L969" t="n">
        <v>0.881</v>
      </c>
      <c r="M969" t="n">
        <v>0</v>
      </c>
    </row>
    <row r="970" spans="1:13">
      <c r="A970" s="1">
        <f>HYPERLINK("http://www.twitter.com/NathanBLawrence/status/996295469562253313", "996295469562253313")</f>
        <v/>
      </c>
      <c r="B970" s="2" t="n">
        <v>43235.32319444444</v>
      </c>
      <c r="C970" t="n">
        <v>0</v>
      </c>
      <c r="D970" t="n">
        <v>3911</v>
      </c>
      <c r="E970" t="s">
        <v>976</v>
      </c>
      <c r="F970" t="s"/>
      <c r="G970" t="s"/>
      <c r="H970" t="s"/>
      <c r="I970" t="s"/>
      <c r="J970" t="n">
        <v>-0.4215</v>
      </c>
      <c r="K970" t="n">
        <v>0.186</v>
      </c>
      <c r="L970" t="n">
        <v>0.73</v>
      </c>
      <c r="M970" t="n">
        <v>0.08400000000000001</v>
      </c>
    </row>
    <row r="971" spans="1:13">
      <c r="A971" s="1">
        <f>HYPERLINK("http://www.twitter.com/NathanBLawrence/status/996295287957319680", "996295287957319680")</f>
        <v/>
      </c>
      <c r="B971" s="2" t="n">
        <v>43235.32269675926</v>
      </c>
      <c r="C971" t="n">
        <v>1</v>
      </c>
      <c r="D971" t="n">
        <v>0</v>
      </c>
      <c r="E971" t="s">
        <v>977</v>
      </c>
      <c r="F971" t="s"/>
      <c r="G971" t="s"/>
      <c r="H971" t="s"/>
      <c r="I971" t="s"/>
      <c r="J971" t="n">
        <v>0.5562</v>
      </c>
      <c r="K971" t="n">
        <v>0</v>
      </c>
      <c r="L971" t="n">
        <v>0.455</v>
      </c>
      <c r="M971" t="n">
        <v>0.545</v>
      </c>
    </row>
    <row r="972" spans="1:13">
      <c r="A972" s="1">
        <f>HYPERLINK("http://www.twitter.com/NathanBLawrence/status/996295236304465921", "996295236304465921")</f>
        <v/>
      </c>
      <c r="B972" s="2" t="n">
        <v>43235.32255787037</v>
      </c>
      <c r="C972" t="n">
        <v>0</v>
      </c>
      <c r="D972" t="n">
        <v>483</v>
      </c>
      <c r="E972" t="s">
        <v>978</v>
      </c>
      <c r="F972" t="s"/>
      <c r="G972" t="s"/>
      <c r="H972" t="s"/>
      <c r="I972" t="s"/>
      <c r="J972" t="n">
        <v>0.4588</v>
      </c>
      <c r="K972" t="n">
        <v>0.08</v>
      </c>
      <c r="L972" t="n">
        <v>0.763</v>
      </c>
      <c r="M972" t="n">
        <v>0.156</v>
      </c>
    </row>
    <row r="973" spans="1:13">
      <c r="A973" s="1">
        <f>HYPERLINK("http://www.twitter.com/NathanBLawrence/status/996295216998043648", "996295216998043648")</f>
        <v/>
      </c>
      <c r="B973" s="2" t="n">
        <v>43235.3225</v>
      </c>
      <c r="C973" t="n">
        <v>0</v>
      </c>
      <c r="D973" t="n">
        <v>85</v>
      </c>
      <c r="E973" t="s">
        <v>979</v>
      </c>
      <c r="F973" t="s"/>
      <c r="G973" t="s"/>
      <c r="H973" t="s"/>
      <c r="I973" t="s"/>
      <c r="J973" t="n">
        <v>0.6249</v>
      </c>
      <c r="K973" t="n">
        <v>0</v>
      </c>
      <c r="L973" t="n">
        <v>0.854</v>
      </c>
      <c r="M973" t="n">
        <v>0.146</v>
      </c>
    </row>
    <row r="974" spans="1:13">
      <c r="A974" s="1">
        <f>HYPERLINK("http://www.twitter.com/NathanBLawrence/status/995843295380205570", "995843295380205570")</f>
        <v/>
      </c>
      <c r="B974" s="2" t="n">
        <v>43234.07543981481</v>
      </c>
      <c r="C974" t="n">
        <v>0</v>
      </c>
      <c r="D974" t="n">
        <v>2</v>
      </c>
      <c r="E974" t="s">
        <v>980</v>
      </c>
      <c r="F974" t="s"/>
      <c r="G974" t="s"/>
      <c r="H974" t="s"/>
      <c r="I974" t="s"/>
      <c r="J974" t="n">
        <v>-0.3899</v>
      </c>
      <c r="K974" t="n">
        <v>0.106</v>
      </c>
      <c r="L974" t="n">
        <v>0.851</v>
      </c>
      <c r="M974" t="n">
        <v>0.043</v>
      </c>
    </row>
    <row r="975" spans="1:13">
      <c r="A975" s="1">
        <f>HYPERLINK("http://www.twitter.com/NathanBLawrence/status/995775755945697280", "995775755945697280")</f>
        <v/>
      </c>
      <c r="B975" s="2" t="n">
        <v>43233.8890625</v>
      </c>
      <c r="C975" t="n">
        <v>0</v>
      </c>
      <c r="D975" t="n">
        <v>7</v>
      </c>
      <c r="E975" t="s">
        <v>981</v>
      </c>
      <c r="F975" t="s"/>
      <c r="G975" t="s"/>
      <c r="H975" t="s"/>
      <c r="I975" t="s"/>
      <c r="J975" t="n">
        <v>0.6531</v>
      </c>
      <c r="K975" t="n">
        <v>0</v>
      </c>
      <c r="L975" t="n">
        <v>0.797</v>
      </c>
      <c r="M975" t="n">
        <v>0.203</v>
      </c>
    </row>
    <row r="976" spans="1:13">
      <c r="A976" s="1">
        <f>HYPERLINK("http://www.twitter.com/NathanBLawrence/status/995775579600375808", "995775579600375808")</f>
        <v/>
      </c>
      <c r="B976" s="2" t="n">
        <v>43233.88857638889</v>
      </c>
      <c r="C976" t="n">
        <v>0</v>
      </c>
      <c r="D976" t="n">
        <v>12</v>
      </c>
      <c r="E976" t="s">
        <v>982</v>
      </c>
      <c r="F976">
        <f>HYPERLINK("http://pbs.twimg.com/media/DdGx-lYVwAEOB_6.jpg", "http://pbs.twimg.com/media/DdGx-lYVwAEOB_6.jpg")</f>
        <v/>
      </c>
      <c r="G976" t="s"/>
      <c r="H976" t="s"/>
      <c r="I976" t="s"/>
      <c r="J976" t="n">
        <v>0.4939</v>
      </c>
      <c r="K976" t="n">
        <v>0</v>
      </c>
      <c r="L976" t="n">
        <v>0.8110000000000001</v>
      </c>
      <c r="M976" t="n">
        <v>0.189</v>
      </c>
    </row>
    <row r="977" spans="1:13">
      <c r="A977" s="1">
        <f>HYPERLINK("http://www.twitter.com/NathanBLawrence/status/995775549195812864", "995775549195812864")</f>
        <v/>
      </c>
      <c r="B977" s="2" t="n">
        <v>43233.88849537037</v>
      </c>
      <c r="C977" t="n">
        <v>0</v>
      </c>
      <c r="D977" t="n">
        <v>4</v>
      </c>
      <c r="E977" t="s">
        <v>983</v>
      </c>
      <c r="F977" t="s"/>
      <c r="G977" t="s"/>
      <c r="H977" t="s"/>
      <c r="I977" t="s"/>
      <c r="J977" t="n">
        <v>-0.4215</v>
      </c>
      <c r="K977" t="n">
        <v>0.123</v>
      </c>
      <c r="L977" t="n">
        <v>0.877</v>
      </c>
      <c r="M977" t="n">
        <v>0</v>
      </c>
    </row>
    <row r="978" spans="1:13">
      <c r="A978" s="1">
        <f>HYPERLINK("http://www.twitter.com/NathanBLawrence/status/995775473979478016", "995775473979478016")</f>
        <v/>
      </c>
      <c r="B978" s="2" t="n">
        <v>43233.88828703704</v>
      </c>
      <c r="C978" t="n">
        <v>0</v>
      </c>
      <c r="D978" t="n">
        <v>6</v>
      </c>
      <c r="E978" t="s">
        <v>984</v>
      </c>
      <c r="F978" t="s"/>
      <c r="G978" t="s"/>
      <c r="H978" t="s"/>
      <c r="I978" t="s"/>
      <c r="J978" t="n">
        <v>0</v>
      </c>
      <c r="K978" t="n">
        <v>0</v>
      </c>
      <c r="L978" t="n">
        <v>1</v>
      </c>
      <c r="M978" t="n">
        <v>0</v>
      </c>
    </row>
    <row r="979" spans="1:13">
      <c r="A979" s="1">
        <f>HYPERLINK("http://www.twitter.com/NathanBLawrence/status/995775436415291392", "995775436415291392")</f>
        <v/>
      </c>
      <c r="B979" s="2" t="n">
        <v>43233.88818287037</v>
      </c>
      <c r="C979" t="n">
        <v>0</v>
      </c>
      <c r="D979" t="n">
        <v>16</v>
      </c>
      <c r="E979" t="s">
        <v>985</v>
      </c>
      <c r="F979">
        <f>HYPERLINK("http://pbs.twimg.com/media/DdGvxHHX4AI00no.jpg", "http://pbs.twimg.com/media/DdGvxHHX4AI00no.jpg")</f>
        <v/>
      </c>
      <c r="G979" t="s"/>
      <c r="H979" t="s"/>
      <c r="I979" t="s"/>
      <c r="J979" t="n">
        <v>0</v>
      </c>
      <c r="K979" t="n">
        <v>0</v>
      </c>
      <c r="L979" t="n">
        <v>1</v>
      </c>
      <c r="M979" t="n">
        <v>0</v>
      </c>
    </row>
    <row r="980" spans="1:13">
      <c r="A980" s="1">
        <f>HYPERLINK("http://www.twitter.com/NathanBLawrence/status/995748773853843456", "995748773853843456")</f>
        <v/>
      </c>
      <c r="B980" s="2" t="n">
        <v>43233.81460648148</v>
      </c>
      <c r="C980" t="n">
        <v>0</v>
      </c>
      <c r="D980" t="n">
        <v>4</v>
      </c>
      <c r="E980" t="s">
        <v>986</v>
      </c>
      <c r="F980" t="s"/>
      <c r="G980" t="s"/>
      <c r="H980" t="s"/>
      <c r="I980" t="s"/>
      <c r="J980" t="n">
        <v>0.5612</v>
      </c>
      <c r="K980" t="n">
        <v>0</v>
      </c>
      <c r="L980" t="n">
        <v>0.84</v>
      </c>
      <c r="M980" t="n">
        <v>0.16</v>
      </c>
    </row>
    <row r="981" spans="1:13">
      <c r="A981" s="1">
        <f>HYPERLINK("http://www.twitter.com/NathanBLawrence/status/995748614029881344", "995748614029881344")</f>
        <v/>
      </c>
      <c r="B981" s="2" t="n">
        <v>43233.81416666666</v>
      </c>
      <c r="C981" t="n">
        <v>0</v>
      </c>
      <c r="D981" t="n">
        <v>15850</v>
      </c>
      <c r="E981" t="s">
        <v>987</v>
      </c>
      <c r="F981" t="s"/>
      <c r="G981" t="s"/>
      <c r="H981" t="s"/>
      <c r="I981" t="s"/>
      <c r="J981" t="n">
        <v>0.7088</v>
      </c>
      <c r="K981" t="n">
        <v>0</v>
      </c>
      <c r="L981" t="n">
        <v>0.651</v>
      </c>
      <c r="M981" t="n">
        <v>0.349</v>
      </c>
    </row>
    <row r="982" spans="1:13">
      <c r="A982" s="1">
        <f>HYPERLINK("http://www.twitter.com/NathanBLawrence/status/995748606413103104", "995748606413103104")</f>
        <v/>
      </c>
      <c r="B982" s="2" t="n">
        <v>43233.81414351852</v>
      </c>
      <c r="C982" t="n">
        <v>0</v>
      </c>
      <c r="D982" t="n">
        <v>17402</v>
      </c>
      <c r="E982" t="s">
        <v>988</v>
      </c>
      <c r="F982" t="s"/>
      <c r="G982" t="s"/>
      <c r="H982" t="s"/>
      <c r="I982" t="s"/>
      <c r="J982" t="n">
        <v>0</v>
      </c>
      <c r="K982" t="n">
        <v>0</v>
      </c>
      <c r="L982" t="n">
        <v>1</v>
      </c>
      <c r="M982" t="n">
        <v>0</v>
      </c>
    </row>
    <row r="983" spans="1:13">
      <c r="A983" s="1">
        <f>HYPERLINK("http://www.twitter.com/NathanBLawrence/status/995748556362452992", "995748556362452992")</f>
        <v/>
      </c>
      <c r="B983" s="2" t="n">
        <v>43233.81400462963</v>
      </c>
      <c r="C983" t="n">
        <v>1</v>
      </c>
      <c r="D983" t="n">
        <v>1</v>
      </c>
      <c r="E983" t="s">
        <v>989</v>
      </c>
      <c r="F983" t="s"/>
      <c r="G983" t="s"/>
      <c r="H983" t="s"/>
      <c r="I983" t="s"/>
      <c r="J983" t="n">
        <v>-0.8074</v>
      </c>
      <c r="K983" t="n">
        <v>0.211</v>
      </c>
      <c r="L983" t="n">
        <v>0.789</v>
      </c>
      <c r="M983" t="n">
        <v>0</v>
      </c>
    </row>
    <row r="984" spans="1:13">
      <c r="A984" s="1">
        <f>HYPERLINK("http://www.twitter.com/NathanBLawrence/status/995748348111007749", "995748348111007749")</f>
        <v/>
      </c>
      <c r="B984" s="2" t="n">
        <v>43233.81342592592</v>
      </c>
      <c r="C984" t="n">
        <v>0</v>
      </c>
      <c r="D984" t="n">
        <v>29</v>
      </c>
      <c r="E984" t="s">
        <v>990</v>
      </c>
      <c r="F984" t="s"/>
      <c r="G984" t="s"/>
      <c r="H984" t="s"/>
      <c r="I984" t="s"/>
      <c r="J984" t="n">
        <v>0.5266999999999999</v>
      </c>
      <c r="K984" t="n">
        <v>0.075</v>
      </c>
      <c r="L984" t="n">
        <v>0.746</v>
      </c>
      <c r="M984" t="n">
        <v>0.18</v>
      </c>
    </row>
    <row r="985" spans="1:13">
      <c r="A985" s="1">
        <f>HYPERLINK("http://www.twitter.com/NathanBLawrence/status/995748320990679043", "995748320990679043")</f>
        <v/>
      </c>
      <c r="B985" s="2" t="n">
        <v>43233.81335648148</v>
      </c>
      <c r="C985" t="n">
        <v>0</v>
      </c>
      <c r="D985" t="n">
        <v>84</v>
      </c>
      <c r="E985" t="s">
        <v>991</v>
      </c>
      <c r="F985" t="s"/>
      <c r="G985" t="s"/>
      <c r="H985" t="s"/>
      <c r="I985" t="s"/>
      <c r="J985" t="n">
        <v>-0.7739</v>
      </c>
      <c r="K985" t="n">
        <v>0.32</v>
      </c>
      <c r="L985" t="n">
        <v>0.596</v>
      </c>
      <c r="M985" t="n">
        <v>0.08400000000000001</v>
      </c>
    </row>
    <row r="986" spans="1:13">
      <c r="A986" s="1">
        <f>HYPERLINK("http://www.twitter.com/NathanBLawrence/status/995748289130762241", "995748289130762241")</f>
        <v/>
      </c>
      <c r="B986" s="2" t="n">
        <v>43233.81326388889</v>
      </c>
      <c r="C986" t="n">
        <v>0</v>
      </c>
      <c r="D986" t="n">
        <v>172</v>
      </c>
      <c r="E986" t="s">
        <v>992</v>
      </c>
      <c r="F986" t="s"/>
      <c r="G986" t="s"/>
      <c r="H986" t="s"/>
      <c r="I986" t="s"/>
      <c r="J986" t="n">
        <v>-0.5528999999999999</v>
      </c>
      <c r="K986" t="n">
        <v>0.241</v>
      </c>
      <c r="L986" t="n">
        <v>0.694</v>
      </c>
      <c r="M986" t="n">
        <v>0.064</v>
      </c>
    </row>
    <row r="987" spans="1:13">
      <c r="A987" s="1">
        <f>HYPERLINK("http://www.twitter.com/NathanBLawrence/status/995748272185794562", "995748272185794562")</f>
        <v/>
      </c>
      <c r="B987" s="2" t="n">
        <v>43233.81321759259</v>
      </c>
      <c r="C987" t="n">
        <v>0</v>
      </c>
      <c r="D987" t="n">
        <v>59</v>
      </c>
      <c r="E987" t="s">
        <v>993</v>
      </c>
      <c r="F987" t="s"/>
      <c r="G987" t="s"/>
      <c r="H987" t="s"/>
      <c r="I987" t="s"/>
      <c r="J987" t="n">
        <v>0</v>
      </c>
      <c r="K987" t="n">
        <v>0</v>
      </c>
      <c r="L987" t="n">
        <v>1</v>
      </c>
      <c r="M987" t="n">
        <v>0</v>
      </c>
    </row>
    <row r="988" spans="1:13">
      <c r="A988" s="1">
        <f>HYPERLINK("http://www.twitter.com/NathanBLawrence/status/995748229080932353", "995748229080932353")</f>
        <v/>
      </c>
      <c r="B988" s="2" t="n">
        <v>43233.81310185185</v>
      </c>
      <c r="C988" t="n">
        <v>0</v>
      </c>
      <c r="D988" t="n">
        <v>2845</v>
      </c>
      <c r="E988" t="s">
        <v>994</v>
      </c>
      <c r="F988" t="s"/>
      <c r="G988" t="s"/>
      <c r="H988" t="s"/>
      <c r="I988" t="s"/>
      <c r="J988" t="n">
        <v>-0.0772</v>
      </c>
      <c r="K988" t="n">
        <v>0.058</v>
      </c>
      <c r="L988" t="n">
        <v>0.9419999999999999</v>
      </c>
      <c r="M988" t="n">
        <v>0</v>
      </c>
    </row>
    <row r="989" spans="1:13">
      <c r="A989" s="1">
        <f>HYPERLINK("http://www.twitter.com/NathanBLawrence/status/995748136579747840", "995748136579747840")</f>
        <v/>
      </c>
      <c r="B989" s="2" t="n">
        <v>43233.81284722222</v>
      </c>
      <c r="C989" t="n">
        <v>0</v>
      </c>
      <c r="D989" t="n">
        <v>2146</v>
      </c>
      <c r="E989" t="s">
        <v>995</v>
      </c>
      <c r="F989" t="s"/>
      <c r="G989" t="s"/>
      <c r="H989" t="s"/>
      <c r="I989" t="s"/>
      <c r="J989" t="n">
        <v>0</v>
      </c>
      <c r="K989" t="n">
        <v>0</v>
      </c>
      <c r="L989" t="n">
        <v>1</v>
      </c>
      <c r="M989" t="n">
        <v>0</v>
      </c>
    </row>
    <row r="990" spans="1:13">
      <c r="A990" s="1">
        <f>HYPERLINK("http://www.twitter.com/NathanBLawrence/status/995748086843695104", "995748086843695104")</f>
        <v/>
      </c>
      <c r="B990" s="2" t="n">
        <v>43233.81270833333</v>
      </c>
      <c r="C990" t="n">
        <v>0</v>
      </c>
      <c r="D990" t="n">
        <v>3665</v>
      </c>
      <c r="E990" t="s">
        <v>996</v>
      </c>
      <c r="F990" t="s"/>
      <c r="G990" t="s"/>
      <c r="H990" t="s"/>
      <c r="I990" t="s"/>
      <c r="J990" t="n">
        <v>0</v>
      </c>
      <c r="K990" t="n">
        <v>0</v>
      </c>
      <c r="L990" t="n">
        <v>1</v>
      </c>
      <c r="M990" t="n">
        <v>0</v>
      </c>
    </row>
    <row r="991" spans="1:13">
      <c r="A991" s="1">
        <f>HYPERLINK("http://www.twitter.com/NathanBLawrence/status/995748052408459264", "995748052408459264")</f>
        <v/>
      </c>
      <c r="B991" s="2" t="n">
        <v>43233.81261574074</v>
      </c>
      <c r="C991" t="n">
        <v>0</v>
      </c>
      <c r="D991" t="n">
        <v>0</v>
      </c>
      <c r="E991" t="s">
        <v>997</v>
      </c>
      <c r="F991" t="s"/>
      <c r="G991" t="s"/>
      <c r="H991" t="s"/>
      <c r="I991" t="s"/>
      <c r="J991" t="n">
        <v>0</v>
      </c>
      <c r="K991" t="n">
        <v>0</v>
      </c>
      <c r="L991" t="n">
        <v>1</v>
      </c>
      <c r="M991" t="n">
        <v>0</v>
      </c>
    </row>
    <row r="992" spans="1:13">
      <c r="A992" s="1">
        <f>HYPERLINK("http://www.twitter.com/NathanBLawrence/status/995747929993502723", "995747929993502723")</f>
        <v/>
      </c>
      <c r="B992" s="2" t="n">
        <v>43233.81228009259</v>
      </c>
      <c r="C992" t="n">
        <v>0</v>
      </c>
      <c r="D992" t="n">
        <v>8028</v>
      </c>
      <c r="E992" t="s">
        <v>998</v>
      </c>
      <c r="F992" t="s"/>
      <c r="G992" t="s"/>
      <c r="H992" t="s"/>
      <c r="I992" t="s"/>
      <c r="J992" t="n">
        <v>0.2023</v>
      </c>
      <c r="K992" t="n">
        <v>0.118</v>
      </c>
      <c r="L992" t="n">
        <v>0.6909999999999999</v>
      </c>
      <c r="M992" t="n">
        <v>0.191</v>
      </c>
    </row>
    <row r="993" spans="1:13">
      <c r="A993" s="1">
        <f>HYPERLINK("http://www.twitter.com/NathanBLawrence/status/995747764238774275", "995747764238774275")</f>
        <v/>
      </c>
      <c r="B993" s="2" t="n">
        <v>43233.81181712963</v>
      </c>
      <c r="C993" t="n">
        <v>0</v>
      </c>
      <c r="D993" t="n">
        <v>5059</v>
      </c>
      <c r="E993" t="s">
        <v>999</v>
      </c>
      <c r="F993" t="s"/>
      <c r="G993" t="s"/>
      <c r="H993" t="s"/>
      <c r="I993" t="s"/>
      <c r="J993" t="n">
        <v>-0.4939</v>
      </c>
      <c r="K993" t="n">
        <v>0.212</v>
      </c>
      <c r="L993" t="n">
        <v>0.6929999999999999</v>
      </c>
      <c r="M993" t="n">
        <v>0.095</v>
      </c>
    </row>
    <row r="994" spans="1:13">
      <c r="A994" s="1">
        <f>HYPERLINK("http://www.twitter.com/NathanBLawrence/status/995747744168980480", "995747744168980480")</f>
        <v/>
      </c>
      <c r="B994" s="2" t="n">
        <v>43233.81175925926</v>
      </c>
      <c r="C994" t="n">
        <v>0</v>
      </c>
      <c r="D994" t="n">
        <v>6</v>
      </c>
      <c r="E994" t="s">
        <v>1000</v>
      </c>
      <c r="F994" t="s"/>
      <c r="G994" t="s"/>
      <c r="H994" t="s"/>
      <c r="I994" t="s"/>
      <c r="J994" t="n">
        <v>-0.4389</v>
      </c>
      <c r="K994" t="n">
        <v>0.148</v>
      </c>
      <c r="L994" t="n">
        <v>0.778</v>
      </c>
      <c r="M994" t="n">
        <v>0.074</v>
      </c>
    </row>
    <row r="995" spans="1:13">
      <c r="A995" s="1">
        <f>HYPERLINK("http://www.twitter.com/NathanBLawrence/status/995747714020323328", "995747714020323328")</f>
        <v/>
      </c>
      <c r="B995" s="2" t="n">
        <v>43233.81167824074</v>
      </c>
      <c r="C995" t="n">
        <v>0</v>
      </c>
      <c r="D995" t="n">
        <v>12239</v>
      </c>
      <c r="E995" t="s">
        <v>1001</v>
      </c>
      <c r="F995" t="s"/>
      <c r="G995" t="s"/>
      <c r="H995" t="s"/>
      <c r="I995" t="s"/>
      <c r="J995" t="n">
        <v>0.7351</v>
      </c>
      <c r="K995" t="n">
        <v>0</v>
      </c>
      <c r="L995" t="n">
        <v>0.735</v>
      </c>
      <c r="M995" t="n">
        <v>0.265</v>
      </c>
    </row>
    <row r="996" spans="1:13">
      <c r="A996" s="1">
        <f>HYPERLINK("http://www.twitter.com/NathanBLawrence/status/995747670508687362", "995747670508687362")</f>
        <v/>
      </c>
      <c r="B996" s="2" t="n">
        <v>43233.8115625</v>
      </c>
      <c r="C996" t="n">
        <v>0</v>
      </c>
      <c r="D996" t="n">
        <v>9</v>
      </c>
      <c r="E996" t="s">
        <v>1002</v>
      </c>
      <c r="F996" t="s"/>
      <c r="G996" t="s"/>
      <c r="H996" t="s"/>
      <c r="I996" t="s"/>
      <c r="J996" t="n">
        <v>0</v>
      </c>
      <c r="K996" t="n">
        <v>0</v>
      </c>
      <c r="L996" t="n">
        <v>1</v>
      </c>
      <c r="M996" t="n">
        <v>0</v>
      </c>
    </row>
    <row r="997" spans="1:13">
      <c r="A997" s="1">
        <f>HYPERLINK("http://www.twitter.com/NathanBLawrence/status/995747655396491265", "995747655396491265")</f>
        <v/>
      </c>
      <c r="B997" s="2" t="n">
        <v>43233.81151620371</v>
      </c>
      <c r="C997" t="n">
        <v>0</v>
      </c>
      <c r="D997" t="n">
        <v>10</v>
      </c>
      <c r="E997" t="s">
        <v>1003</v>
      </c>
      <c r="F997" t="s"/>
      <c r="G997" t="s"/>
      <c r="H997" t="s"/>
      <c r="I997" t="s"/>
      <c r="J997" t="n">
        <v>0</v>
      </c>
      <c r="K997" t="n">
        <v>0</v>
      </c>
      <c r="L997" t="n">
        <v>1</v>
      </c>
      <c r="M997" t="n">
        <v>0</v>
      </c>
    </row>
    <row r="998" spans="1:13">
      <c r="A998" s="1">
        <f>HYPERLINK("http://www.twitter.com/NathanBLawrence/status/995747624388001792", "995747624388001792")</f>
        <v/>
      </c>
      <c r="B998" s="2" t="n">
        <v>43233.81143518518</v>
      </c>
      <c r="C998" t="n">
        <v>0</v>
      </c>
      <c r="D998" t="n">
        <v>146</v>
      </c>
      <c r="E998" t="s">
        <v>1004</v>
      </c>
      <c r="F998" t="s"/>
      <c r="G998" t="s"/>
      <c r="H998" t="s"/>
      <c r="I998" t="s"/>
      <c r="J998" t="n">
        <v>-0.5719</v>
      </c>
      <c r="K998" t="n">
        <v>0.316</v>
      </c>
      <c r="L998" t="n">
        <v>0.6840000000000001</v>
      </c>
      <c r="M998" t="n">
        <v>0</v>
      </c>
    </row>
    <row r="999" spans="1:13">
      <c r="A999" s="1">
        <f>HYPERLINK("http://www.twitter.com/NathanBLawrence/status/995745547783843841", "995745547783843841")</f>
        <v/>
      </c>
      <c r="B999" s="2" t="n">
        <v>43233.80570601852</v>
      </c>
      <c r="C999" t="n">
        <v>8</v>
      </c>
      <c r="D999" t="n">
        <v>6</v>
      </c>
      <c r="E999" t="s">
        <v>1005</v>
      </c>
      <c r="F999" t="s"/>
      <c r="G999" t="s"/>
      <c r="H999" t="s"/>
      <c r="I999" t="s"/>
      <c r="J999" t="n">
        <v>-0.6858</v>
      </c>
      <c r="K999" t="n">
        <v>0.127</v>
      </c>
      <c r="L999" t="n">
        <v>0.83</v>
      </c>
      <c r="M999" t="n">
        <v>0.043</v>
      </c>
    </row>
    <row r="1000" spans="1:13">
      <c r="A1000" s="1">
        <f>HYPERLINK("http://www.twitter.com/NathanBLawrence/status/995745387402100736", "995745387402100736")</f>
        <v/>
      </c>
      <c r="B1000" s="2" t="n">
        <v>43233.8052662037</v>
      </c>
      <c r="C1000" t="n">
        <v>0</v>
      </c>
      <c r="D1000" t="n">
        <v>9</v>
      </c>
      <c r="E1000" t="s">
        <v>1006</v>
      </c>
      <c r="F1000">
        <f>HYPERLINK("http://pbs.twimg.com/media/DdFw9QXUQAA_5lJ.jpg", "http://pbs.twimg.com/media/DdFw9QXUQAA_5lJ.jpg")</f>
        <v/>
      </c>
      <c r="G1000" t="s"/>
      <c r="H1000" t="s"/>
      <c r="I1000" t="s"/>
      <c r="J1000" t="n">
        <v>0</v>
      </c>
      <c r="K1000" t="n">
        <v>0</v>
      </c>
      <c r="L1000" t="n">
        <v>1</v>
      </c>
      <c r="M1000" t="n">
        <v>0</v>
      </c>
    </row>
    <row r="1001" spans="1:13">
      <c r="A1001" s="1">
        <f>HYPERLINK("http://www.twitter.com/NathanBLawrence/status/995639003364904961", "995639003364904961")</f>
        <v/>
      </c>
      <c r="B1001" s="2" t="n">
        <v>43233.51170138889</v>
      </c>
      <c r="C1001" t="n">
        <v>0</v>
      </c>
      <c r="D1001" t="n">
        <v>1415</v>
      </c>
      <c r="E1001" t="s">
        <v>1007</v>
      </c>
      <c r="F1001">
        <f>HYPERLINK("https://video.twimg.com/ext_tw_video/995192657495314432/pu/vid/1280x720/wJLwj33fzzuS-E7K.mp4?tag=3", "https://video.twimg.com/ext_tw_video/995192657495314432/pu/vid/1280x720/wJLwj33fzzuS-E7K.mp4?tag=3")</f>
        <v/>
      </c>
      <c r="G1001" t="s"/>
      <c r="H1001" t="s"/>
      <c r="I1001" t="s"/>
      <c r="J1001" t="n">
        <v>0</v>
      </c>
      <c r="K1001" t="n">
        <v>0</v>
      </c>
      <c r="L1001" t="n">
        <v>1</v>
      </c>
      <c r="M1001" t="n">
        <v>0</v>
      </c>
    </row>
    <row r="1002" spans="1:13">
      <c r="A1002" s="1">
        <f>HYPERLINK("http://www.twitter.com/NathanBLawrence/status/995638672279195649", "995638672279195649")</f>
        <v/>
      </c>
      <c r="B1002" s="2" t="n">
        <v>43233.51078703703</v>
      </c>
      <c r="C1002" t="n">
        <v>0</v>
      </c>
      <c r="D1002" t="n">
        <v>15542</v>
      </c>
      <c r="E1002" t="s">
        <v>1008</v>
      </c>
      <c r="F1002" t="s"/>
      <c r="G1002" t="s"/>
      <c r="H1002" t="s"/>
      <c r="I1002" t="s"/>
      <c r="J1002" t="n">
        <v>-0.6908</v>
      </c>
      <c r="K1002" t="n">
        <v>0.192</v>
      </c>
      <c r="L1002" t="n">
        <v>0.8080000000000001</v>
      </c>
      <c r="M1002" t="n">
        <v>0</v>
      </c>
    </row>
    <row r="1003" spans="1:13">
      <c r="A1003" s="1">
        <f>HYPERLINK("http://www.twitter.com/NathanBLawrence/status/995638077589786624", "995638077589786624")</f>
        <v/>
      </c>
      <c r="B1003" s="2" t="n">
        <v>43233.50914351852</v>
      </c>
      <c r="C1003" t="n">
        <v>0</v>
      </c>
      <c r="D1003" t="n">
        <v>872</v>
      </c>
      <c r="E1003" t="s">
        <v>1009</v>
      </c>
      <c r="F1003" t="s"/>
      <c r="G1003" t="s"/>
      <c r="H1003" t="s"/>
      <c r="I1003" t="s"/>
      <c r="J1003" t="n">
        <v>0.5106000000000001</v>
      </c>
      <c r="K1003" t="n">
        <v>0</v>
      </c>
      <c r="L1003" t="n">
        <v>0.87</v>
      </c>
      <c r="M1003" t="n">
        <v>0.13</v>
      </c>
    </row>
    <row r="1004" spans="1:13">
      <c r="A1004" s="1">
        <f>HYPERLINK("http://www.twitter.com/NathanBLawrence/status/995637590513586177", "995637590513586177")</f>
        <v/>
      </c>
      <c r="B1004" s="2" t="n">
        <v>43233.50780092592</v>
      </c>
      <c r="C1004" t="n">
        <v>0</v>
      </c>
      <c r="D1004" t="n">
        <v>273</v>
      </c>
      <c r="E1004" t="s">
        <v>1010</v>
      </c>
      <c r="F1004" t="s"/>
      <c r="G1004" t="s"/>
      <c r="H1004" t="s"/>
      <c r="I1004" t="s"/>
      <c r="J1004" t="n">
        <v>-0.8834</v>
      </c>
      <c r="K1004" t="n">
        <v>0.354</v>
      </c>
      <c r="L1004" t="n">
        <v>0.646</v>
      </c>
      <c r="M1004" t="n">
        <v>0</v>
      </c>
    </row>
    <row r="1005" spans="1:13">
      <c r="A1005" s="1">
        <f>HYPERLINK("http://www.twitter.com/NathanBLawrence/status/995637501925748738", "995637501925748738")</f>
        <v/>
      </c>
      <c r="B1005" s="2" t="n">
        <v>43233.50755787037</v>
      </c>
      <c r="C1005" t="n">
        <v>0</v>
      </c>
      <c r="D1005" t="n">
        <v>13124</v>
      </c>
      <c r="E1005" t="s">
        <v>1011</v>
      </c>
      <c r="F1005">
        <f>HYPERLINK("http://pbs.twimg.com/media/DdAPAQaXcAAwOO7.jpg", "http://pbs.twimg.com/media/DdAPAQaXcAAwOO7.jpg")</f>
        <v/>
      </c>
      <c r="G1005" t="s"/>
      <c r="H1005" t="s"/>
      <c r="I1005" t="s"/>
      <c r="J1005" t="n">
        <v>0.4939</v>
      </c>
      <c r="K1005" t="n">
        <v>0</v>
      </c>
      <c r="L1005" t="n">
        <v>0.873</v>
      </c>
      <c r="M1005" t="n">
        <v>0.127</v>
      </c>
    </row>
    <row r="1006" spans="1:13">
      <c r="A1006" s="1">
        <f>HYPERLINK("http://www.twitter.com/NathanBLawrence/status/995636997699104769", "995636997699104769")</f>
        <v/>
      </c>
      <c r="B1006" s="2" t="n">
        <v>43233.50615740741</v>
      </c>
      <c r="C1006" t="n">
        <v>0</v>
      </c>
      <c r="D1006" t="n">
        <v>4</v>
      </c>
      <c r="E1006" t="s">
        <v>1012</v>
      </c>
      <c r="F1006" t="s"/>
      <c r="G1006" t="s"/>
      <c r="H1006" t="s"/>
      <c r="I1006" t="s"/>
      <c r="J1006" t="n">
        <v>0</v>
      </c>
      <c r="K1006" t="n">
        <v>0</v>
      </c>
      <c r="L1006" t="n">
        <v>1</v>
      </c>
      <c r="M1006" t="n">
        <v>0</v>
      </c>
    </row>
    <row r="1007" spans="1:13">
      <c r="A1007" s="1">
        <f>HYPERLINK("http://www.twitter.com/NathanBLawrence/status/995636797035175937", "995636797035175937")</f>
        <v/>
      </c>
      <c r="B1007" s="2" t="n">
        <v>43233.50561342593</v>
      </c>
      <c r="C1007" t="n">
        <v>0</v>
      </c>
      <c r="D1007" t="n">
        <v>4733</v>
      </c>
      <c r="E1007" t="s">
        <v>1013</v>
      </c>
      <c r="F1007">
        <f>HYPERLINK("http://pbs.twimg.com/media/Dc4IycuVAAAau1V.jpg", "http://pbs.twimg.com/media/Dc4IycuVAAAau1V.jpg")</f>
        <v/>
      </c>
      <c r="G1007" t="s"/>
      <c r="H1007" t="s"/>
      <c r="I1007" t="s"/>
      <c r="J1007" t="n">
        <v>-0.1531</v>
      </c>
      <c r="K1007" t="n">
        <v>0.07099999999999999</v>
      </c>
      <c r="L1007" t="n">
        <v>0.929</v>
      </c>
      <c r="M1007" t="n">
        <v>0</v>
      </c>
    </row>
    <row r="1008" spans="1:13">
      <c r="A1008" s="1">
        <f>HYPERLINK("http://www.twitter.com/NathanBLawrence/status/995636551395823616", "995636551395823616")</f>
        <v/>
      </c>
      <c r="B1008" s="2" t="n">
        <v>43233.50493055556</v>
      </c>
      <c r="C1008" t="n">
        <v>0</v>
      </c>
      <c r="D1008" t="n">
        <v>34465</v>
      </c>
      <c r="E1008" t="s">
        <v>1014</v>
      </c>
      <c r="F1008" t="s"/>
      <c r="G1008" t="s"/>
      <c r="H1008" t="s"/>
      <c r="I1008" t="s"/>
      <c r="J1008" t="n">
        <v>0</v>
      </c>
      <c r="K1008" t="n">
        <v>0</v>
      </c>
      <c r="L1008" t="n">
        <v>1</v>
      </c>
      <c r="M1008" t="n">
        <v>0</v>
      </c>
    </row>
    <row r="1009" spans="1:13">
      <c r="A1009" s="1">
        <f>HYPERLINK("http://www.twitter.com/NathanBLawrence/status/995636469342629888", "995636469342629888")</f>
        <v/>
      </c>
      <c r="B1009" s="2" t="n">
        <v>43233.50469907407</v>
      </c>
      <c r="C1009" t="n">
        <v>0</v>
      </c>
      <c r="D1009" t="n">
        <v>3171</v>
      </c>
      <c r="E1009" t="s">
        <v>1015</v>
      </c>
      <c r="F1009" t="s"/>
      <c r="G1009" t="s"/>
      <c r="H1009" t="s"/>
      <c r="I1009" t="s"/>
      <c r="J1009" t="n">
        <v>0</v>
      </c>
      <c r="K1009" t="n">
        <v>0</v>
      </c>
      <c r="L1009" t="n">
        <v>1</v>
      </c>
      <c r="M1009" t="n">
        <v>0</v>
      </c>
    </row>
    <row r="1010" spans="1:13">
      <c r="A1010" s="1">
        <f>HYPERLINK("http://www.twitter.com/NathanBLawrence/status/995526034152976384", "995526034152976384")</f>
        <v/>
      </c>
      <c r="B1010" s="2" t="n">
        <v>43233.19996527778</v>
      </c>
      <c r="C1010" t="n">
        <v>0</v>
      </c>
      <c r="D1010" t="n">
        <v>4</v>
      </c>
      <c r="E1010" t="s">
        <v>1016</v>
      </c>
      <c r="F1010" t="s"/>
      <c r="G1010" t="s"/>
      <c r="H1010" t="s"/>
      <c r="I1010" t="s"/>
      <c r="J1010" t="n">
        <v>0.5637</v>
      </c>
      <c r="K1010" t="n">
        <v>0</v>
      </c>
      <c r="L1010" t="n">
        <v>0.6830000000000001</v>
      </c>
      <c r="M1010" t="n">
        <v>0.317</v>
      </c>
    </row>
    <row r="1011" spans="1:13">
      <c r="A1011" s="1">
        <f>HYPERLINK("http://www.twitter.com/NathanBLawrence/status/995526016033607680", "995526016033607680")</f>
        <v/>
      </c>
      <c r="B1011" s="2" t="n">
        <v>43233.1999074074</v>
      </c>
      <c r="C1011" t="n">
        <v>0</v>
      </c>
      <c r="D1011" t="n">
        <v>7</v>
      </c>
      <c r="E1011" t="s">
        <v>1017</v>
      </c>
      <c r="F1011" t="s"/>
      <c r="G1011" t="s"/>
      <c r="H1011" t="s"/>
      <c r="I1011" t="s"/>
      <c r="J1011" t="n">
        <v>-0.4019</v>
      </c>
      <c r="K1011" t="n">
        <v>0.252</v>
      </c>
      <c r="L1011" t="n">
        <v>0.748</v>
      </c>
      <c r="M1011" t="n">
        <v>0</v>
      </c>
    </row>
    <row r="1012" spans="1:13">
      <c r="A1012" s="1">
        <f>HYPERLINK("http://www.twitter.com/NathanBLawrence/status/995525806595149825", "995525806595149825")</f>
        <v/>
      </c>
      <c r="B1012" s="2" t="n">
        <v>43233.1993287037</v>
      </c>
      <c r="C1012" t="n">
        <v>0</v>
      </c>
      <c r="D1012" t="n">
        <v>14</v>
      </c>
      <c r="E1012" t="s">
        <v>1018</v>
      </c>
      <c r="F1012">
        <f>HYPERLINK("http://pbs.twimg.com/media/DdBJcgjVMAAZeSX.jpg", "http://pbs.twimg.com/media/DdBJcgjVMAAZeSX.jpg")</f>
        <v/>
      </c>
      <c r="G1012" t="s"/>
      <c r="H1012" t="s"/>
      <c r="I1012" t="s"/>
      <c r="J1012" t="n">
        <v>0</v>
      </c>
      <c r="K1012" t="n">
        <v>0</v>
      </c>
      <c r="L1012" t="n">
        <v>1</v>
      </c>
      <c r="M1012" t="n">
        <v>0</v>
      </c>
    </row>
    <row r="1013" spans="1:13">
      <c r="A1013" s="1">
        <f>HYPERLINK("http://www.twitter.com/NathanBLawrence/status/995525728392314881", "995525728392314881")</f>
        <v/>
      </c>
      <c r="B1013" s="2" t="n">
        <v>43233.19912037037</v>
      </c>
      <c r="C1013" t="n">
        <v>0</v>
      </c>
      <c r="D1013" t="n">
        <v>6</v>
      </c>
      <c r="E1013" t="s">
        <v>1019</v>
      </c>
      <c r="F1013" t="s"/>
      <c r="G1013" t="s"/>
      <c r="H1013" t="s"/>
      <c r="I1013" t="s"/>
      <c r="J1013" t="n">
        <v>0</v>
      </c>
      <c r="K1013" t="n">
        <v>0</v>
      </c>
      <c r="L1013" t="n">
        <v>1</v>
      </c>
      <c r="M1013" t="n">
        <v>0</v>
      </c>
    </row>
    <row r="1014" spans="1:13">
      <c r="A1014" s="1">
        <f>HYPERLINK("http://www.twitter.com/NathanBLawrence/status/995525700361900037", "995525700361900037")</f>
        <v/>
      </c>
      <c r="B1014" s="2" t="n">
        <v>43233.19903935185</v>
      </c>
      <c r="C1014" t="n">
        <v>0</v>
      </c>
      <c r="D1014" t="n">
        <v>7</v>
      </c>
      <c r="E1014" t="s">
        <v>1020</v>
      </c>
      <c r="F1014" t="s"/>
      <c r="G1014" t="s"/>
      <c r="H1014" t="s"/>
      <c r="I1014" t="s"/>
      <c r="J1014" t="n">
        <v>-0.265</v>
      </c>
      <c r="K1014" t="n">
        <v>0.109</v>
      </c>
      <c r="L1014" t="n">
        <v>0.827</v>
      </c>
      <c r="M1014" t="n">
        <v>0.065</v>
      </c>
    </row>
    <row r="1015" spans="1:13">
      <c r="A1015" s="1">
        <f>HYPERLINK("http://www.twitter.com/NathanBLawrence/status/995525675233824768", "995525675233824768")</f>
        <v/>
      </c>
      <c r="B1015" s="2" t="n">
        <v>43233.1989699074</v>
      </c>
      <c r="C1015" t="n">
        <v>0</v>
      </c>
      <c r="D1015" t="n">
        <v>15</v>
      </c>
      <c r="E1015" t="s">
        <v>1021</v>
      </c>
      <c r="F1015" t="s"/>
      <c r="G1015" t="s"/>
      <c r="H1015" t="s"/>
      <c r="I1015" t="s"/>
      <c r="J1015" t="n">
        <v>-0.0258</v>
      </c>
      <c r="K1015" t="n">
        <v>0.105</v>
      </c>
      <c r="L1015" t="n">
        <v>0.795</v>
      </c>
      <c r="M1015" t="n">
        <v>0.1</v>
      </c>
    </row>
    <row r="1016" spans="1:13">
      <c r="A1016" s="1">
        <f>HYPERLINK("http://www.twitter.com/NathanBLawrence/status/995525660763443200", "995525660763443200")</f>
        <v/>
      </c>
      <c r="B1016" s="2" t="n">
        <v>43233.19893518519</v>
      </c>
      <c r="C1016" t="n">
        <v>0</v>
      </c>
      <c r="D1016" t="n">
        <v>14</v>
      </c>
      <c r="E1016" t="s">
        <v>1022</v>
      </c>
      <c r="F1016">
        <f>HYPERLINK("http://pbs.twimg.com/media/DdCHdYmXkAA-ydw.jpg", "http://pbs.twimg.com/media/DdCHdYmXkAA-ydw.jpg")</f>
        <v/>
      </c>
      <c r="G1016" t="s"/>
      <c r="H1016" t="s"/>
      <c r="I1016" t="s"/>
      <c r="J1016" t="n">
        <v>0.5319</v>
      </c>
      <c r="K1016" t="n">
        <v>0</v>
      </c>
      <c r="L1016" t="n">
        <v>0.879</v>
      </c>
      <c r="M1016" t="n">
        <v>0.121</v>
      </c>
    </row>
    <row r="1017" spans="1:13">
      <c r="A1017" s="1">
        <f>HYPERLINK("http://www.twitter.com/NathanBLawrence/status/995525632686686208", "995525632686686208")</f>
        <v/>
      </c>
      <c r="B1017" s="2" t="n">
        <v>43233.19885416667</v>
      </c>
      <c r="C1017" t="n">
        <v>0</v>
      </c>
      <c r="D1017" t="n">
        <v>8</v>
      </c>
      <c r="E1017" t="s">
        <v>1023</v>
      </c>
      <c r="F1017">
        <f>HYPERLINK("http://pbs.twimg.com/media/DdCtiQqV0AALdRk.jpg", "http://pbs.twimg.com/media/DdCtiQqV0AALdRk.jpg")</f>
        <v/>
      </c>
      <c r="G1017" t="s"/>
      <c r="H1017" t="s"/>
      <c r="I1017" t="s"/>
      <c r="J1017" t="n">
        <v>-0.4648</v>
      </c>
      <c r="K1017" t="n">
        <v>0.132</v>
      </c>
      <c r="L1017" t="n">
        <v>0.868</v>
      </c>
      <c r="M1017" t="n">
        <v>0</v>
      </c>
    </row>
    <row r="1018" spans="1:13">
      <c r="A1018" s="1">
        <f>HYPERLINK("http://www.twitter.com/NathanBLawrence/status/995525601657344002", "995525601657344002")</f>
        <v/>
      </c>
      <c r="B1018" s="2" t="n">
        <v>43233.19877314815</v>
      </c>
      <c r="C1018" t="n">
        <v>0</v>
      </c>
      <c r="D1018" t="n">
        <v>12</v>
      </c>
      <c r="E1018" t="s">
        <v>1024</v>
      </c>
      <c r="F1018">
        <f>HYPERLINK("http://pbs.twimg.com/media/Dc2bu6AVAAE8JMq.jpg", "http://pbs.twimg.com/media/Dc2bu6AVAAE8JMq.jpg")</f>
        <v/>
      </c>
      <c r="G1018" t="s"/>
      <c r="H1018" t="s"/>
      <c r="I1018" t="s"/>
      <c r="J1018" t="n">
        <v>-0.7506</v>
      </c>
      <c r="K1018" t="n">
        <v>0.262</v>
      </c>
      <c r="L1018" t="n">
        <v>0.738</v>
      </c>
      <c r="M1018" t="n">
        <v>0</v>
      </c>
    </row>
    <row r="1019" spans="1:13">
      <c r="A1019" s="1">
        <f>HYPERLINK("http://www.twitter.com/NathanBLawrence/status/995525209972264961", "995525209972264961")</f>
        <v/>
      </c>
      <c r="B1019" s="2" t="n">
        <v>43233.19768518519</v>
      </c>
      <c r="C1019" t="n">
        <v>0</v>
      </c>
      <c r="D1019" t="n">
        <v>21017</v>
      </c>
      <c r="E1019" t="s">
        <v>1025</v>
      </c>
      <c r="F1019" t="s"/>
      <c r="G1019" t="s"/>
      <c r="H1019" t="s"/>
      <c r="I1019" t="s"/>
      <c r="J1019" t="n">
        <v>-0.4019</v>
      </c>
      <c r="K1019" t="n">
        <v>0.194</v>
      </c>
      <c r="L1019" t="n">
        <v>0.72</v>
      </c>
      <c r="M1019" t="n">
        <v>0.08599999999999999</v>
      </c>
    </row>
    <row r="1020" spans="1:13">
      <c r="A1020" s="1">
        <f>HYPERLINK("http://www.twitter.com/NathanBLawrence/status/995524934448435200", "995524934448435200")</f>
        <v/>
      </c>
      <c r="B1020" s="2" t="n">
        <v>43233.19692129629</v>
      </c>
      <c r="C1020" t="n">
        <v>0</v>
      </c>
      <c r="D1020" t="n">
        <v>22458</v>
      </c>
      <c r="E1020" t="s">
        <v>1026</v>
      </c>
      <c r="F1020" t="s"/>
      <c r="G1020" t="s"/>
      <c r="H1020" t="s"/>
      <c r="I1020" t="s"/>
      <c r="J1020" t="n">
        <v>-0.296</v>
      </c>
      <c r="K1020" t="n">
        <v>0.099</v>
      </c>
      <c r="L1020" t="n">
        <v>0.901</v>
      </c>
      <c r="M1020" t="n">
        <v>0</v>
      </c>
    </row>
    <row r="1021" spans="1:13">
      <c r="A1021" s="1">
        <f>HYPERLINK("http://www.twitter.com/NathanBLawrence/status/995524841313841152", "995524841313841152")</f>
        <v/>
      </c>
      <c r="B1021" s="2" t="n">
        <v>43233.19666666666</v>
      </c>
      <c r="C1021" t="n">
        <v>0</v>
      </c>
      <c r="D1021" t="n">
        <v>38</v>
      </c>
      <c r="E1021" t="s">
        <v>1027</v>
      </c>
      <c r="F1021" t="s"/>
      <c r="G1021" t="s"/>
      <c r="H1021" t="s"/>
      <c r="I1021" t="s"/>
      <c r="J1021" t="n">
        <v>-0.34</v>
      </c>
      <c r="K1021" t="n">
        <v>0.124</v>
      </c>
      <c r="L1021" t="n">
        <v>0.876</v>
      </c>
      <c r="M1021" t="n">
        <v>0</v>
      </c>
    </row>
    <row r="1022" spans="1:13">
      <c r="A1022" s="1">
        <f>HYPERLINK("http://www.twitter.com/NathanBLawrence/status/995524733973204994", "995524733973204994")</f>
        <v/>
      </c>
      <c r="B1022" s="2" t="n">
        <v>43233.19637731482</v>
      </c>
      <c r="C1022" t="n">
        <v>0</v>
      </c>
      <c r="D1022" t="n">
        <v>5049</v>
      </c>
      <c r="E1022" t="s">
        <v>1028</v>
      </c>
      <c r="F1022">
        <f>HYPERLINK("https://video.twimg.com/ext_tw_video/994544796990693376/pu/vid/1280x720/wHQcI60tiJWAS6tX.mp4?tag=3", "https://video.twimg.com/ext_tw_video/994544796990693376/pu/vid/1280x720/wHQcI60tiJWAS6tX.mp4?tag=3")</f>
        <v/>
      </c>
      <c r="G1022" t="s"/>
      <c r="H1022" t="s"/>
      <c r="I1022" t="s"/>
      <c r="J1022" t="n">
        <v>0</v>
      </c>
      <c r="K1022" t="n">
        <v>0</v>
      </c>
      <c r="L1022" t="n">
        <v>1</v>
      </c>
      <c r="M1022" t="n">
        <v>0</v>
      </c>
    </row>
    <row r="1023" spans="1:13">
      <c r="A1023" s="1">
        <f>HYPERLINK("http://www.twitter.com/NathanBLawrence/status/995524511951880192", "995524511951880192")</f>
        <v/>
      </c>
      <c r="B1023" s="2" t="n">
        <v>43233.19576388889</v>
      </c>
      <c r="C1023" t="n">
        <v>0</v>
      </c>
      <c r="D1023" t="n">
        <v>392</v>
      </c>
      <c r="E1023" t="s">
        <v>1029</v>
      </c>
      <c r="F1023" t="s"/>
      <c r="G1023" t="s"/>
      <c r="H1023" t="s"/>
      <c r="I1023" t="s"/>
      <c r="J1023" t="n">
        <v>-0.6765</v>
      </c>
      <c r="K1023" t="n">
        <v>0.236</v>
      </c>
      <c r="L1023" t="n">
        <v>0.764</v>
      </c>
      <c r="M1023" t="n">
        <v>0</v>
      </c>
    </row>
    <row r="1024" spans="1:13">
      <c r="A1024" s="1">
        <f>HYPERLINK("http://www.twitter.com/NathanBLawrence/status/995524309723512838", "995524309723512838")</f>
        <v/>
      </c>
      <c r="B1024" s="2" t="n">
        <v>43233.19520833333</v>
      </c>
      <c r="C1024" t="n">
        <v>0</v>
      </c>
      <c r="D1024" t="n">
        <v>3</v>
      </c>
      <c r="E1024" t="s">
        <v>1030</v>
      </c>
      <c r="F1024" t="s"/>
      <c r="G1024" t="s"/>
      <c r="H1024" t="s"/>
      <c r="I1024" t="s"/>
      <c r="J1024" t="n">
        <v>0.2023</v>
      </c>
      <c r="K1024" t="n">
        <v>0</v>
      </c>
      <c r="L1024" t="n">
        <v>0.904</v>
      </c>
      <c r="M1024" t="n">
        <v>0.096</v>
      </c>
    </row>
    <row r="1025" spans="1:13">
      <c r="A1025" s="1">
        <f>HYPERLINK("http://www.twitter.com/NathanBLawrence/status/995524261673603072", "995524261673603072")</f>
        <v/>
      </c>
      <c r="B1025" s="2" t="n">
        <v>43233.19506944445</v>
      </c>
      <c r="C1025" t="n">
        <v>0</v>
      </c>
      <c r="D1025" t="n">
        <v>1</v>
      </c>
      <c r="E1025" t="s">
        <v>1031</v>
      </c>
      <c r="F1025" t="s"/>
      <c r="G1025" t="s"/>
      <c r="H1025" t="s"/>
      <c r="I1025" t="s"/>
      <c r="J1025" t="n">
        <v>0</v>
      </c>
      <c r="K1025" t="n">
        <v>0</v>
      </c>
      <c r="L1025" t="n">
        <v>1</v>
      </c>
      <c r="M1025" t="n">
        <v>0</v>
      </c>
    </row>
    <row r="1026" spans="1:13">
      <c r="A1026" s="1">
        <f>HYPERLINK("http://www.twitter.com/NathanBLawrence/status/995524224092602369", "995524224092602369")</f>
        <v/>
      </c>
      <c r="B1026" s="2" t="n">
        <v>43233.19496527778</v>
      </c>
      <c r="C1026" t="n">
        <v>0</v>
      </c>
      <c r="D1026" t="n">
        <v>127</v>
      </c>
      <c r="E1026" t="s">
        <v>1032</v>
      </c>
      <c r="F1026" t="s"/>
      <c r="G1026" t="s"/>
      <c r="H1026" t="s"/>
      <c r="I1026" t="s"/>
      <c r="J1026" t="n">
        <v>0</v>
      </c>
      <c r="K1026" t="n">
        <v>0</v>
      </c>
      <c r="L1026" t="n">
        <v>1</v>
      </c>
      <c r="M1026" t="n">
        <v>0</v>
      </c>
    </row>
    <row r="1027" spans="1:13">
      <c r="A1027" s="1">
        <f>HYPERLINK("http://www.twitter.com/NathanBLawrence/status/995524207978086401", "995524207978086401")</f>
        <v/>
      </c>
      <c r="B1027" s="2" t="n">
        <v>43233.19491898148</v>
      </c>
      <c r="C1027" t="n">
        <v>0</v>
      </c>
      <c r="D1027" t="n">
        <v>2</v>
      </c>
      <c r="E1027" t="s">
        <v>1033</v>
      </c>
      <c r="F1027" t="s"/>
      <c r="G1027" t="s"/>
      <c r="H1027" t="s"/>
      <c r="I1027" t="s"/>
      <c r="J1027" t="n">
        <v>-0.8915999999999999</v>
      </c>
      <c r="K1027" t="n">
        <v>0.399</v>
      </c>
      <c r="L1027" t="n">
        <v>0.601</v>
      </c>
      <c r="M1027" t="n">
        <v>0</v>
      </c>
    </row>
    <row r="1028" spans="1:13">
      <c r="A1028" s="1">
        <f>HYPERLINK("http://www.twitter.com/NathanBLawrence/status/995362333768781824", "995362333768781824")</f>
        <v/>
      </c>
      <c r="B1028" s="2" t="n">
        <v>43232.74822916667</v>
      </c>
      <c r="C1028" t="n">
        <v>0</v>
      </c>
      <c r="D1028" t="n">
        <v>7</v>
      </c>
      <c r="E1028" t="s">
        <v>1034</v>
      </c>
      <c r="F1028" t="s"/>
      <c r="G1028" t="s"/>
      <c r="H1028" t="s"/>
      <c r="I1028" t="s"/>
      <c r="J1028" t="n">
        <v>-0.5266999999999999</v>
      </c>
      <c r="K1028" t="n">
        <v>0.239</v>
      </c>
      <c r="L1028" t="n">
        <v>0.761</v>
      </c>
      <c r="M1028" t="n">
        <v>0</v>
      </c>
    </row>
    <row r="1029" spans="1:13">
      <c r="A1029" s="1">
        <f>HYPERLINK("http://www.twitter.com/NathanBLawrence/status/995362150863589376", "995362150863589376")</f>
        <v/>
      </c>
      <c r="B1029" s="2" t="n">
        <v>43232.74773148148</v>
      </c>
      <c r="C1029" t="n">
        <v>0</v>
      </c>
      <c r="D1029" t="n">
        <v>15</v>
      </c>
      <c r="E1029" t="s">
        <v>1035</v>
      </c>
      <c r="F1029" t="s"/>
      <c r="G1029" t="s"/>
      <c r="H1029" t="s"/>
      <c r="I1029" t="s"/>
      <c r="J1029" t="n">
        <v>-0.296</v>
      </c>
      <c r="K1029" t="n">
        <v>0.109</v>
      </c>
      <c r="L1029" t="n">
        <v>0.891</v>
      </c>
      <c r="M1029" t="n">
        <v>0</v>
      </c>
    </row>
    <row r="1030" spans="1:13">
      <c r="A1030" s="1">
        <f>HYPERLINK("http://www.twitter.com/NathanBLawrence/status/995167722081316865", "995167722081316865")</f>
        <v/>
      </c>
      <c r="B1030" s="2" t="n">
        <v>43232.2112037037</v>
      </c>
      <c r="C1030" t="n">
        <v>0</v>
      </c>
      <c r="D1030" t="n">
        <v>2</v>
      </c>
      <c r="E1030" t="s">
        <v>1036</v>
      </c>
      <c r="F1030" t="s"/>
      <c r="G1030" t="s"/>
      <c r="H1030" t="s"/>
      <c r="I1030" t="s"/>
      <c r="J1030" t="n">
        <v>0</v>
      </c>
      <c r="K1030" t="n">
        <v>0</v>
      </c>
      <c r="L1030" t="n">
        <v>1</v>
      </c>
      <c r="M1030" t="n">
        <v>0</v>
      </c>
    </row>
    <row r="1031" spans="1:13">
      <c r="A1031" s="1">
        <f>HYPERLINK("http://www.twitter.com/NathanBLawrence/status/995167631740211200", "995167631740211200")</f>
        <v/>
      </c>
      <c r="B1031" s="2" t="n">
        <v>43232.21096064815</v>
      </c>
      <c r="C1031" t="n">
        <v>0</v>
      </c>
      <c r="D1031" t="n">
        <v>9</v>
      </c>
      <c r="E1031" t="s">
        <v>1037</v>
      </c>
      <c r="F1031" t="s"/>
      <c r="G1031" t="s"/>
      <c r="H1031" t="s"/>
      <c r="I1031" t="s"/>
      <c r="J1031" t="n">
        <v>-0.6808</v>
      </c>
      <c r="K1031" t="n">
        <v>0.248</v>
      </c>
      <c r="L1031" t="n">
        <v>0.752</v>
      </c>
      <c r="M1031" t="n">
        <v>0</v>
      </c>
    </row>
    <row r="1032" spans="1:13">
      <c r="A1032" s="1">
        <f>HYPERLINK("http://www.twitter.com/NathanBLawrence/status/995167542489636866", "995167542489636866")</f>
        <v/>
      </c>
      <c r="B1032" s="2" t="n">
        <v>43232.21071759259</v>
      </c>
      <c r="C1032" t="n">
        <v>0</v>
      </c>
      <c r="D1032" t="n">
        <v>4</v>
      </c>
      <c r="E1032" t="s">
        <v>1038</v>
      </c>
      <c r="F1032" t="s"/>
      <c r="G1032" t="s"/>
      <c r="H1032" t="s"/>
      <c r="I1032" t="s"/>
      <c r="J1032" t="n">
        <v>-0.5106000000000001</v>
      </c>
      <c r="K1032" t="n">
        <v>0.147</v>
      </c>
      <c r="L1032" t="n">
        <v>0.853</v>
      </c>
      <c r="M1032" t="n">
        <v>0</v>
      </c>
    </row>
    <row r="1033" spans="1:13">
      <c r="A1033" s="1">
        <f>HYPERLINK("http://www.twitter.com/NathanBLawrence/status/995167500005511168", "995167500005511168")</f>
        <v/>
      </c>
      <c r="B1033" s="2" t="n">
        <v>43232.21059027778</v>
      </c>
      <c r="C1033" t="n">
        <v>0</v>
      </c>
      <c r="D1033" t="n">
        <v>4</v>
      </c>
      <c r="E1033" t="s">
        <v>1039</v>
      </c>
      <c r="F1033">
        <f>HYPERLINK("http://pbs.twimg.com/media/Dc778kDX0AAk-tt.jpg", "http://pbs.twimg.com/media/Dc778kDX0AAk-tt.jpg")</f>
        <v/>
      </c>
      <c r="G1033" t="s"/>
      <c r="H1033" t="s"/>
      <c r="I1033" t="s"/>
      <c r="J1033" t="n">
        <v>0.2732</v>
      </c>
      <c r="K1033" t="n">
        <v>0</v>
      </c>
      <c r="L1033" t="n">
        <v>0.909</v>
      </c>
      <c r="M1033" t="n">
        <v>0.091</v>
      </c>
    </row>
    <row r="1034" spans="1:13">
      <c r="A1034" s="1">
        <f>HYPERLINK("http://www.twitter.com/NathanBLawrence/status/995166122969325569", "995166122969325569")</f>
        <v/>
      </c>
      <c r="B1034" s="2" t="n">
        <v>43232.20679398148</v>
      </c>
      <c r="C1034" t="n">
        <v>0</v>
      </c>
      <c r="D1034" t="n">
        <v>15</v>
      </c>
      <c r="E1034" t="s">
        <v>1040</v>
      </c>
      <c r="F1034">
        <f>HYPERLINK("http://pbs.twimg.com/media/Dc8-wM3XUAUNJnJ.jpg", "http://pbs.twimg.com/media/Dc8-wM3XUAUNJnJ.jpg")</f>
        <v/>
      </c>
      <c r="G1034" t="s"/>
      <c r="H1034" t="s"/>
      <c r="I1034" t="s"/>
      <c r="J1034" t="n">
        <v>-0.3182</v>
      </c>
      <c r="K1034" t="n">
        <v>0.108</v>
      </c>
      <c r="L1034" t="n">
        <v>0.892</v>
      </c>
      <c r="M1034" t="n">
        <v>0</v>
      </c>
    </row>
    <row r="1035" spans="1:13">
      <c r="A1035" s="1">
        <f>HYPERLINK("http://www.twitter.com/NathanBLawrence/status/995166109056798720", "995166109056798720")</f>
        <v/>
      </c>
      <c r="B1035" s="2" t="n">
        <v>43232.20675925926</v>
      </c>
      <c r="C1035" t="n">
        <v>0</v>
      </c>
      <c r="D1035" t="n">
        <v>5</v>
      </c>
      <c r="E1035" t="s">
        <v>1041</v>
      </c>
      <c r="F1035" t="s"/>
      <c r="G1035" t="s"/>
      <c r="H1035" t="s"/>
      <c r="I1035" t="s"/>
      <c r="J1035" t="n">
        <v>-0.323</v>
      </c>
      <c r="K1035" t="n">
        <v>0.095</v>
      </c>
      <c r="L1035" t="n">
        <v>0.905</v>
      </c>
      <c r="M1035" t="n">
        <v>0</v>
      </c>
    </row>
    <row r="1036" spans="1:13">
      <c r="A1036" s="1">
        <f>HYPERLINK("http://www.twitter.com/NathanBLawrence/status/995166085568704512", "995166085568704512")</f>
        <v/>
      </c>
      <c r="B1036" s="2" t="n">
        <v>43232.20668981481</v>
      </c>
      <c r="C1036" t="n">
        <v>0</v>
      </c>
      <c r="D1036" t="n">
        <v>13</v>
      </c>
      <c r="E1036" t="s">
        <v>1042</v>
      </c>
      <c r="F1036">
        <f>HYPERLINK("http://pbs.twimg.com/media/Dc9EXsHV4AAXajm.jpg", "http://pbs.twimg.com/media/Dc9EXsHV4AAXajm.jpg")</f>
        <v/>
      </c>
      <c r="G1036" t="s"/>
      <c r="H1036" t="s"/>
      <c r="I1036" t="s"/>
      <c r="J1036" t="n">
        <v>-0.1531</v>
      </c>
      <c r="K1036" t="n">
        <v>0.091</v>
      </c>
      <c r="L1036" t="n">
        <v>0.909</v>
      </c>
      <c r="M1036" t="n">
        <v>0</v>
      </c>
    </row>
    <row r="1037" spans="1:13">
      <c r="A1037" s="1">
        <f>HYPERLINK("http://www.twitter.com/NathanBLawrence/status/995166072348336128", "995166072348336128")</f>
        <v/>
      </c>
      <c r="B1037" s="2" t="n">
        <v>43232.2066550926</v>
      </c>
      <c r="C1037" t="n">
        <v>0</v>
      </c>
      <c r="D1037" t="n">
        <v>5</v>
      </c>
      <c r="E1037" t="s">
        <v>1043</v>
      </c>
      <c r="F1037" t="s"/>
      <c r="G1037" t="s"/>
      <c r="H1037" t="s"/>
      <c r="I1037" t="s"/>
      <c r="J1037" t="n">
        <v>0.765</v>
      </c>
      <c r="K1037" t="n">
        <v>0.076</v>
      </c>
      <c r="L1037" t="n">
        <v>0.612</v>
      </c>
      <c r="M1037" t="n">
        <v>0.313</v>
      </c>
    </row>
    <row r="1038" spans="1:13">
      <c r="A1038" s="1">
        <f>HYPERLINK("http://www.twitter.com/NathanBLawrence/status/995165866487631872", "995165866487631872")</f>
        <v/>
      </c>
      <c r="B1038" s="2" t="n">
        <v>43232.20608796296</v>
      </c>
      <c r="C1038" t="n">
        <v>0</v>
      </c>
      <c r="D1038" t="n">
        <v>13</v>
      </c>
      <c r="E1038" t="s">
        <v>1044</v>
      </c>
      <c r="F1038">
        <f>HYPERLINK("http://pbs.twimg.com/media/Dc9dQXFW0AAtO7A.jpg", "http://pbs.twimg.com/media/Dc9dQXFW0AAtO7A.jpg")</f>
        <v/>
      </c>
      <c r="G1038" t="s"/>
      <c r="H1038" t="s"/>
      <c r="I1038" t="s"/>
      <c r="J1038" t="n">
        <v>0</v>
      </c>
      <c r="K1038" t="n">
        <v>0</v>
      </c>
      <c r="L1038" t="n">
        <v>1</v>
      </c>
      <c r="M1038" t="n">
        <v>0</v>
      </c>
    </row>
    <row r="1039" spans="1:13">
      <c r="A1039" s="1">
        <f>HYPERLINK("http://www.twitter.com/NathanBLawrence/status/995165823928078336", "995165823928078336")</f>
        <v/>
      </c>
      <c r="B1039" s="2" t="n">
        <v>43232.20597222223</v>
      </c>
      <c r="C1039" t="n">
        <v>0</v>
      </c>
      <c r="D1039" t="n">
        <v>3</v>
      </c>
      <c r="E1039" t="s">
        <v>1045</v>
      </c>
      <c r="F1039" t="s"/>
      <c r="G1039" t="s"/>
      <c r="H1039" t="s"/>
      <c r="I1039" t="s"/>
      <c r="J1039" t="n">
        <v>0</v>
      </c>
      <c r="K1039" t="n">
        <v>0</v>
      </c>
      <c r="L1039" t="n">
        <v>1</v>
      </c>
      <c r="M1039" t="n">
        <v>0</v>
      </c>
    </row>
    <row r="1040" spans="1:13">
      <c r="A1040" s="1">
        <f>HYPERLINK("http://www.twitter.com/NathanBLawrence/status/995165814738378752", "995165814738378752")</f>
        <v/>
      </c>
      <c r="B1040" s="2" t="n">
        <v>43232.20594907407</v>
      </c>
      <c r="C1040" t="n">
        <v>0</v>
      </c>
      <c r="D1040" t="n">
        <v>3</v>
      </c>
      <c r="E1040" t="s">
        <v>1046</v>
      </c>
      <c r="F1040" t="s"/>
      <c r="G1040" t="s"/>
      <c r="H1040" t="s"/>
      <c r="I1040" t="s"/>
      <c r="J1040" t="n">
        <v>-0.5266999999999999</v>
      </c>
      <c r="K1040" t="n">
        <v>0.167</v>
      </c>
      <c r="L1040" t="n">
        <v>0.833</v>
      </c>
      <c r="M1040" t="n">
        <v>0</v>
      </c>
    </row>
    <row r="1041" spans="1:13">
      <c r="A1041" s="1">
        <f>HYPERLINK("http://www.twitter.com/NathanBLawrence/status/995165800637005824", "995165800637005824")</f>
        <v/>
      </c>
      <c r="B1041" s="2" t="n">
        <v>43232.20590277778</v>
      </c>
      <c r="C1041" t="n">
        <v>0</v>
      </c>
      <c r="D1041" t="n">
        <v>4</v>
      </c>
      <c r="E1041" t="s">
        <v>1047</v>
      </c>
      <c r="F1041" t="s"/>
      <c r="G1041" t="s"/>
      <c r="H1041" t="s"/>
      <c r="I1041" t="s"/>
      <c r="J1041" t="n">
        <v>-0.4588</v>
      </c>
      <c r="K1041" t="n">
        <v>0.25</v>
      </c>
      <c r="L1041" t="n">
        <v>0.75</v>
      </c>
      <c r="M1041" t="n">
        <v>0</v>
      </c>
    </row>
    <row r="1042" spans="1:13">
      <c r="A1042" s="1">
        <f>HYPERLINK("http://www.twitter.com/NathanBLawrence/status/995165759381831680", "995165759381831680")</f>
        <v/>
      </c>
      <c r="B1042" s="2" t="n">
        <v>43232.20578703703</v>
      </c>
      <c r="C1042" t="n">
        <v>0</v>
      </c>
      <c r="D1042" t="n">
        <v>12</v>
      </c>
      <c r="E1042" t="s">
        <v>1048</v>
      </c>
      <c r="F1042" t="s"/>
      <c r="G1042" t="s"/>
      <c r="H1042" t="s"/>
      <c r="I1042" t="s"/>
      <c r="J1042" t="n">
        <v>-0.1531</v>
      </c>
      <c r="K1042" t="n">
        <v>0.091</v>
      </c>
      <c r="L1042" t="n">
        <v>0.909</v>
      </c>
      <c r="M1042" t="n">
        <v>0</v>
      </c>
    </row>
    <row r="1043" spans="1:13">
      <c r="A1043" s="1">
        <f>HYPERLINK("http://www.twitter.com/NathanBLawrence/status/995056294141857792", "995056294141857792")</f>
        <v/>
      </c>
      <c r="B1043" s="2" t="n">
        <v>43231.90372685185</v>
      </c>
      <c r="C1043" t="n">
        <v>0</v>
      </c>
      <c r="D1043" t="n">
        <v>10</v>
      </c>
      <c r="E1043" t="s">
        <v>1049</v>
      </c>
      <c r="F1043" t="s"/>
      <c r="G1043" t="s"/>
      <c r="H1043" t="s"/>
      <c r="I1043" t="s"/>
      <c r="J1043" t="n">
        <v>0</v>
      </c>
      <c r="K1043" t="n">
        <v>0</v>
      </c>
      <c r="L1043" t="n">
        <v>1</v>
      </c>
      <c r="M1043" t="n">
        <v>0</v>
      </c>
    </row>
    <row r="1044" spans="1:13">
      <c r="A1044" s="1">
        <f>HYPERLINK("http://www.twitter.com/NathanBLawrence/status/995056144178655232", "995056144178655232")</f>
        <v/>
      </c>
      <c r="B1044" s="2" t="n">
        <v>43231.90331018518</v>
      </c>
      <c r="C1044" t="n">
        <v>0</v>
      </c>
      <c r="D1044" t="n">
        <v>16</v>
      </c>
      <c r="E1044" t="s">
        <v>1050</v>
      </c>
      <c r="F1044">
        <f>HYPERLINK("http://pbs.twimg.com/media/DcjzO9QX0AAtJeY.jpg", "http://pbs.twimg.com/media/DcjzO9QX0AAtJeY.jpg")</f>
        <v/>
      </c>
      <c r="G1044" t="s"/>
      <c r="H1044" t="s"/>
      <c r="I1044" t="s"/>
      <c r="J1044" t="n">
        <v>0.1695</v>
      </c>
      <c r="K1044" t="n">
        <v>0</v>
      </c>
      <c r="L1044" t="n">
        <v>0.886</v>
      </c>
      <c r="M1044" t="n">
        <v>0.114</v>
      </c>
    </row>
    <row r="1045" spans="1:13">
      <c r="A1045" s="1">
        <f>HYPERLINK("http://www.twitter.com/NathanBLawrence/status/995056093389783041", "995056093389783041")</f>
        <v/>
      </c>
      <c r="B1045" s="2" t="n">
        <v>43231.9031712963</v>
      </c>
      <c r="C1045" t="n">
        <v>0</v>
      </c>
      <c r="D1045" t="n">
        <v>10</v>
      </c>
      <c r="E1045" t="s">
        <v>1051</v>
      </c>
      <c r="F1045" t="s"/>
      <c r="G1045" t="s"/>
      <c r="H1045" t="s"/>
      <c r="I1045" t="s"/>
      <c r="J1045" t="n">
        <v>-0.5266999999999999</v>
      </c>
      <c r="K1045" t="n">
        <v>0.161</v>
      </c>
      <c r="L1045" t="n">
        <v>0.839</v>
      </c>
      <c r="M1045" t="n">
        <v>0</v>
      </c>
    </row>
    <row r="1046" spans="1:13">
      <c r="A1046" s="1">
        <f>HYPERLINK("http://www.twitter.com/NathanBLawrence/status/995056081335410689", "995056081335410689")</f>
        <v/>
      </c>
      <c r="B1046" s="2" t="n">
        <v>43231.90313657407</v>
      </c>
      <c r="C1046" t="n">
        <v>0</v>
      </c>
      <c r="D1046" t="n">
        <v>7</v>
      </c>
      <c r="E1046" t="s">
        <v>1052</v>
      </c>
      <c r="F1046" t="s"/>
      <c r="G1046" t="s"/>
      <c r="H1046" t="s"/>
      <c r="I1046" t="s"/>
      <c r="J1046" t="n">
        <v>-0.296</v>
      </c>
      <c r="K1046" t="n">
        <v>0.08400000000000001</v>
      </c>
      <c r="L1046" t="n">
        <v>0.916</v>
      </c>
      <c r="M1046" t="n">
        <v>0</v>
      </c>
    </row>
    <row r="1047" spans="1:13">
      <c r="A1047" s="1">
        <f>HYPERLINK("http://www.twitter.com/NathanBLawrence/status/995055960673615872", "995055960673615872")</f>
        <v/>
      </c>
      <c r="B1047" s="2" t="n">
        <v>43231.90280092593</v>
      </c>
      <c r="C1047" t="n">
        <v>0</v>
      </c>
      <c r="D1047" t="n">
        <v>20</v>
      </c>
      <c r="E1047" t="s">
        <v>1053</v>
      </c>
      <c r="F1047" t="s"/>
      <c r="G1047" t="s"/>
      <c r="H1047" t="s"/>
      <c r="I1047" t="s"/>
      <c r="J1047" t="n">
        <v>0.1144</v>
      </c>
      <c r="K1047" t="n">
        <v>0.104</v>
      </c>
      <c r="L1047" t="n">
        <v>0.774</v>
      </c>
      <c r="M1047" t="n">
        <v>0.122</v>
      </c>
    </row>
    <row r="1048" spans="1:13">
      <c r="A1048" s="1">
        <f>HYPERLINK("http://www.twitter.com/NathanBLawrence/status/995055931871453186", "995055931871453186")</f>
        <v/>
      </c>
      <c r="B1048" s="2" t="n">
        <v>43231.90273148148</v>
      </c>
      <c r="C1048" t="n">
        <v>0</v>
      </c>
      <c r="D1048" t="n">
        <v>7197</v>
      </c>
      <c r="E1048" t="s">
        <v>1054</v>
      </c>
      <c r="F1048" t="s"/>
      <c r="G1048" t="s"/>
      <c r="H1048" t="s"/>
      <c r="I1048" t="s"/>
      <c r="J1048" t="n">
        <v>-0.8442</v>
      </c>
      <c r="K1048" t="n">
        <v>0.355</v>
      </c>
      <c r="L1048" t="n">
        <v>0.489</v>
      </c>
      <c r="M1048" t="n">
        <v>0.156</v>
      </c>
    </row>
    <row r="1049" spans="1:13">
      <c r="A1049" s="1">
        <f>HYPERLINK("http://www.twitter.com/NathanBLawrence/status/994980674045206528", "994980674045206528")</f>
        <v/>
      </c>
      <c r="B1049" s="2" t="n">
        <v>43231.69505787037</v>
      </c>
      <c r="C1049" t="n">
        <v>0</v>
      </c>
      <c r="D1049" t="n">
        <v>6</v>
      </c>
      <c r="E1049" t="s">
        <v>1055</v>
      </c>
      <c r="F1049">
        <f>HYPERLINK("http://pbs.twimg.com/media/Dc1SnztXUAA0WsP.jpg", "http://pbs.twimg.com/media/Dc1SnztXUAA0WsP.jpg")</f>
        <v/>
      </c>
      <c r="G1049" t="s"/>
      <c r="H1049" t="s"/>
      <c r="I1049" t="s"/>
      <c r="J1049" t="n">
        <v>0</v>
      </c>
      <c r="K1049" t="n">
        <v>0</v>
      </c>
      <c r="L1049" t="n">
        <v>1</v>
      </c>
      <c r="M1049" t="n">
        <v>0</v>
      </c>
    </row>
    <row r="1050" spans="1:13">
      <c r="A1050" s="1">
        <f>HYPERLINK("http://www.twitter.com/NathanBLawrence/status/994980608010063872", "994980608010063872")</f>
        <v/>
      </c>
      <c r="B1050" s="2" t="n">
        <v>43231.69487268518</v>
      </c>
      <c r="C1050" t="n">
        <v>0</v>
      </c>
      <c r="D1050" t="n">
        <v>9</v>
      </c>
      <c r="E1050" t="s">
        <v>1056</v>
      </c>
      <c r="F1050" t="s"/>
      <c r="G1050" t="s"/>
      <c r="H1050" t="s"/>
      <c r="I1050" t="s"/>
      <c r="J1050" t="n">
        <v>0</v>
      </c>
      <c r="K1050" t="n">
        <v>0</v>
      </c>
      <c r="L1050" t="n">
        <v>1</v>
      </c>
      <c r="M1050" t="n">
        <v>0</v>
      </c>
    </row>
    <row r="1051" spans="1:13">
      <c r="A1051" s="1">
        <f>HYPERLINK("http://www.twitter.com/NathanBLawrence/status/994980495485210624", "994980495485210624")</f>
        <v/>
      </c>
      <c r="B1051" s="2" t="n">
        <v>43231.69456018518</v>
      </c>
      <c r="C1051" t="n">
        <v>0</v>
      </c>
      <c r="D1051" t="n">
        <v>4</v>
      </c>
      <c r="E1051" t="s">
        <v>1057</v>
      </c>
      <c r="F1051" t="s"/>
      <c r="G1051" t="s"/>
      <c r="H1051" t="s"/>
      <c r="I1051" t="s"/>
      <c r="J1051" t="n">
        <v>-0.3947</v>
      </c>
      <c r="K1051" t="n">
        <v>0.108</v>
      </c>
      <c r="L1051" t="n">
        <v>0.892</v>
      </c>
      <c r="M1051" t="n">
        <v>0</v>
      </c>
    </row>
    <row r="1052" spans="1:13">
      <c r="A1052" s="1">
        <f>HYPERLINK("http://www.twitter.com/NathanBLawrence/status/994980404951179264", "994980404951179264")</f>
        <v/>
      </c>
      <c r="B1052" s="2" t="n">
        <v>43231.69431712963</v>
      </c>
      <c r="C1052" t="n">
        <v>0</v>
      </c>
      <c r="D1052" t="n">
        <v>4</v>
      </c>
      <c r="E1052" t="s">
        <v>1058</v>
      </c>
      <c r="F1052" t="s"/>
      <c r="G1052" t="s"/>
      <c r="H1052" t="s"/>
      <c r="I1052" t="s"/>
      <c r="J1052" t="n">
        <v>-0.4469</v>
      </c>
      <c r="K1052" t="n">
        <v>0.264</v>
      </c>
      <c r="L1052" t="n">
        <v>0.5639999999999999</v>
      </c>
      <c r="M1052" t="n">
        <v>0.172</v>
      </c>
    </row>
    <row r="1053" spans="1:13">
      <c r="A1053" s="1">
        <f>HYPERLINK("http://www.twitter.com/NathanBLawrence/status/994980284608270336", "994980284608270336")</f>
        <v/>
      </c>
      <c r="B1053" s="2" t="n">
        <v>43231.69398148148</v>
      </c>
      <c r="C1053" t="n">
        <v>0</v>
      </c>
      <c r="D1053" t="n">
        <v>9</v>
      </c>
      <c r="E1053" t="s">
        <v>1059</v>
      </c>
      <c r="F1053" t="s"/>
      <c r="G1053" t="s"/>
      <c r="H1053" t="s"/>
      <c r="I1053" t="s"/>
      <c r="J1053" t="n">
        <v>-0.5574</v>
      </c>
      <c r="K1053" t="n">
        <v>0.146</v>
      </c>
      <c r="L1053" t="n">
        <v>0.854</v>
      </c>
      <c r="M1053" t="n">
        <v>0</v>
      </c>
    </row>
    <row r="1054" spans="1:13">
      <c r="A1054" s="1">
        <f>HYPERLINK("http://www.twitter.com/NathanBLawrence/status/994980239624294400", "994980239624294400")</f>
        <v/>
      </c>
      <c r="B1054" s="2" t="n">
        <v>43231.69385416667</v>
      </c>
      <c r="C1054" t="n">
        <v>0</v>
      </c>
      <c r="D1054" t="n">
        <v>6</v>
      </c>
      <c r="E1054" t="s">
        <v>1060</v>
      </c>
      <c r="F1054">
        <f>HYPERLINK("http://pbs.twimg.com/media/Dc3wkqKX0AA6x1c.jpg", "http://pbs.twimg.com/media/Dc3wkqKX0AA6x1c.jpg")</f>
        <v/>
      </c>
      <c r="G1054" t="s"/>
      <c r="H1054" t="s"/>
      <c r="I1054" t="s"/>
      <c r="J1054" t="n">
        <v>-0.4199</v>
      </c>
      <c r="K1054" t="n">
        <v>0.141</v>
      </c>
      <c r="L1054" t="n">
        <v>0.859</v>
      </c>
      <c r="M1054" t="n">
        <v>0</v>
      </c>
    </row>
    <row r="1055" spans="1:13">
      <c r="A1055" s="1">
        <f>HYPERLINK("http://www.twitter.com/NathanBLawrence/status/994980042412384261", "994980042412384261")</f>
        <v/>
      </c>
      <c r="B1055" s="2" t="n">
        <v>43231.69331018518</v>
      </c>
      <c r="C1055" t="n">
        <v>0</v>
      </c>
      <c r="D1055" t="n">
        <v>41</v>
      </c>
      <c r="E1055" t="s">
        <v>1061</v>
      </c>
      <c r="F1055">
        <f>HYPERLINK("http://pbs.twimg.com/media/Dc7CjvbXcAMEWTW.jpg", "http://pbs.twimg.com/media/Dc7CjvbXcAMEWTW.jpg")</f>
        <v/>
      </c>
      <c r="G1055" t="s"/>
      <c r="H1055" t="s"/>
      <c r="I1055" t="s"/>
      <c r="J1055" t="n">
        <v>0.128</v>
      </c>
      <c r="K1055" t="n">
        <v>0</v>
      </c>
      <c r="L1055" t="n">
        <v>0.9330000000000001</v>
      </c>
      <c r="M1055" t="n">
        <v>0.067</v>
      </c>
    </row>
    <row r="1056" spans="1:13">
      <c r="A1056" s="1">
        <f>HYPERLINK("http://www.twitter.com/NathanBLawrence/status/994979987777314816", "994979987777314816")</f>
        <v/>
      </c>
      <c r="B1056" s="2" t="n">
        <v>43231.69315972222</v>
      </c>
      <c r="C1056" t="n">
        <v>0</v>
      </c>
      <c r="D1056" t="n">
        <v>8</v>
      </c>
      <c r="E1056" t="s">
        <v>1062</v>
      </c>
      <c r="F1056" t="s"/>
      <c r="G1056" t="s"/>
      <c r="H1056" t="s"/>
      <c r="I1056" t="s"/>
      <c r="J1056" t="n">
        <v>-0.0772</v>
      </c>
      <c r="K1056" t="n">
        <v>0.149</v>
      </c>
      <c r="L1056" t="n">
        <v>0.718</v>
      </c>
      <c r="M1056" t="n">
        <v>0.133</v>
      </c>
    </row>
    <row r="1057" spans="1:13">
      <c r="A1057" s="1">
        <f>HYPERLINK("http://www.twitter.com/NathanBLawrence/status/994979967464230912", "994979967464230912")</f>
        <v/>
      </c>
      <c r="B1057" s="2" t="n">
        <v>43231.69310185185</v>
      </c>
      <c r="C1057" t="n">
        <v>0</v>
      </c>
      <c r="D1057" t="n">
        <v>6</v>
      </c>
      <c r="E1057" t="s">
        <v>1063</v>
      </c>
      <c r="F1057" t="s"/>
      <c r="G1057" t="s"/>
      <c r="H1057" t="s"/>
      <c r="I1057" t="s"/>
      <c r="J1057" t="n">
        <v>0</v>
      </c>
      <c r="K1057" t="n">
        <v>0</v>
      </c>
      <c r="L1057" t="n">
        <v>1</v>
      </c>
      <c r="M1057" t="n">
        <v>0</v>
      </c>
    </row>
    <row r="1058" spans="1:13">
      <c r="A1058" s="1">
        <f>HYPERLINK("http://www.twitter.com/NathanBLawrence/status/994979827911479296", "994979827911479296")</f>
        <v/>
      </c>
      <c r="B1058" s="2" t="n">
        <v>43231.69271990741</v>
      </c>
      <c r="C1058" t="n">
        <v>0</v>
      </c>
      <c r="D1058" t="n">
        <v>12</v>
      </c>
      <c r="E1058" t="s">
        <v>1064</v>
      </c>
      <c r="F1058">
        <f>HYPERLINK("http://pbs.twimg.com/media/Dc7gMnEXUAA-RCs.jpg", "http://pbs.twimg.com/media/Dc7gMnEXUAA-RCs.jpg")</f>
        <v/>
      </c>
      <c r="G1058" t="s"/>
      <c r="H1058" t="s"/>
      <c r="I1058" t="s"/>
      <c r="J1058" t="n">
        <v>0.3788</v>
      </c>
      <c r="K1058" t="n">
        <v>0.07000000000000001</v>
      </c>
      <c r="L1058" t="n">
        <v>0.79</v>
      </c>
      <c r="M1058" t="n">
        <v>0.14</v>
      </c>
    </row>
    <row r="1059" spans="1:13">
      <c r="A1059" s="1">
        <f>HYPERLINK("http://www.twitter.com/NathanBLawrence/status/994979746504208384", "994979746504208384")</f>
        <v/>
      </c>
      <c r="B1059" s="2" t="n">
        <v>43231.6925</v>
      </c>
      <c r="C1059" t="n">
        <v>0</v>
      </c>
      <c r="D1059" t="n">
        <v>14</v>
      </c>
      <c r="E1059" t="s">
        <v>1065</v>
      </c>
      <c r="F1059" t="s"/>
      <c r="G1059" t="s"/>
      <c r="H1059" t="s"/>
      <c r="I1059" t="s"/>
      <c r="J1059" t="n">
        <v>-0.4588</v>
      </c>
      <c r="K1059" t="n">
        <v>0.134</v>
      </c>
      <c r="L1059" t="n">
        <v>0.8129999999999999</v>
      </c>
      <c r="M1059" t="n">
        <v>0.053</v>
      </c>
    </row>
    <row r="1060" spans="1:13">
      <c r="A1060" s="1">
        <f>HYPERLINK("http://www.twitter.com/NathanBLawrence/status/994979477171113986", "994979477171113986")</f>
        <v/>
      </c>
      <c r="B1060" s="2" t="n">
        <v>43231.69174768519</v>
      </c>
      <c r="C1060" t="n">
        <v>0</v>
      </c>
      <c r="D1060" t="n">
        <v>20</v>
      </c>
      <c r="E1060" t="s">
        <v>1066</v>
      </c>
      <c r="F1060" t="s"/>
      <c r="G1060" t="s"/>
      <c r="H1060" t="s"/>
      <c r="I1060" t="s"/>
      <c r="J1060" t="n">
        <v>-0.4019</v>
      </c>
      <c r="K1060" t="n">
        <v>0.144</v>
      </c>
      <c r="L1060" t="n">
        <v>0.856</v>
      </c>
      <c r="M1060" t="n">
        <v>0</v>
      </c>
    </row>
    <row r="1061" spans="1:13">
      <c r="A1061" s="1">
        <f>HYPERLINK("http://www.twitter.com/NathanBLawrence/status/994979434137636865", "994979434137636865")</f>
        <v/>
      </c>
      <c r="B1061" s="2" t="n">
        <v>43231.69163194444</v>
      </c>
      <c r="C1061" t="n">
        <v>0</v>
      </c>
      <c r="D1061" t="n">
        <v>12</v>
      </c>
      <c r="E1061" t="s">
        <v>1067</v>
      </c>
      <c r="F1061">
        <f>HYPERLINK("http://pbs.twimg.com/media/Dc6d7juW0AEDq08.jpg", "http://pbs.twimg.com/media/Dc6d7juW0AEDq08.jpg")</f>
        <v/>
      </c>
      <c r="G1061" t="s"/>
      <c r="H1061" t="s"/>
      <c r="I1061" t="s"/>
      <c r="J1061" t="n">
        <v>0.6552</v>
      </c>
      <c r="K1061" t="n">
        <v>0</v>
      </c>
      <c r="L1061" t="n">
        <v>0.8129999999999999</v>
      </c>
      <c r="M1061" t="n">
        <v>0.187</v>
      </c>
    </row>
    <row r="1062" spans="1:13">
      <c r="A1062" s="1">
        <f>HYPERLINK("http://www.twitter.com/NathanBLawrence/status/994979396665692160", "994979396665692160")</f>
        <v/>
      </c>
      <c r="B1062" s="2" t="n">
        <v>43231.69152777778</v>
      </c>
      <c r="C1062" t="n">
        <v>0</v>
      </c>
      <c r="D1062" t="n">
        <v>6</v>
      </c>
      <c r="E1062" t="s">
        <v>1068</v>
      </c>
      <c r="F1062">
        <f>HYPERLINK("http://pbs.twimg.com/media/Dc5IwjuXUAEemcb.jpg", "http://pbs.twimg.com/media/Dc5IwjuXUAEemcb.jpg")</f>
        <v/>
      </c>
      <c r="G1062" t="s"/>
      <c r="H1062" t="s"/>
      <c r="I1062" t="s"/>
      <c r="J1062" t="n">
        <v>0.4019</v>
      </c>
      <c r="K1062" t="n">
        <v>0</v>
      </c>
      <c r="L1062" t="n">
        <v>0.856</v>
      </c>
      <c r="M1062" t="n">
        <v>0.144</v>
      </c>
    </row>
    <row r="1063" spans="1:13">
      <c r="A1063" s="1">
        <f>HYPERLINK("http://www.twitter.com/NathanBLawrence/status/994979300838465537", "994979300838465537")</f>
        <v/>
      </c>
      <c r="B1063" s="2" t="n">
        <v>43231.69126157407</v>
      </c>
      <c r="C1063" t="n">
        <v>0</v>
      </c>
      <c r="D1063" t="n">
        <v>24</v>
      </c>
      <c r="E1063" t="s">
        <v>1069</v>
      </c>
      <c r="F1063">
        <f>HYPERLINK("http://pbs.twimg.com/media/Dc7VvbWWAAICvgK.jpg", "http://pbs.twimg.com/media/Dc7VvbWWAAICvgK.jpg")</f>
        <v/>
      </c>
      <c r="G1063" t="s"/>
      <c r="H1063" t="s"/>
      <c r="I1063" t="s"/>
      <c r="J1063" t="n">
        <v>-0.4184</v>
      </c>
      <c r="K1063" t="n">
        <v>0.112</v>
      </c>
      <c r="L1063" t="n">
        <v>0.888</v>
      </c>
      <c r="M1063" t="n">
        <v>0</v>
      </c>
    </row>
    <row r="1064" spans="1:13">
      <c r="A1064" s="1">
        <f>HYPERLINK("http://www.twitter.com/NathanBLawrence/status/994839690002993160", "994839690002993160")</f>
        <v/>
      </c>
      <c r="B1064" s="2" t="n">
        <v>43231.30600694445</v>
      </c>
      <c r="C1064" t="n">
        <v>0</v>
      </c>
      <c r="D1064" t="n">
        <v>8858</v>
      </c>
      <c r="E1064" t="s">
        <v>1070</v>
      </c>
      <c r="F1064" t="s"/>
      <c r="G1064" t="s"/>
      <c r="H1064" t="s"/>
      <c r="I1064" t="s"/>
      <c r="J1064" t="n">
        <v>-0.2023</v>
      </c>
      <c r="K1064" t="n">
        <v>0.237</v>
      </c>
      <c r="L1064" t="n">
        <v>0.763</v>
      </c>
      <c r="M1064" t="n">
        <v>0</v>
      </c>
    </row>
    <row r="1065" spans="1:13">
      <c r="A1065" s="1">
        <f>HYPERLINK("http://www.twitter.com/NathanBLawrence/status/994839657694277632", "994839657694277632")</f>
        <v/>
      </c>
      <c r="B1065" s="2" t="n">
        <v>43231.30592592592</v>
      </c>
      <c r="C1065" t="n">
        <v>0</v>
      </c>
      <c r="D1065" t="n">
        <v>245</v>
      </c>
      <c r="E1065" t="s">
        <v>1071</v>
      </c>
      <c r="F1065">
        <f>HYPERLINK("https://video.twimg.com/ext_tw_video/994593516201230336/pu/vid/1280x720/GXcNqf574w5Xn2Cn.mp4?tag=3", "https://video.twimg.com/ext_tw_video/994593516201230336/pu/vid/1280x720/GXcNqf574w5Xn2Cn.mp4?tag=3")</f>
        <v/>
      </c>
      <c r="G1065" t="s"/>
      <c r="H1065" t="s"/>
      <c r="I1065" t="s"/>
      <c r="J1065" t="n">
        <v>0</v>
      </c>
      <c r="K1065" t="n">
        <v>0</v>
      </c>
      <c r="L1065" t="n">
        <v>1</v>
      </c>
      <c r="M1065" t="n">
        <v>0</v>
      </c>
    </row>
    <row r="1066" spans="1:13">
      <c r="A1066" s="1">
        <f>HYPERLINK("http://www.twitter.com/NathanBLawrence/status/994839630141849600", "994839630141849600")</f>
        <v/>
      </c>
      <c r="B1066" s="2" t="n">
        <v>43231.30584490741</v>
      </c>
      <c r="C1066" t="n">
        <v>0</v>
      </c>
      <c r="D1066" t="n">
        <v>811</v>
      </c>
      <c r="E1066" t="s">
        <v>1072</v>
      </c>
      <c r="F1066" t="s"/>
      <c r="G1066" t="s"/>
      <c r="H1066" t="s"/>
      <c r="I1066" t="s"/>
      <c r="J1066" t="n">
        <v>0.34</v>
      </c>
      <c r="K1066" t="n">
        <v>0</v>
      </c>
      <c r="L1066" t="n">
        <v>0.902</v>
      </c>
      <c r="M1066" t="n">
        <v>0.098</v>
      </c>
    </row>
    <row r="1067" spans="1:13">
      <c r="A1067" s="1">
        <f>HYPERLINK("http://www.twitter.com/NathanBLawrence/status/994839614572716032", "994839614572716032")</f>
        <v/>
      </c>
      <c r="B1067" s="2" t="n">
        <v>43231.30579861111</v>
      </c>
      <c r="C1067" t="n">
        <v>0</v>
      </c>
      <c r="D1067" t="n">
        <v>13659</v>
      </c>
      <c r="E1067" t="s">
        <v>1073</v>
      </c>
      <c r="F1067" t="s"/>
      <c r="G1067" t="s"/>
      <c r="H1067" t="s"/>
      <c r="I1067" t="s"/>
      <c r="J1067" t="n">
        <v>0</v>
      </c>
      <c r="K1067" t="n">
        <v>0</v>
      </c>
      <c r="L1067" t="n">
        <v>1</v>
      </c>
      <c r="M1067" t="n">
        <v>0</v>
      </c>
    </row>
    <row r="1068" spans="1:13">
      <c r="A1068" s="1">
        <f>HYPERLINK("http://www.twitter.com/NathanBLawrence/status/994839554363461632", "994839554363461632")</f>
        <v/>
      </c>
      <c r="B1068" s="2" t="n">
        <v>43231.30563657408</v>
      </c>
      <c r="C1068" t="n">
        <v>0</v>
      </c>
      <c r="D1068" t="n">
        <v>10543</v>
      </c>
      <c r="E1068" t="s">
        <v>1074</v>
      </c>
      <c r="F1068" t="s"/>
      <c r="G1068" t="s"/>
      <c r="H1068" t="s"/>
      <c r="I1068" t="s"/>
      <c r="J1068" t="n">
        <v>0</v>
      </c>
      <c r="K1068" t="n">
        <v>0</v>
      </c>
      <c r="L1068" t="n">
        <v>1</v>
      </c>
      <c r="M1068" t="n">
        <v>0</v>
      </c>
    </row>
    <row r="1069" spans="1:13">
      <c r="A1069" s="1">
        <f>HYPERLINK("http://www.twitter.com/NathanBLawrence/status/994762185846022144", "994762185846022144")</f>
        <v/>
      </c>
      <c r="B1069" s="2" t="n">
        <v>43231.09214120371</v>
      </c>
      <c r="C1069" t="n">
        <v>0</v>
      </c>
      <c r="D1069" t="n">
        <v>1953</v>
      </c>
      <c r="E1069" t="s">
        <v>1075</v>
      </c>
      <c r="F1069" t="s"/>
      <c r="G1069" t="s"/>
      <c r="H1069" t="s"/>
      <c r="I1069" t="s"/>
      <c r="J1069" t="n">
        <v>0.7506</v>
      </c>
      <c r="K1069" t="n">
        <v>0</v>
      </c>
      <c r="L1069" t="n">
        <v>0.72</v>
      </c>
      <c r="M1069" t="n">
        <v>0.28</v>
      </c>
    </row>
    <row r="1070" spans="1:13">
      <c r="A1070" s="1">
        <f>HYPERLINK("http://www.twitter.com/NathanBLawrence/status/994762155730898946", "994762155730898946")</f>
        <v/>
      </c>
      <c r="B1070" s="2" t="n">
        <v>43231.09206018518</v>
      </c>
      <c r="C1070" t="n">
        <v>0</v>
      </c>
      <c r="D1070" t="n">
        <v>3313</v>
      </c>
      <c r="E1070" t="s">
        <v>1076</v>
      </c>
      <c r="F1070" t="s"/>
      <c r="G1070" t="s"/>
      <c r="H1070" t="s"/>
      <c r="I1070" t="s"/>
      <c r="J1070" t="n">
        <v>-0.2263</v>
      </c>
      <c r="K1070" t="n">
        <v>0.163</v>
      </c>
      <c r="L1070" t="n">
        <v>0.707</v>
      </c>
      <c r="M1070" t="n">
        <v>0.131</v>
      </c>
    </row>
    <row r="1071" spans="1:13">
      <c r="A1071" s="1">
        <f>HYPERLINK("http://www.twitter.com/NathanBLawrence/status/994762122398707714", "994762122398707714")</f>
        <v/>
      </c>
      <c r="B1071" s="2" t="n">
        <v>43231.09196759259</v>
      </c>
      <c r="C1071" t="n">
        <v>0</v>
      </c>
      <c r="D1071" t="n">
        <v>1361</v>
      </c>
      <c r="E1071" t="s">
        <v>1077</v>
      </c>
      <c r="F1071" t="s"/>
      <c r="G1071" t="s"/>
      <c r="H1071" t="s"/>
      <c r="I1071" t="s"/>
      <c r="J1071" t="n">
        <v>0.4939</v>
      </c>
      <c r="K1071" t="n">
        <v>0</v>
      </c>
      <c r="L1071" t="n">
        <v>0.819</v>
      </c>
      <c r="M1071" t="n">
        <v>0.181</v>
      </c>
    </row>
    <row r="1072" spans="1:13">
      <c r="A1072" s="1">
        <f>HYPERLINK("http://www.twitter.com/NathanBLawrence/status/994762094712156160", "994762094712156160")</f>
        <v/>
      </c>
      <c r="B1072" s="2" t="n">
        <v>43231.09188657408</v>
      </c>
      <c r="C1072" t="n">
        <v>0</v>
      </c>
      <c r="D1072" t="n">
        <v>17</v>
      </c>
      <c r="E1072" t="s">
        <v>1078</v>
      </c>
      <c r="F1072" t="s"/>
      <c r="G1072" t="s"/>
      <c r="H1072" t="s"/>
      <c r="I1072" t="s"/>
      <c r="J1072" t="n">
        <v>-0.34</v>
      </c>
      <c r="K1072" t="n">
        <v>0.163</v>
      </c>
      <c r="L1072" t="n">
        <v>0.761</v>
      </c>
      <c r="M1072" t="n">
        <v>0.076</v>
      </c>
    </row>
    <row r="1073" spans="1:13">
      <c r="A1073" s="1">
        <f>HYPERLINK("http://www.twitter.com/NathanBLawrence/status/994762079428141057", "994762079428141057")</f>
        <v/>
      </c>
      <c r="B1073" s="2" t="n">
        <v>43231.09185185185</v>
      </c>
      <c r="C1073" t="n">
        <v>0</v>
      </c>
      <c r="D1073" t="n">
        <v>256</v>
      </c>
      <c r="E1073" t="s">
        <v>1079</v>
      </c>
      <c r="F1073" t="s"/>
      <c r="G1073" t="s"/>
      <c r="H1073" t="s"/>
      <c r="I1073" t="s"/>
      <c r="J1073" t="n">
        <v>0</v>
      </c>
      <c r="K1073" t="n">
        <v>0</v>
      </c>
      <c r="L1073" t="n">
        <v>1</v>
      </c>
      <c r="M1073" t="n">
        <v>0</v>
      </c>
    </row>
    <row r="1074" spans="1:13">
      <c r="A1074" s="1">
        <f>HYPERLINK("http://www.twitter.com/NathanBLawrence/status/994762042300039169", "994762042300039169")</f>
        <v/>
      </c>
      <c r="B1074" s="2" t="n">
        <v>43231.09174768518</v>
      </c>
      <c r="C1074" t="n">
        <v>0</v>
      </c>
      <c r="D1074" t="n">
        <v>2028</v>
      </c>
      <c r="E1074" t="s">
        <v>1080</v>
      </c>
      <c r="F1074" t="s"/>
      <c r="G1074" t="s"/>
      <c r="H1074" t="s"/>
      <c r="I1074" t="s"/>
      <c r="J1074" t="n">
        <v>0</v>
      </c>
      <c r="K1074" t="n">
        <v>0</v>
      </c>
      <c r="L1074" t="n">
        <v>1</v>
      </c>
      <c r="M1074" t="n">
        <v>0</v>
      </c>
    </row>
    <row r="1075" spans="1:13">
      <c r="A1075" s="1">
        <f>HYPERLINK("http://www.twitter.com/NathanBLawrence/status/994762006971473920", "994762006971473920")</f>
        <v/>
      </c>
      <c r="B1075" s="2" t="n">
        <v>43231.09164351852</v>
      </c>
      <c r="C1075" t="n">
        <v>0</v>
      </c>
      <c r="D1075" t="n">
        <v>315</v>
      </c>
      <c r="E1075" t="s">
        <v>1081</v>
      </c>
      <c r="F1075" t="s"/>
      <c r="G1075" t="s"/>
      <c r="H1075" t="s"/>
      <c r="I1075" t="s"/>
      <c r="J1075" t="n">
        <v>0.5719</v>
      </c>
      <c r="K1075" t="n">
        <v>0</v>
      </c>
      <c r="L1075" t="n">
        <v>0.68</v>
      </c>
      <c r="M1075" t="n">
        <v>0.32</v>
      </c>
    </row>
    <row r="1076" spans="1:13">
      <c r="A1076" s="1">
        <f>HYPERLINK("http://www.twitter.com/NathanBLawrence/status/994761961572315137", "994761961572315137")</f>
        <v/>
      </c>
      <c r="B1076" s="2" t="n">
        <v>43231.09152777777</v>
      </c>
      <c r="C1076" t="n">
        <v>0</v>
      </c>
      <c r="D1076" t="n">
        <v>9192</v>
      </c>
      <c r="E1076" t="s">
        <v>1082</v>
      </c>
      <c r="F1076">
        <f>HYPERLINK("http://pbs.twimg.com/media/Dc4ZWXUWkAI3VX8.jpg", "http://pbs.twimg.com/media/Dc4ZWXUWkAI3VX8.jpg")</f>
        <v/>
      </c>
      <c r="G1076" t="s"/>
      <c r="H1076" t="s"/>
      <c r="I1076" t="s"/>
      <c r="J1076" t="n">
        <v>0.5574</v>
      </c>
      <c r="K1076" t="n">
        <v>0</v>
      </c>
      <c r="L1076" t="n">
        <v>0.865</v>
      </c>
      <c r="M1076" t="n">
        <v>0.135</v>
      </c>
    </row>
    <row r="1077" spans="1:13">
      <c r="A1077" s="1">
        <f>HYPERLINK("http://www.twitter.com/NathanBLawrence/status/994761941812903936", "994761941812903936")</f>
        <v/>
      </c>
      <c r="B1077" s="2" t="n">
        <v>43231.09146990741</v>
      </c>
      <c r="C1077" t="n">
        <v>0</v>
      </c>
      <c r="D1077" t="n">
        <v>195</v>
      </c>
      <c r="E1077" t="s">
        <v>1083</v>
      </c>
      <c r="F1077" t="s"/>
      <c r="G1077" t="s"/>
      <c r="H1077" t="s"/>
      <c r="I1077" t="s"/>
      <c r="J1077" t="n">
        <v>0.4019</v>
      </c>
      <c r="K1077" t="n">
        <v>0</v>
      </c>
      <c r="L1077" t="n">
        <v>0.891</v>
      </c>
      <c r="M1077" t="n">
        <v>0.109</v>
      </c>
    </row>
    <row r="1078" spans="1:13">
      <c r="A1078" s="1">
        <f>HYPERLINK("http://www.twitter.com/NathanBLawrence/status/994761862188273664", "994761862188273664")</f>
        <v/>
      </c>
      <c r="B1078" s="2" t="n">
        <v>43231.09125</v>
      </c>
      <c r="C1078" t="n">
        <v>0</v>
      </c>
      <c r="D1078" t="n">
        <v>3239</v>
      </c>
      <c r="E1078" t="s">
        <v>1084</v>
      </c>
      <c r="F1078" t="s"/>
      <c r="G1078" t="s"/>
      <c r="H1078" t="s"/>
      <c r="I1078" t="s"/>
      <c r="J1078" t="n">
        <v>-0.4767</v>
      </c>
      <c r="K1078" t="n">
        <v>0.214</v>
      </c>
      <c r="L1078" t="n">
        <v>0.678</v>
      </c>
      <c r="M1078" t="n">
        <v>0.108</v>
      </c>
    </row>
    <row r="1079" spans="1:13">
      <c r="A1079" s="1">
        <f>HYPERLINK("http://www.twitter.com/NathanBLawrence/status/994760704078045185", "994760704078045185")</f>
        <v/>
      </c>
      <c r="B1079" s="2" t="n">
        <v>43231.08805555556</v>
      </c>
      <c r="C1079" t="n">
        <v>0</v>
      </c>
      <c r="D1079" t="n">
        <v>4039</v>
      </c>
      <c r="E1079" t="s">
        <v>1085</v>
      </c>
      <c r="F1079">
        <f>HYPERLINK("http://pbs.twimg.com/media/Dc38UgWUwAArlBf.jpg", "http://pbs.twimg.com/media/Dc38UgWUwAArlBf.jpg")</f>
        <v/>
      </c>
      <c r="G1079" t="s"/>
      <c r="H1079" t="s"/>
      <c r="I1079" t="s"/>
      <c r="J1079" t="n">
        <v>0.4019</v>
      </c>
      <c r="K1079" t="n">
        <v>0</v>
      </c>
      <c r="L1079" t="n">
        <v>0.876</v>
      </c>
      <c r="M1079" t="n">
        <v>0.124</v>
      </c>
    </row>
    <row r="1080" spans="1:13">
      <c r="A1080" s="1">
        <f>HYPERLINK("http://www.twitter.com/NathanBLawrence/status/994760288154120192", "994760288154120192")</f>
        <v/>
      </c>
      <c r="B1080" s="2" t="n">
        <v>43231.08690972222</v>
      </c>
      <c r="C1080" t="n">
        <v>0</v>
      </c>
      <c r="D1080" t="n">
        <v>2230</v>
      </c>
      <c r="E1080" t="s">
        <v>1086</v>
      </c>
      <c r="F1080" t="s"/>
      <c r="G1080" t="s"/>
      <c r="H1080" t="s"/>
      <c r="I1080" t="s"/>
      <c r="J1080" t="n">
        <v>-0.1531</v>
      </c>
      <c r="K1080" t="n">
        <v>0.122</v>
      </c>
      <c r="L1080" t="n">
        <v>0.778</v>
      </c>
      <c r="M1080" t="n">
        <v>0.1</v>
      </c>
    </row>
    <row r="1081" spans="1:13">
      <c r="A1081" s="1">
        <f>HYPERLINK("http://www.twitter.com/NathanBLawrence/status/994760157165965312", "994760157165965312")</f>
        <v/>
      </c>
      <c r="B1081" s="2" t="n">
        <v>43231.08653935185</v>
      </c>
      <c r="C1081" t="n">
        <v>0</v>
      </c>
      <c r="D1081" t="n">
        <v>3180</v>
      </c>
      <c r="E1081" t="s">
        <v>1087</v>
      </c>
      <c r="F1081" t="s"/>
      <c r="G1081" t="s"/>
      <c r="H1081" t="s"/>
      <c r="I1081" t="s"/>
      <c r="J1081" t="n">
        <v>-0.5719</v>
      </c>
      <c r="K1081" t="n">
        <v>0.17</v>
      </c>
      <c r="L1081" t="n">
        <v>0.83</v>
      </c>
      <c r="M1081" t="n">
        <v>0</v>
      </c>
    </row>
    <row r="1082" spans="1:13">
      <c r="A1082" s="1">
        <f>HYPERLINK("http://www.twitter.com/NathanBLawrence/status/994760052203511808", "994760052203511808")</f>
        <v/>
      </c>
      <c r="B1082" s="2" t="n">
        <v>43231.08625</v>
      </c>
      <c r="C1082" t="n">
        <v>0</v>
      </c>
      <c r="D1082" t="n">
        <v>13839</v>
      </c>
      <c r="E1082" t="s">
        <v>1088</v>
      </c>
      <c r="F1082" t="s"/>
      <c r="G1082" t="s"/>
      <c r="H1082" t="s"/>
      <c r="I1082" t="s"/>
      <c r="J1082" t="n">
        <v>-0.875</v>
      </c>
      <c r="K1082" t="n">
        <v>0.414</v>
      </c>
      <c r="L1082" t="n">
        <v>0.514</v>
      </c>
      <c r="M1082" t="n">
        <v>0.07199999999999999</v>
      </c>
    </row>
    <row r="1083" spans="1:13">
      <c r="A1083" s="1">
        <f>HYPERLINK("http://www.twitter.com/NathanBLawrence/status/994760036118392832", "994760036118392832")</f>
        <v/>
      </c>
      <c r="B1083" s="2" t="n">
        <v>43231.08621527778</v>
      </c>
      <c r="C1083" t="n">
        <v>0</v>
      </c>
      <c r="D1083" t="n">
        <v>3705</v>
      </c>
      <c r="E1083" t="s">
        <v>1089</v>
      </c>
      <c r="F1083" t="s"/>
      <c r="G1083" t="s"/>
      <c r="H1083" t="s"/>
      <c r="I1083" t="s"/>
      <c r="J1083" t="n">
        <v>-0.7717000000000001</v>
      </c>
      <c r="K1083" t="n">
        <v>0.31</v>
      </c>
      <c r="L1083" t="n">
        <v>0.606</v>
      </c>
      <c r="M1083" t="n">
        <v>0.08400000000000001</v>
      </c>
    </row>
    <row r="1084" spans="1:13">
      <c r="A1084" s="1">
        <f>HYPERLINK("http://www.twitter.com/NathanBLawrence/status/994760006674386944", "994760006674386944")</f>
        <v/>
      </c>
      <c r="B1084" s="2" t="n">
        <v>43231.08612268518</v>
      </c>
      <c r="C1084" t="n">
        <v>0</v>
      </c>
      <c r="D1084" t="n">
        <v>718</v>
      </c>
      <c r="E1084" t="s">
        <v>1090</v>
      </c>
      <c r="F1084" t="s"/>
      <c r="G1084" t="s"/>
      <c r="H1084" t="s"/>
      <c r="I1084" t="s"/>
      <c r="J1084" t="n">
        <v>0.4404</v>
      </c>
      <c r="K1084" t="n">
        <v>0</v>
      </c>
      <c r="L1084" t="n">
        <v>0.755</v>
      </c>
      <c r="M1084" t="n">
        <v>0.245</v>
      </c>
    </row>
    <row r="1085" spans="1:13">
      <c r="A1085" s="1">
        <f>HYPERLINK("http://www.twitter.com/NathanBLawrence/status/994759810460643328", "994759810460643328")</f>
        <v/>
      </c>
      <c r="B1085" s="2" t="n">
        <v>43231.08559027778</v>
      </c>
      <c r="C1085" t="n">
        <v>0</v>
      </c>
      <c r="D1085" t="n">
        <v>20</v>
      </c>
      <c r="E1085" t="s">
        <v>1091</v>
      </c>
      <c r="F1085" t="s"/>
      <c r="G1085" t="s"/>
      <c r="H1085" t="s"/>
      <c r="I1085" t="s"/>
      <c r="J1085" t="n">
        <v>0</v>
      </c>
      <c r="K1085" t="n">
        <v>0</v>
      </c>
      <c r="L1085" t="n">
        <v>1</v>
      </c>
      <c r="M1085" t="n">
        <v>0</v>
      </c>
    </row>
    <row r="1086" spans="1:13">
      <c r="A1086" s="1">
        <f>HYPERLINK("http://www.twitter.com/NathanBLawrence/status/994759692302929920", "994759692302929920")</f>
        <v/>
      </c>
      <c r="B1086" s="2" t="n">
        <v>43231.08526620371</v>
      </c>
      <c r="C1086" t="n">
        <v>0</v>
      </c>
      <c r="D1086" t="n">
        <v>1027</v>
      </c>
      <c r="E1086" t="s">
        <v>1092</v>
      </c>
      <c r="F1086" t="s"/>
      <c r="G1086" t="s"/>
      <c r="H1086" t="s"/>
      <c r="I1086" t="s"/>
      <c r="J1086" t="n">
        <v>0.6369</v>
      </c>
      <c r="K1086" t="n">
        <v>0</v>
      </c>
      <c r="L1086" t="n">
        <v>0.826</v>
      </c>
      <c r="M1086" t="n">
        <v>0.174</v>
      </c>
    </row>
    <row r="1087" spans="1:13">
      <c r="A1087" s="1">
        <f>HYPERLINK("http://www.twitter.com/NathanBLawrence/status/994759656965857280", "994759656965857280")</f>
        <v/>
      </c>
      <c r="B1087" s="2" t="n">
        <v>43231.08516203704</v>
      </c>
      <c r="C1087" t="n">
        <v>0</v>
      </c>
      <c r="D1087" t="n">
        <v>95</v>
      </c>
      <c r="E1087" t="s">
        <v>1093</v>
      </c>
      <c r="F1087" t="s"/>
      <c r="G1087" t="s"/>
      <c r="H1087" t="s"/>
      <c r="I1087" t="s"/>
      <c r="J1087" t="n">
        <v>0.3612</v>
      </c>
      <c r="K1087" t="n">
        <v>0.169</v>
      </c>
      <c r="L1087" t="n">
        <v>0.482</v>
      </c>
      <c r="M1087" t="n">
        <v>0.349</v>
      </c>
    </row>
    <row r="1088" spans="1:13">
      <c r="A1088" s="1">
        <f>HYPERLINK("http://www.twitter.com/NathanBLawrence/status/994759598690226176", "994759598690226176")</f>
        <v/>
      </c>
      <c r="B1088" s="2" t="n">
        <v>43231.085</v>
      </c>
      <c r="C1088" t="n">
        <v>0</v>
      </c>
      <c r="D1088" t="n">
        <v>363</v>
      </c>
      <c r="E1088" t="s">
        <v>1094</v>
      </c>
      <c r="F1088" t="s"/>
      <c r="G1088" t="s"/>
      <c r="H1088" t="s"/>
      <c r="I1088" t="s"/>
      <c r="J1088" t="n">
        <v>-0.5423</v>
      </c>
      <c r="K1088" t="n">
        <v>0.22</v>
      </c>
      <c r="L1088" t="n">
        <v>0.78</v>
      </c>
      <c r="M1088" t="n">
        <v>0</v>
      </c>
    </row>
    <row r="1089" spans="1:13">
      <c r="A1089" s="1">
        <f>HYPERLINK("http://www.twitter.com/NathanBLawrence/status/994759551764312064", "994759551764312064")</f>
        <v/>
      </c>
      <c r="B1089" s="2" t="n">
        <v>43231.08487268518</v>
      </c>
      <c r="C1089" t="n">
        <v>0</v>
      </c>
      <c r="D1089" t="n">
        <v>1610</v>
      </c>
      <c r="E1089" t="s">
        <v>1095</v>
      </c>
      <c r="F1089" t="s"/>
      <c r="G1089" t="s"/>
      <c r="H1089" t="s"/>
      <c r="I1089" t="s"/>
      <c r="J1089" t="n">
        <v>0.34</v>
      </c>
      <c r="K1089" t="n">
        <v>0</v>
      </c>
      <c r="L1089" t="n">
        <v>0.888</v>
      </c>
      <c r="M1089" t="n">
        <v>0.112</v>
      </c>
    </row>
    <row r="1090" spans="1:13">
      <c r="A1090" s="1">
        <f>HYPERLINK("http://www.twitter.com/NathanBLawrence/status/994759525168308224", "994759525168308224")</f>
        <v/>
      </c>
      <c r="B1090" s="2" t="n">
        <v>43231.08480324074</v>
      </c>
      <c r="C1090" t="n">
        <v>0</v>
      </c>
      <c r="D1090" t="n">
        <v>17930</v>
      </c>
      <c r="E1090" t="s">
        <v>1096</v>
      </c>
      <c r="F1090" t="s"/>
      <c r="G1090" t="s"/>
      <c r="H1090" t="s"/>
      <c r="I1090" t="s"/>
      <c r="J1090" t="n">
        <v>0.4199</v>
      </c>
      <c r="K1090" t="n">
        <v>0</v>
      </c>
      <c r="L1090" t="n">
        <v>0.6820000000000001</v>
      </c>
      <c r="M1090" t="n">
        <v>0.318</v>
      </c>
    </row>
    <row r="1091" spans="1:13">
      <c r="A1091" s="1">
        <f>HYPERLINK("http://www.twitter.com/NathanBLawrence/status/994691047841288193", "994691047841288193")</f>
        <v/>
      </c>
      <c r="B1091" s="2" t="n">
        <v>43230.89583333334</v>
      </c>
      <c r="C1091" t="n">
        <v>0</v>
      </c>
      <c r="D1091" t="n">
        <v>4</v>
      </c>
      <c r="E1091" t="s">
        <v>1097</v>
      </c>
      <c r="F1091" t="s"/>
      <c r="G1091" t="s"/>
      <c r="H1091" t="s"/>
      <c r="I1091" t="s"/>
      <c r="J1091" t="n">
        <v>-0.3612</v>
      </c>
      <c r="K1091" t="n">
        <v>0.106</v>
      </c>
      <c r="L1091" t="n">
        <v>0.894</v>
      </c>
      <c r="M1091" t="n">
        <v>0</v>
      </c>
    </row>
    <row r="1092" spans="1:13">
      <c r="A1092" s="1">
        <f>HYPERLINK("http://www.twitter.com/NathanBLawrence/status/994691020632809473", "994691020632809473")</f>
        <v/>
      </c>
      <c r="B1092" s="2" t="n">
        <v>43230.89576388889</v>
      </c>
      <c r="C1092" t="n">
        <v>0</v>
      </c>
      <c r="D1092" t="n">
        <v>9</v>
      </c>
      <c r="E1092" t="s">
        <v>1098</v>
      </c>
      <c r="F1092" t="s"/>
      <c r="G1092" t="s"/>
      <c r="H1092" t="s"/>
      <c r="I1092" t="s"/>
      <c r="J1092" t="n">
        <v>-0.6452</v>
      </c>
      <c r="K1092" t="n">
        <v>0.163</v>
      </c>
      <c r="L1092" t="n">
        <v>0.837</v>
      </c>
      <c r="M1092" t="n">
        <v>0</v>
      </c>
    </row>
    <row r="1093" spans="1:13">
      <c r="A1093" s="1">
        <f>HYPERLINK("http://www.twitter.com/NathanBLawrence/status/994689836295606272", "994689836295606272")</f>
        <v/>
      </c>
      <c r="B1093" s="2" t="n">
        <v>43230.8925</v>
      </c>
      <c r="C1093" t="n">
        <v>0</v>
      </c>
      <c r="D1093" t="n">
        <v>14</v>
      </c>
      <c r="E1093" t="s">
        <v>1099</v>
      </c>
      <c r="F1093" t="s"/>
      <c r="G1093" t="s"/>
      <c r="H1093" t="s"/>
      <c r="I1093" t="s"/>
      <c r="J1093" t="n">
        <v>-0.8401999999999999</v>
      </c>
      <c r="K1093" t="n">
        <v>0.375</v>
      </c>
      <c r="L1093" t="n">
        <v>0.625</v>
      </c>
      <c r="M1093" t="n">
        <v>0</v>
      </c>
    </row>
    <row r="1094" spans="1:13">
      <c r="A1094" s="1">
        <f>HYPERLINK("http://www.twitter.com/NathanBLawrence/status/994689812807409665", "994689812807409665")</f>
        <v/>
      </c>
      <c r="B1094" s="2" t="n">
        <v>43230.89243055556</v>
      </c>
      <c r="C1094" t="n">
        <v>0</v>
      </c>
      <c r="D1094" t="n">
        <v>5</v>
      </c>
      <c r="E1094" t="s">
        <v>1100</v>
      </c>
      <c r="F1094" t="s"/>
      <c r="G1094" t="s"/>
      <c r="H1094" t="s"/>
      <c r="I1094" t="s"/>
      <c r="J1094" t="n">
        <v>0.2942</v>
      </c>
      <c r="K1094" t="n">
        <v>0.107</v>
      </c>
      <c r="L1094" t="n">
        <v>0.697</v>
      </c>
      <c r="M1094" t="n">
        <v>0.196</v>
      </c>
    </row>
    <row r="1095" spans="1:13">
      <c r="A1095" s="1">
        <f>HYPERLINK("http://www.twitter.com/NathanBLawrence/status/994689759837638661", "994689759837638661")</f>
        <v/>
      </c>
      <c r="B1095" s="2" t="n">
        <v>43230.89228009259</v>
      </c>
      <c r="C1095" t="n">
        <v>0</v>
      </c>
      <c r="D1095" t="n">
        <v>12</v>
      </c>
      <c r="E1095" t="s">
        <v>1101</v>
      </c>
      <c r="F1095" t="s"/>
      <c r="G1095" t="s"/>
      <c r="H1095" t="s"/>
      <c r="I1095" t="s"/>
      <c r="J1095" t="n">
        <v>0</v>
      </c>
      <c r="K1095" t="n">
        <v>0</v>
      </c>
      <c r="L1095" t="n">
        <v>1</v>
      </c>
      <c r="M1095" t="n">
        <v>0</v>
      </c>
    </row>
    <row r="1096" spans="1:13">
      <c r="A1096" s="1">
        <f>HYPERLINK("http://www.twitter.com/NathanBLawrence/status/994689733447045120", "994689733447045120")</f>
        <v/>
      </c>
      <c r="B1096" s="2" t="n">
        <v>43230.89221064815</v>
      </c>
      <c r="C1096" t="n">
        <v>0</v>
      </c>
      <c r="D1096" t="n">
        <v>11</v>
      </c>
      <c r="E1096" t="s">
        <v>1102</v>
      </c>
      <c r="F1096" t="s"/>
      <c r="G1096" t="s"/>
      <c r="H1096" t="s"/>
      <c r="I1096" t="s"/>
      <c r="J1096" t="n">
        <v>0.1469</v>
      </c>
      <c r="K1096" t="n">
        <v>0.16</v>
      </c>
      <c r="L1096" t="n">
        <v>0.6929999999999999</v>
      </c>
      <c r="M1096" t="n">
        <v>0.147</v>
      </c>
    </row>
    <row r="1097" spans="1:13">
      <c r="A1097" s="1">
        <f>HYPERLINK("http://www.twitter.com/NathanBLawrence/status/994689705085165569", "994689705085165569")</f>
        <v/>
      </c>
      <c r="B1097" s="2" t="n">
        <v>43230.89212962963</v>
      </c>
      <c r="C1097" t="n">
        <v>0</v>
      </c>
      <c r="D1097" t="n">
        <v>17</v>
      </c>
      <c r="E1097" t="s">
        <v>1103</v>
      </c>
      <c r="F1097">
        <f>HYPERLINK("http://pbs.twimg.com/media/Dc3SX1mWkAMANbN.jpg", "http://pbs.twimg.com/media/Dc3SX1mWkAMANbN.jpg")</f>
        <v/>
      </c>
      <c r="G1097" t="s"/>
      <c r="H1097" t="s"/>
      <c r="I1097" t="s"/>
      <c r="J1097" t="n">
        <v>-0.5719</v>
      </c>
      <c r="K1097" t="n">
        <v>0.15</v>
      </c>
      <c r="L1097" t="n">
        <v>0.85</v>
      </c>
      <c r="M1097" t="n">
        <v>0</v>
      </c>
    </row>
    <row r="1098" spans="1:13">
      <c r="A1098" s="1">
        <f>HYPERLINK("http://www.twitter.com/NathanBLawrence/status/994689625858953217", "994689625858953217")</f>
        <v/>
      </c>
      <c r="B1098" s="2" t="n">
        <v>43230.89190972222</v>
      </c>
      <c r="C1098" t="n">
        <v>0</v>
      </c>
      <c r="D1098" t="n">
        <v>7</v>
      </c>
      <c r="E1098" t="s">
        <v>1104</v>
      </c>
      <c r="F1098" t="s"/>
      <c r="G1098" t="s"/>
      <c r="H1098" t="s"/>
      <c r="I1098" t="s"/>
      <c r="J1098" t="n">
        <v>0</v>
      </c>
      <c r="K1098" t="n">
        <v>0</v>
      </c>
      <c r="L1098" t="n">
        <v>1</v>
      </c>
      <c r="M1098" t="n">
        <v>0</v>
      </c>
    </row>
    <row r="1099" spans="1:13">
      <c r="A1099" s="1">
        <f>HYPERLINK("http://www.twitter.com/NathanBLawrence/status/994689610503606272", "994689610503606272")</f>
        <v/>
      </c>
      <c r="B1099" s="2" t="n">
        <v>43230.891875</v>
      </c>
      <c r="C1099" t="n">
        <v>0</v>
      </c>
      <c r="D1099" t="n">
        <v>15</v>
      </c>
      <c r="E1099" t="s">
        <v>1105</v>
      </c>
      <c r="F1099" t="s"/>
      <c r="G1099" t="s"/>
      <c r="H1099" t="s"/>
      <c r="I1099" t="s"/>
      <c r="J1099" t="n">
        <v>-0.8316</v>
      </c>
      <c r="K1099" t="n">
        <v>0.286</v>
      </c>
      <c r="L1099" t="n">
        <v>0.714</v>
      </c>
      <c r="M1099" t="n">
        <v>0</v>
      </c>
    </row>
    <row r="1100" spans="1:13">
      <c r="A1100" s="1">
        <f>HYPERLINK("http://www.twitter.com/NathanBLawrence/status/994689534574161920", "994689534574161920")</f>
        <v/>
      </c>
      <c r="B1100" s="2" t="n">
        <v>43230.89166666667</v>
      </c>
      <c r="C1100" t="n">
        <v>0</v>
      </c>
      <c r="D1100" t="n">
        <v>0</v>
      </c>
      <c r="E1100" t="s">
        <v>1106</v>
      </c>
      <c r="F1100" t="s"/>
      <c r="G1100" t="s"/>
      <c r="H1100" t="s"/>
      <c r="I1100" t="s"/>
      <c r="J1100" t="n">
        <v>0.4588</v>
      </c>
      <c r="K1100" t="n">
        <v>0</v>
      </c>
      <c r="L1100" t="n">
        <v>0.786</v>
      </c>
      <c r="M1100" t="n">
        <v>0.214</v>
      </c>
    </row>
    <row r="1101" spans="1:13">
      <c r="A1101" s="1">
        <f>HYPERLINK("http://www.twitter.com/NathanBLawrence/status/994689431893413888", "994689431893413888")</f>
        <v/>
      </c>
      <c r="B1101" s="2" t="n">
        <v>43230.89137731482</v>
      </c>
      <c r="C1101" t="n">
        <v>0</v>
      </c>
      <c r="D1101" t="n">
        <v>14</v>
      </c>
      <c r="E1101" t="s">
        <v>1107</v>
      </c>
      <c r="F1101" t="s"/>
      <c r="G1101" t="s"/>
      <c r="H1101" t="s"/>
      <c r="I1101" t="s"/>
      <c r="J1101" t="n">
        <v>0</v>
      </c>
      <c r="K1101" t="n">
        <v>0</v>
      </c>
      <c r="L1101" t="n">
        <v>1</v>
      </c>
      <c r="M1101" t="n">
        <v>0</v>
      </c>
    </row>
    <row r="1102" spans="1:13">
      <c r="A1102" s="1">
        <f>HYPERLINK("http://www.twitter.com/NathanBLawrence/status/994689104972582912", "994689104972582912")</f>
        <v/>
      </c>
      <c r="B1102" s="2" t="n">
        <v>43230.89047453704</v>
      </c>
      <c r="C1102" t="n">
        <v>0</v>
      </c>
      <c r="D1102" t="n">
        <v>3</v>
      </c>
      <c r="E1102" t="s">
        <v>1108</v>
      </c>
      <c r="F1102">
        <f>HYPERLINK("http://pbs.twimg.com/media/Dc3A06pX0AYAtb-.jpg", "http://pbs.twimg.com/media/Dc3A06pX0AYAtb-.jpg")</f>
        <v/>
      </c>
      <c r="G1102" t="s"/>
      <c r="H1102" t="s"/>
      <c r="I1102" t="s"/>
      <c r="J1102" t="n">
        <v>0</v>
      </c>
      <c r="K1102" t="n">
        <v>0</v>
      </c>
      <c r="L1102" t="n">
        <v>1</v>
      </c>
      <c r="M1102" t="n">
        <v>0</v>
      </c>
    </row>
    <row r="1103" spans="1:13">
      <c r="A1103" s="1">
        <f>HYPERLINK("http://www.twitter.com/NathanBLawrence/status/994689096067973122", "994689096067973122")</f>
        <v/>
      </c>
      <c r="B1103" s="2" t="n">
        <v>43230.89045138889</v>
      </c>
      <c r="C1103" t="n">
        <v>0</v>
      </c>
      <c r="D1103" t="n">
        <v>7</v>
      </c>
      <c r="E1103" t="s">
        <v>1109</v>
      </c>
      <c r="F1103">
        <f>HYPERLINK("http://pbs.twimg.com/media/Dc3AKmNXUAId2Ic.jpg", "http://pbs.twimg.com/media/Dc3AKmNXUAId2Ic.jpg")</f>
        <v/>
      </c>
      <c r="G1103" t="s"/>
      <c r="H1103" t="s"/>
      <c r="I1103" t="s"/>
      <c r="J1103" t="n">
        <v>0</v>
      </c>
      <c r="K1103" t="n">
        <v>0</v>
      </c>
      <c r="L1103" t="n">
        <v>1</v>
      </c>
      <c r="M1103" t="n">
        <v>0</v>
      </c>
    </row>
    <row r="1104" spans="1:13">
      <c r="A1104" s="1">
        <f>HYPERLINK("http://www.twitter.com/NathanBLawrence/status/994661698555572224", "994661698555572224")</f>
        <v/>
      </c>
      <c r="B1104" s="2" t="n">
        <v>43230.81484953704</v>
      </c>
      <c r="C1104" t="n">
        <v>0</v>
      </c>
      <c r="D1104" t="n">
        <v>10</v>
      </c>
      <c r="E1104" t="s">
        <v>1110</v>
      </c>
      <c r="F1104">
        <f>HYPERLINK("http://pbs.twimg.com/media/Dc2uTl8W4AA58ah.jpg", "http://pbs.twimg.com/media/Dc2uTl8W4AA58ah.jpg")</f>
        <v/>
      </c>
      <c r="G1104" t="s"/>
      <c r="H1104" t="s"/>
      <c r="I1104" t="s"/>
      <c r="J1104" t="n">
        <v>0.5574</v>
      </c>
      <c r="K1104" t="n">
        <v>0.048</v>
      </c>
      <c r="L1104" t="n">
        <v>0.746</v>
      </c>
      <c r="M1104" t="n">
        <v>0.206</v>
      </c>
    </row>
    <row r="1105" spans="1:13">
      <c r="A1105" s="1">
        <f>HYPERLINK("http://www.twitter.com/NathanBLawrence/status/994661659858948096", "994661659858948096")</f>
        <v/>
      </c>
      <c r="B1105" s="2" t="n">
        <v>43230.81474537037</v>
      </c>
      <c r="C1105" t="n">
        <v>3</v>
      </c>
      <c r="D1105" t="n">
        <v>0</v>
      </c>
      <c r="E1105" t="s">
        <v>1111</v>
      </c>
      <c r="F1105" t="s"/>
      <c r="G1105" t="s"/>
      <c r="H1105" t="s"/>
      <c r="I1105" t="s"/>
      <c r="J1105" t="n">
        <v>-0.7476</v>
      </c>
      <c r="K1105" t="n">
        <v>0.191</v>
      </c>
      <c r="L1105" t="n">
        <v>0.8090000000000001</v>
      </c>
      <c r="M1105" t="n">
        <v>0</v>
      </c>
    </row>
    <row r="1106" spans="1:13">
      <c r="A1106" s="1">
        <f>HYPERLINK("http://www.twitter.com/NathanBLawrence/status/994661413963681797", "994661413963681797")</f>
        <v/>
      </c>
      <c r="B1106" s="2" t="n">
        <v>43230.8140625</v>
      </c>
      <c r="C1106" t="n">
        <v>0</v>
      </c>
      <c r="D1106" t="n">
        <v>5</v>
      </c>
      <c r="E1106" t="s">
        <v>1112</v>
      </c>
      <c r="F1106">
        <f>HYPERLINK("http://pbs.twimg.com/media/Dc2-QphWkAEXw6f.jpg", "http://pbs.twimg.com/media/Dc2-QphWkAEXw6f.jpg")</f>
        <v/>
      </c>
      <c r="G1106" t="s"/>
      <c r="H1106" t="s"/>
      <c r="I1106" t="s"/>
      <c r="J1106" t="n">
        <v>0</v>
      </c>
      <c r="K1106" t="n">
        <v>0</v>
      </c>
      <c r="L1106" t="n">
        <v>1</v>
      </c>
      <c r="M1106" t="n">
        <v>0</v>
      </c>
    </row>
    <row r="1107" spans="1:13">
      <c r="A1107" s="1">
        <f>HYPERLINK("http://www.twitter.com/NathanBLawrence/status/994660917760708609", "994660917760708609")</f>
        <v/>
      </c>
      <c r="B1107" s="2" t="n">
        <v>43230.81269675926</v>
      </c>
      <c r="C1107" t="n">
        <v>0</v>
      </c>
      <c r="D1107" t="n">
        <v>15</v>
      </c>
      <c r="E1107" t="s">
        <v>1113</v>
      </c>
      <c r="F1107">
        <f>HYPERLINK("http://pbs.twimg.com/media/Dc2DVrwW4AUk41y.jpg", "http://pbs.twimg.com/media/Dc2DVrwW4AUk41y.jpg")</f>
        <v/>
      </c>
      <c r="G1107" t="s"/>
      <c r="H1107" t="s"/>
      <c r="I1107" t="s"/>
      <c r="J1107" t="n">
        <v>-0.794</v>
      </c>
      <c r="K1107" t="n">
        <v>0.261</v>
      </c>
      <c r="L1107" t="n">
        <v>0.739</v>
      </c>
      <c r="M1107" t="n">
        <v>0</v>
      </c>
    </row>
    <row r="1108" spans="1:13">
      <c r="A1108" s="1">
        <f>HYPERLINK("http://www.twitter.com/NathanBLawrence/status/994660856888791040", "994660856888791040")</f>
        <v/>
      </c>
      <c r="B1108" s="2" t="n">
        <v>43230.81252314815</v>
      </c>
      <c r="C1108" t="n">
        <v>0</v>
      </c>
      <c r="D1108" t="n">
        <v>6</v>
      </c>
      <c r="E1108" t="s">
        <v>1114</v>
      </c>
      <c r="F1108" t="s"/>
      <c r="G1108" t="s"/>
      <c r="H1108" t="s"/>
      <c r="I1108" t="s"/>
      <c r="J1108" t="n">
        <v>0.6486</v>
      </c>
      <c r="K1108" t="n">
        <v>0.102</v>
      </c>
      <c r="L1108" t="n">
        <v>0.656</v>
      </c>
      <c r="M1108" t="n">
        <v>0.243</v>
      </c>
    </row>
    <row r="1109" spans="1:13">
      <c r="A1109" s="1">
        <f>HYPERLINK("http://www.twitter.com/NathanBLawrence/status/994660825993547777", "994660825993547777")</f>
        <v/>
      </c>
      <c r="B1109" s="2" t="n">
        <v>43230.81244212963</v>
      </c>
      <c r="C1109" t="n">
        <v>0</v>
      </c>
      <c r="D1109" t="n">
        <v>5</v>
      </c>
      <c r="E1109" t="s">
        <v>1115</v>
      </c>
      <c r="F1109">
        <f>HYPERLINK("http://pbs.twimg.com/media/Dcytg0aW4AINAuW.jpg", "http://pbs.twimg.com/media/Dcytg0aW4AINAuW.jpg")</f>
        <v/>
      </c>
      <c r="G1109" t="s"/>
      <c r="H1109" t="s"/>
      <c r="I1109" t="s"/>
      <c r="J1109" t="n">
        <v>-0.4402</v>
      </c>
      <c r="K1109" t="n">
        <v>0.234</v>
      </c>
      <c r="L1109" t="n">
        <v>0.622</v>
      </c>
      <c r="M1109" t="n">
        <v>0.143</v>
      </c>
    </row>
    <row r="1110" spans="1:13">
      <c r="A1110" s="1">
        <f>HYPERLINK("http://www.twitter.com/NathanBLawrence/status/994660802102775808", "994660802102775808")</f>
        <v/>
      </c>
      <c r="B1110" s="2" t="n">
        <v>43230.81237268518</v>
      </c>
      <c r="C1110" t="n">
        <v>0</v>
      </c>
      <c r="D1110" t="n">
        <v>6</v>
      </c>
      <c r="E1110" t="s">
        <v>1116</v>
      </c>
      <c r="F1110">
        <f>HYPERLINK("http://pbs.twimg.com/media/Dc2gvF3XUAA5iIi.jpg", "http://pbs.twimg.com/media/Dc2gvF3XUAA5iIi.jpg")</f>
        <v/>
      </c>
      <c r="G1110" t="s"/>
      <c r="H1110" t="s"/>
      <c r="I1110" t="s"/>
      <c r="J1110" t="n">
        <v>0</v>
      </c>
      <c r="K1110" t="n">
        <v>0</v>
      </c>
      <c r="L1110" t="n">
        <v>1</v>
      </c>
      <c r="M1110" t="n">
        <v>0</v>
      </c>
    </row>
    <row r="1111" spans="1:13">
      <c r="A1111" s="1">
        <f>HYPERLINK("http://www.twitter.com/NathanBLawrence/status/994660666547032065", "994660666547032065")</f>
        <v/>
      </c>
      <c r="B1111" s="2" t="n">
        <v>43230.81200231481</v>
      </c>
      <c r="C1111" t="n">
        <v>0</v>
      </c>
      <c r="D1111" t="n">
        <v>8</v>
      </c>
      <c r="E1111" t="s">
        <v>1117</v>
      </c>
      <c r="F1111">
        <f>HYPERLINK("http://pbs.twimg.com/media/Dc21-X7XcAAdFNW.jpg", "http://pbs.twimg.com/media/Dc21-X7XcAAdFNW.jpg")</f>
        <v/>
      </c>
      <c r="G1111" t="s"/>
      <c r="H1111" t="s"/>
      <c r="I1111" t="s"/>
      <c r="J1111" t="n">
        <v>0</v>
      </c>
      <c r="K1111" t="n">
        <v>0</v>
      </c>
      <c r="L1111" t="n">
        <v>1</v>
      </c>
      <c r="M1111" t="n">
        <v>0</v>
      </c>
    </row>
    <row r="1112" spans="1:13">
      <c r="A1112" s="1">
        <f>HYPERLINK("http://www.twitter.com/NathanBLawrence/status/994660611790462981", "994660611790462981")</f>
        <v/>
      </c>
      <c r="B1112" s="2" t="n">
        <v>43230.81185185185</v>
      </c>
      <c r="C1112" t="n">
        <v>0</v>
      </c>
      <c r="D1112" t="n">
        <v>9</v>
      </c>
      <c r="E1112" t="s">
        <v>1118</v>
      </c>
      <c r="F1112">
        <f>HYPERLINK("http://pbs.twimg.com/media/DcrKh-xUQAI0EMo.jpg", "http://pbs.twimg.com/media/DcrKh-xUQAI0EMo.jpg")</f>
        <v/>
      </c>
      <c r="G1112" t="s"/>
      <c r="H1112" t="s"/>
      <c r="I1112" t="s"/>
      <c r="J1112" t="n">
        <v>-0.296</v>
      </c>
      <c r="K1112" t="n">
        <v>0.091</v>
      </c>
      <c r="L1112" t="n">
        <v>0.909</v>
      </c>
      <c r="M1112" t="n">
        <v>0</v>
      </c>
    </row>
    <row r="1113" spans="1:13">
      <c r="A1113" s="1">
        <f>HYPERLINK("http://www.twitter.com/NathanBLawrence/status/994660597617831937", "994660597617831937")</f>
        <v/>
      </c>
      <c r="B1113" s="2" t="n">
        <v>43230.81181712963</v>
      </c>
      <c r="C1113" t="n">
        <v>0</v>
      </c>
      <c r="D1113" t="n">
        <v>8</v>
      </c>
      <c r="E1113" t="s">
        <v>1119</v>
      </c>
      <c r="F1113">
        <f>HYPERLINK("http://pbs.twimg.com/media/DcrGVvNVAAESE2L.jpg", "http://pbs.twimg.com/media/DcrGVvNVAAESE2L.jpg")</f>
        <v/>
      </c>
      <c r="G1113" t="s"/>
      <c r="H1113" t="s"/>
      <c r="I1113" t="s"/>
      <c r="J1113" t="n">
        <v>-0.5266999999999999</v>
      </c>
      <c r="K1113" t="n">
        <v>0.18</v>
      </c>
      <c r="L1113" t="n">
        <v>0.82</v>
      </c>
      <c r="M1113" t="n">
        <v>0</v>
      </c>
    </row>
    <row r="1114" spans="1:13">
      <c r="A1114" s="1">
        <f>HYPERLINK("http://www.twitter.com/NathanBLawrence/status/994660578751893504", "994660578751893504")</f>
        <v/>
      </c>
      <c r="B1114" s="2" t="n">
        <v>43230.81175925926</v>
      </c>
      <c r="C1114" t="n">
        <v>0</v>
      </c>
      <c r="D1114" t="n">
        <v>3</v>
      </c>
      <c r="E1114" t="s">
        <v>1120</v>
      </c>
      <c r="F1114" t="s"/>
      <c r="G1114" t="s"/>
      <c r="H1114" t="s"/>
      <c r="I1114" t="s"/>
      <c r="J1114" t="n">
        <v>0.6249</v>
      </c>
      <c r="K1114" t="n">
        <v>0</v>
      </c>
      <c r="L1114" t="n">
        <v>0.797</v>
      </c>
      <c r="M1114" t="n">
        <v>0.203</v>
      </c>
    </row>
    <row r="1115" spans="1:13">
      <c r="A1115" s="1">
        <f>HYPERLINK("http://www.twitter.com/NathanBLawrence/status/994660567448260608", "994660567448260608")</f>
        <v/>
      </c>
      <c r="B1115" s="2" t="n">
        <v>43230.81172453704</v>
      </c>
      <c r="C1115" t="n">
        <v>0</v>
      </c>
      <c r="D1115" t="n">
        <v>8</v>
      </c>
      <c r="E1115" t="s">
        <v>1121</v>
      </c>
      <c r="F1115" t="s"/>
      <c r="G1115" t="s"/>
      <c r="H1115" t="s"/>
      <c r="I1115" t="s"/>
      <c r="J1115" t="n">
        <v>0</v>
      </c>
      <c r="K1115" t="n">
        <v>0</v>
      </c>
      <c r="L1115" t="n">
        <v>1</v>
      </c>
      <c r="M1115" t="n">
        <v>0</v>
      </c>
    </row>
    <row r="1116" spans="1:13">
      <c r="A1116" s="1">
        <f>HYPERLINK("http://www.twitter.com/NathanBLawrence/status/994660549563699200", "994660549563699200")</f>
        <v/>
      </c>
      <c r="B1116" s="2" t="n">
        <v>43230.81167824074</v>
      </c>
      <c r="C1116" t="n">
        <v>0</v>
      </c>
      <c r="D1116" t="n">
        <v>8</v>
      </c>
      <c r="E1116" t="s">
        <v>1122</v>
      </c>
      <c r="F1116" t="s"/>
      <c r="G1116" t="s"/>
      <c r="H1116" t="s"/>
      <c r="I1116" t="s"/>
      <c r="J1116" t="n">
        <v>-0.4767</v>
      </c>
      <c r="K1116" t="n">
        <v>0.17</v>
      </c>
      <c r="L1116" t="n">
        <v>0.83</v>
      </c>
      <c r="M1116" t="n">
        <v>0</v>
      </c>
    </row>
    <row r="1117" spans="1:13">
      <c r="A1117" s="1">
        <f>HYPERLINK("http://www.twitter.com/NathanBLawrence/status/994660527786876928", "994660527786876928")</f>
        <v/>
      </c>
      <c r="B1117" s="2" t="n">
        <v>43230.81162037037</v>
      </c>
      <c r="C1117" t="n">
        <v>0</v>
      </c>
      <c r="D1117" t="n">
        <v>14</v>
      </c>
      <c r="E1117" t="s">
        <v>1123</v>
      </c>
      <c r="F1117" t="s"/>
      <c r="G1117" t="s"/>
      <c r="H1117" t="s"/>
      <c r="I1117" t="s"/>
      <c r="J1117" t="n">
        <v>0.6514</v>
      </c>
      <c r="K1117" t="n">
        <v>0.105</v>
      </c>
      <c r="L1117" t="n">
        <v>0.65</v>
      </c>
      <c r="M1117" t="n">
        <v>0.245</v>
      </c>
    </row>
    <row r="1118" spans="1:13">
      <c r="A1118" s="1">
        <f>HYPERLINK("http://www.twitter.com/NathanBLawrence/status/994660507368992768", "994660507368992768")</f>
        <v/>
      </c>
      <c r="B1118" s="2" t="n">
        <v>43230.8115625</v>
      </c>
      <c r="C1118" t="n">
        <v>0</v>
      </c>
      <c r="D1118" t="n">
        <v>16</v>
      </c>
      <c r="E1118" t="s">
        <v>1124</v>
      </c>
      <c r="F1118">
        <f>HYPERLINK("http://pbs.twimg.com/media/Dc2pfzWW4AAq-cS.jpg", "http://pbs.twimg.com/media/Dc2pfzWW4AAq-cS.jpg")</f>
        <v/>
      </c>
      <c r="G1118" t="s"/>
      <c r="H1118" t="s"/>
      <c r="I1118" t="s"/>
      <c r="J1118" t="n">
        <v>0</v>
      </c>
      <c r="K1118" t="n">
        <v>0</v>
      </c>
      <c r="L1118" t="n">
        <v>1</v>
      </c>
      <c r="M1118" t="n">
        <v>0</v>
      </c>
    </row>
    <row r="1119" spans="1:13">
      <c r="A1119" s="1">
        <f>HYPERLINK("http://www.twitter.com/NathanBLawrence/status/994660494517600257", "994660494517600257")</f>
        <v/>
      </c>
      <c r="B1119" s="2" t="n">
        <v>43230.81152777778</v>
      </c>
      <c r="C1119" t="n">
        <v>0</v>
      </c>
      <c r="D1119" t="n">
        <v>24</v>
      </c>
      <c r="E1119" t="s">
        <v>1125</v>
      </c>
      <c r="F1119" t="s"/>
      <c r="G1119" t="s"/>
      <c r="H1119" t="s"/>
      <c r="I1119" t="s"/>
      <c r="J1119" t="n">
        <v>0.5266999999999999</v>
      </c>
      <c r="K1119" t="n">
        <v>0</v>
      </c>
      <c r="L1119" t="n">
        <v>0.876</v>
      </c>
      <c r="M1119" t="n">
        <v>0.124</v>
      </c>
    </row>
    <row r="1120" spans="1:13">
      <c r="A1120" s="1">
        <f>HYPERLINK("http://www.twitter.com/NathanBLawrence/status/994660487752290305", "994660487752290305")</f>
        <v/>
      </c>
      <c r="B1120" s="2" t="n">
        <v>43230.81150462963</v>
      </c>
      <c r="C1120" t="n">
        <v>0</v>
      </c>
      <c r="D1120" t="n">
        <v>10</v>
      </c>
      <c r="E1120" t="s">
        <v>1126</v>
      </c>
      <c r="F1120">
        <f>HYPERLINK("http://pbs.twimg.com/media/Dc2YpqeXUAAfLRM.jpg", "http://pbs.twimg.com/media/Dc2YpqeXUAAfLRM.jpg")</f>
        <v/>
      </c>
      <c r="G1120" t="s"/>
      <c r="H1120" t="s"/>
      <c r="I1120" t="s"/>
      <c r="J1120" t="n">
        <v>0</v>
      </c>
      <c r="K1120" t="n">
        <v>0</v>
      </c>
      <c r="L1120" t="n">
        <v>1</v>
      </c>
      <c r="M1120" t="n">
        <v>0</v>
      </c>
    </row>
    <row r="1121" spans="1:13">
      <c r="A1121" s="1">
        <f>HYPERLINK("http://www.twitter.com/NathanBLawrence/status/994660470425640960", "994660470425640960")</f>
        <v/>
      </c>
      <c r="B1121" s="2" t="n">
        <v>43230.81145833333</v>
      </c>
      <c r="C1121" t="n">
        <v>0</v>
      </c>
      <c r="D1121" t="n">
        <v>21</v>
      </c>
      <c r="E1121" t="s">
        <v>1127</v>
      </c>
      <c r="F1121">
        <f>HYPERLINK("http://pbs.twimg.com/media/Dc2WIHeVwAAQWB3.jpg", "http://pbs.twimg.com/media/Dc2WIHeVwAAQWB3.jpg")</f>
        <v/>
      </c>
      <c r="G1121" t="s"/>
      <c r="H1121" t="s"/>
      <c r="I1121" t="s"/>
      <c r="J1121" t="n">
        <v>0.4404</v>
      </c>
      <c r="K1121" t="n">
        <v>0</v>
      </c>
      <c r="L1121" t="n">
        <v>0.896</v>
      </c>
      <c r="M1121" t="n">
        <v>0.104</v>
      </c>
    </row>
    <row r="1122" spans="1:13">
      <c r="A1122" s="1">
        <f>HYPERLINK("http://www.twitter.com/NathanBLawrence/status/994660439312293888", "994660439312293888")</f>
        <v/>
      </c>
      <c r="B1122" s="2" t="n">
        <v>43230.81137731481</v>
      </c>
      <c r="C1122" t="n">
        <v>0</v>
      </c>
      <c r="D1122" t="n">
        <v>18</v>
      </c>
      <c r="E1122" t="s">
        <v>1128</v>
      </c>
      <c r="F1122" t="s"/>
      <c r="G1122" t="s"/>
      <c r="H1122" t="s"/>
      <c r="I1122" t="s"/>
      <c r="J1122" t="n">
        <v>0</v>
      </c>
      <c r="K1122" t="n">
        <v>0</v>
      </c>
      <c r="L1122" t="n">
        <v>1</v>
      </c>
      <c r="M1122" t="n">
        <v>0</v>
      </c>
    </row>
    <row r="1123" spans="1:13">
      <c r="A1123" s="1">
        <f>HYPERLINK("http://www.twitter.com/NathanBLawrence/status/994282655826022403", "994282655826022403")</f>
        <v/>
      </c>
      <c r="B1123" s="2" t="n">
        <v>43229.76888888889</v>
      </c>
      <c r="C1123" t="n">
        <v>0</v>
      </c>
      <c r="D1123" t="n">
        <v>8</v>
      </c>
      <c r="E1123" t="s">
        <v>1129</v>
      </c>
      <c r="F1123">
        <f>HYPERLINK("http://pbs.twimg.com/media/DcxczrkXkAII00R.jpg", "http://pbs.twimg.com/media/DcxczrkXkAII00R.jpg")</f>
        <v/>
      </c>
      <c r="G1123" t="s"/>
      <c r="H1123" t="s"/>
      <c r="I1123" t="s"/>
      <c r="J1123" t="n">
        <v>-0.6597</v>
      </c>
      <c r="K1123" t="n">
        <v>0.265</v>
      </c>
      <c r="L1123" t="n">
        <v>0.735</v>
      </c>
      <c r="M1123" t="n">
        <v>0</v>
      </c>
    </row>
    <row r="1124" spans="1:13">
      <c r="A1124" s="1">
        <f>HYPERLINK("http://www.twitter.com/NathanBLawrence/status/994282267399815168", "994282267399815168")</f>
        <v/>
      </c>
      <c r="B1124" s="2" t="n">
        <v>43229.76782407407</v>
      </c>
      <c r="C1124" t="n">
        <v>0</v>
      </c>
      <c r="D1124" t="n">
        <v>9</v>
      </c>
      <c r="E1124" t="s">
        <v>1130</v>
      </c>
      <c r="F1124">
        <f>HYPERLINK("http://pbs.twimg.com/media/DctkULVV4AA45cm.jpg", "http://pbs.twimg.com/media/DctkULVV4AA45cm.jpg")</f>
        <v/>
      </c>
      <c r="G1124" t="s"/>
      <c r="H1124" t="s"/>
      <c r="I1124" t="s"/>
      <c r="J1124" t="n">
        <v>0.3182</v>
      </c>
      <c r="K1124" t="n">
        <v>0</v>
      </c>
      <c r="L1124" t="n">
        <v>0.753</v>
      </c>
      <c r="M1124" t="n">
        <v>0.247</v>
      </c>
    </row>
    <row r="1125" spans="1:13">
      <c r="A1125" s="1">
        <f>HYPERLINK("http://www.twitter.com/NathanBLawrence/status/994277814936506374", "994277814936506374")</f>
        <v/>
      </c>
      <c r="B1125" s="2" t="n">
        <v>43229.75553240741</v>
      </c>
      <c r="C1125" t="n">
        <v>0</v>
      </c>
      <c r="D1125" t="n">
        <v>10</v>
      </c>
      <c r="E1125" t="s">
        <v>1131</v>
      </c>
      <c r="F1125" t="s"/>
      <c r="G1125" t="s"/>
      <c r="H1125" t="s"/>
      <c r="I1125" t="s"/>
      <c r="J1125" t="n">
        <v>0</v>
      </c>
      <c r="K1125" t="n">
        <v>0</v>
      </c>
      <c r="L1125" t="n">
        <v>1</v>
      </c>
      <c r="M1125" t="n">
        <v>0</v>
      </c>
    </row>
    <row r="1126" spans="1:13">
      <c r="A1126" s="1">
        <f>HYPERLINK("http://www.twitter.com/NathanBLawrence/status/994277055033470976", "994277055033470976")</f>
        <v/>
      </c>
      <c r="B1126" s="2" t="n">
        <v>43229.7534375</v>
      </c>
      <c r="C1126" t="n">
        <v>0</v>
      </c>
      <c r="D1126" t="n">
        <v>0</v>
      </c>
      <c r="E1126" t="s">
        <v>1132</v>
      </c>
      <c r="F1126" t="s"/>
      <c r="G1126" t="s"/>
      <c r="H1126" t="s"/>
      <c r="I1126" t="s"/>
      <c r="J1126" t="n">
        <v>0</v>
      </c>
      <c r="K1126" t="n">
        <v>0</v>
      </c>
      <c r="L1126" t="n">
        <v>1</v>
      </c>
      <c r="M1126" t="n">
        <v>0</v>
      </c>
    </row>
    <row r="1127" spans="1:13">
      <c r="A1127" s="1">
        <f>HYPERLINK("http://www.twitter.com/NathanBLawrence/status/994263536745492485", "994263536745492485")</f>
        <v/>
      </c>
      <c r="B1127" s="2" t="n">
        <v>43229.71613425926</v>
      </c>
      <c r="C1127" t="n">
        <v>0</v>
      </c>
      <c r="D1127" t="n">
        <v>13</v>
      </c>
      <c r="E1127" t="s">
        <v>1133</v>
      </c>
      <c r="F1127">
        <f>HYPERLINK("http://pbs.twimg.com/media/DcwzBwwVQAEboK3.jpg", "http://pbs.twimg.com/media/DcwzBwwVQAEboK3.jpg")</f>
        <v/>
      </c>
      <c r="G1127" t="s"/>
      <c r="H1127" t="s"/>
      <c r="I1127" t="s"/>
      <c r="J1127" t="n">
        <v>0</v>
      </c>
      <c r="K1127" t="n">
        <v>0</v>
      </c>
      <c r="L1127" t="n">
        <v>1</v>
      </c>
      <c r="M1127" t="n">
        <v>0</v>
      </c>
    </row>
    <row r="1128" spans="1:13">
      <c r="A1128" s="1">
        <f>HYPERLINK("http://www.twitter.com/NathanBLawrence/status/994263456550400000", "994263456550400000")</f>
        <v/>
      </c>
      <c r="B1128" s="2" t="n">
        <v>43229.71591435185</v>
      </c>
      <c r="C1128" t="n">
        <v>0</v>
      </c>
      <c r="D1128" t="n">
        <v>640</v>
      </c>
      <c r="E1128" t="s">
        <v>1134</v>
      </c>
      <c r="F1128">
        <f>HYPERLINK("http://pbs.twimg.com/media/DctIH9TU0AAL86N.jpg", "http://pbs.twimg.com/media/DctIH9TU0AAL86N.jpg")</f>
        <v/>
      </c>
      <c r="G1128" t="s"/>
      <c r="H1128" t="s"/>
      <c r="I1128" t="s"/>
      <c r="J1128" t="n">
        <v>0</v>
      </c>
      <c r="K1128" t="n">
        <v>0</v>
      </c>
      <c r="L1128" t="n">
        <v>1</v>
      </c>
      <c r="M1128" t="n">
        <v>0</v>
      </c>
    </row>
    <row r="1129" spans="1:13">
      <c r="A1129" s="1">
        <f>HYPERLINK("http://www.twitter.com/NathanBLawrence/status/994263424862490627", "994263424862490627")</f>
        <v/>
      </c>
      <c r="B1129" s="2" t="n">
        <v>43229.71582175926</v>
      </c>
      <c r="C1129" t="n">
        <v>0</v>
      </c>
      <c r="D1129" t="n">
        <v>102</v>
      </c>
      <c r="E1129" t="s">
        <v>1135</v>
      </c>
      <c r="F1129" t="s"/>
      <c r="G1129" t="s"/>
      <c r="H1129" t="s"/>
      <c r="I1129" t="s"/>
      <c r="J1129" t="n">
        <v>0.7096</v>
      </c>
      <c r="K1129" t="n">
        <v>0</v>
      </c>
      <c r="L1129" t="n">
        <v>0.753</v>
      </c>
      <c r="M1129" t="n">
        <v>0.247</v>
      </c>
    </row>
    <row r="1130" spans="1:13">
      <c r="A1130" s="1">
        <f>HYPERLINK("http://www.twitter.com/NathanBLawrence/status/994263395955363840", "994263395955363840")</f>
        <v/>
      </c>
      <c r="B1130" s="2" t="n">
        <v>43229.71574074074</v>
      </c>
      <c r="C1130" t="n">
        <v>0</v>
      </c>
      <c r="D1130" t="n">
        <v>172</v>
      </c>
      <c r="E1130" t="s">
        <v>1136</v>
      </c>
      <c r="F1130" t="s"/>
      <c r="G1130" t="s"/>
      <c r="H1130" t="s"/>
      <c r="I1130" t="s"/>
      <c r="J1130" t="n">
        <v>0.5826</v>
      </c>
      <c r="K1130" t="n">
        <v>0</v>
      </c>
      <c r="L1130" t="n">
        <v>0.679</v>
      </c>
      <c r="M1130" t="n">
        <v>0.321</v>
      </c>
    </row>
    <row r="1131" spans="1:13">
      <c r="A1131" s="1">
        <f>HYPERLINK("http://www.twitter.com/NathanBLawrence/status/994263374111395840", "994263374111395840")</f>
        <v/>
      </c>
      <c r="B1131" s="2" t="n">
        <v>43229.71568287037</v>
      </c>
      <c r="C1131" t="n">
        <v>0</v>
      </c>
      <c r="D1131" t="n">
        <v>0</v>
      </c>
      <c r="E1131" t="s">
        <v>1137</v>
      </c>
      <c r="F1131" t="s"/>
      <c r="G1131" t="s"/>
      <c r="H1131" t="s"/>
      <c r="I1131" t="s"/>
      <c r="J1131" t="n">
        <v>0.6249</v>
      </c>
      <c r="K1131" t="n">
        <v>0</v>
      </c>
      <c r="L1131" t="n">
        <v>0.196</v>
      </c>
      <c r="M1131" t="n">
        <v>0.804</v>
      </c>
    </row>
    <row r="1132" spans="1:13">
      <c r="A1132" s="1">
        <f>HYPERLINK("http://www.twitter.com/NathanBLawrence/status/994263336123600896", "994263336123600896")</f>
        <v/>
      </c>
      <c r="B1132" s="2" t="n">
        <v>43229.7155787037</v>
      </c>
      <c r="C1132" t="n">
        <v>0</v>
      </c>
      <c r="D1132" t="n">
        <v>3661</v>
      </c>
      <c r="E1132" t="s">
        <v>1138</v>
      </c>
      <c r="F1132" t="s"/>
      <c r="G1132" t="s"/>
      <c r="H1132" t="s"/>
      <c r="I1132" t="s"/>
      <c r="J1132" t="n">
        <v>0.3472</v>
      </c>
      <c r="K1132" t="n">
        <v>0.07000000000000001</v>
      </c>
      <c r="L1132" t="n">
        <v>0.799</v>
      </c>
      <c r="M1132" t="n">
        <v>0.13</v>
      </c>
    </row>
    <row r="1133" spans="1:13">
      <c r="A1133" s="1">
        <f>HYPERLINK("http://www.twitter.com/NathanBLawrence/status/994263313516257280", "994263313516257280")</f>
        <v/>
      </c>
      <c r="B1133" s="2" t="n">
        <v>43229.71552083334</v>
      </c>
      <c r="C1133" t="n">
        <v>0</v>
      </c>
      <c r="D1133" t="n">
        <v>170</v>
      </c>
      <c r="E1133" t="s">
        <v>1139</v>
      </c>
      <c r="F1133" t="s"/>
      <c r="G1133" t="s"/>
      <c r="H1133" t="s"/>
      <c r="I1133" t="s"/>
      <c r="J1133" t="n">
        <v>0.0762</v>
      </c>
      <c r="K1133" t="n">
        <v>0</v>
      </c>
      <c r="L1133" t="n">
        <v>0.947</v>
      </c>
      <c r="M1133" t="n">
        <v>0.053</v>
      </c>
    </row>
    <row r="1134" spans="1:13">
      <c r="A1134" s="1">
        <f>HYPERLINK("http://www.twitter.com/NathanBLawrence/status/994263274941243394", "994263274941243394")</f>
        <v/>
      </c>
      <c r="B1134" s="2" t="n">
        <v>43229.71540509259</v>
      </c>
      <c r="C1134" t="n">
        <v>0</v>
      </c>
      <c r="D1134" t="n">
        <v>11419</v>
      </c>
      <c r="E1134" t="s">
        <v>1140</v>
      </c>
      <c r="F1134" t="s"/>
      <c r="G1134" t="s"/>
      <c r="H1134" t="s"/>
      <c r="I1134" t="s"/>
      <c r="J1134" t="n">
        <v>0.7717000000000001</v>
      </c>
      <c r="K1134" t="n">
        <v>0</v>
      </c>
      <c r="L1134" t="n">
        <v>0.609</v>
      </c>
      <c r="M1134" t="n">
        <v>0.391</v>
      </c>
    </row>
    <row r="1135" spans="1:13">
      <c r="A1135" s="1">
        <f>HYPERLINK("http://www.twitter.com/NathanBLawrence/status/994033823598854144", "994033823598854144")</f>
        <v/>
      </c>
      <c r="B1135" s="2" t="n">
        <v>43229.08224537037</v>
      </c>
      <c r="C1135" t="n">
        <v>2</v>
      </c>
      <c r="D1135" t="n">
        <v>1</v>
      </c>
      <c r="E1135" t="s">
        <v>1141</v>
      </c>
      <c r="F1135" t="s"/>
      <c r="G1135" t="s"/>
      <c r="H1135" t="s"/>
      <c r="I1135" t="s"/>
      <c r="J1135" t="n">
        <v>-0.5266999999999999</v>
      </c>
      <c r="K1135" t="n">
        <v>0.459</v>
      </c>
      <c r="L1135" t="n">
        <v>0.541</v>
      </c>
      <c r="M1135" t="n">
        <v>0</v>
      </c>
    </row>
    <row r="1136" spans="1:13">
      <c r="A1136" s="1">
        <f>HYPERLINK("http://www.twitter.com/NathanBLawrence/status/994033669051506688", "994033669051506688")</f>
        <v/>
      </c>
      <c r="B1136" s="2" t="n">
        <v>43229.08181712963</v>
      </c>
      <c r="C1136" t="n">
        <v>0</v>
      </c>
      <c r="D1136" t="n">
        <v>7</v>
      </c>
      <c r="E1136" t="s">
        <v>1142</v>
      </c>
      <c r="F1136" t="s"/>
      <c r="G1136" t="s"/>
      <c r="H1136" t="s"/>
      <c r="I1136" t="s"/>
      <c r="J1136" t="n">
        <v>0</v>
      </c>
      <c r="K1136" t="n">
        <v>0.093</v>
      </c>
      <c r="L1136" t="n">
        <v>0.8139999999999999</v>
      </c>
      <c r="M1136" t="n">
        <v>0.093</v>
      </c>
    </row>
    <row r="1137" spans="1:13">
      <c r="A1137" s="1">
        <f>HYPERLINK("http://www.twitter.com/NathanBLawrence/status/994033512557826048", "994033512557826048")</f>
        <v/>
      </c>
      <c r="B1137" s="2" t="n">
        <v>43229.08138888889</v>
      </c>
      <c r="C1137" t="n">
        <v>0</v>
      </c>
      <c r="D1137" t="n">
        <v>10</v>
      </c>
      <c r="E1137" t="s">
        <v>1143</v>
      </c>
      <c r="F1137">
        <f>HYPERLINK("http://pbs.twimg.com/media/Dct4worWsAAiN-F.jpg", "http://pbs.twimg.com/media/Dct4worWsAAiN-F.jpg")</f>
        <v/>
      </c>
      <c r="G1137" t="s"/>
      <c r="H1137" t="s"/>
      <c r="I1137" t="s"/>
      <c r="J1137" t="n">
        <v>-0.8316</v>
      </c>
      <c r="K1137" t="n">
        <v>0.295</v>
      </c>
      <c r="L1137" t="n">
        <v>0.705</v>
      </c>
      <c r="M1137" t="n">
        <v>0</v>
      </c>
    </row>
    <row r="1138" spans="1:13">
      <c r="A1138" s="1">
        <f>HYPERLINK("http://www.twitter.com/NathanBLawrence/status/994033005298638849", "994033005298638849")</f>
        <v/>
      </c>
      <c r="B1138" s="2" t="n">
        <v>43229.07998842592</v>
      </c>
      <c r="C1138" t="n">
        <v>1</v>
      </c>
      <c r="D1138" t="n">
        <v>1</v>
      </c>
      <c r="E1138" t="s">
        <v>1144</v>
      </c>
      <c r="F1138" t="s"/>
      <c r="G1138" t="s"/>
      <c r="H1138" t="s"/>
      <c r="I1138" t="s"/>
      <c r="J1138" t="n">
        <v>-0.6633</v>
      </c>
      <c r="K1138" t="n">
        <v>0.33</v>
      </c>
      <c r="L1138" t="n">
        <v>0.67</v>
      </c>
      <c r="M1138" t="n">
        <v>0</v>
      </c>
    </row>
    <row r="1139" spans="1:13">
      <c r="A1139" s="1">
        <f>HYPERLINK("http://www.twitter.com/NathanBLawrence/status/994032902173282304", "994032902173282304")</f>
        <v/>
      </c>
      <c r="B1139" s="2" t="n">
        <v>43229.07969907407</v>
      </c>
      <c r="C1139" t="n">
        <v>0</v>
      </c>
      <c r="D1139" t="n">
        <v>4</v>
      </c>
      <c r="E1139" t="s">
        <v>1145</v>
      </c>
      <c r="F1139" t="s"/>
      <c r="G1139" t="s"/>
      <c r="H1139" t="s"/>
      <c r="I1139" t="s"/>
      <c r="J1139" t="n">
        <v>0</v>
      </c>
      <c r="K1139" t="n">
        <v>0</v>
      </c>
      <c r="L1139" t="n">
        <v>1</v>
      </c>
      <c r="M1139" t="n">
        <v>0</v>
      </c>
    </row>
    <row r="1140" spans="1:13">
      <c r="A1140" s="1">
        <f>HYPERLINK("http://www.twitter.com/NathanBLawrence/status/993956258779746304", "993956258779746304")</f>
        <v/>
      </c>
      <c r="B1140" s="2" t="n">
        <v>43228.86820601852</v>
      </c>
      <c r="C1140" t="n">
        <v>0</v>
      </c>
      <c r="D1140" t="n">
        <v>4</v>
      </c>
      <c r="E1140" t="s">
        <v>1146</v>
      </c>
      <c r="F1140" t="s"/>
      <c r="G1140" t="s"/>
      <c r="H1140" t="s"/>
      <c r="I1140" t="s"/>
      <c r="J1140" t="n">
        <v>0</v>
      </c>
      <c r="K1140" t="n">
        <v>0</v>
      </c>
      <c r="L1140" t="n">
        <v>1</v>
      </c>
      <c r="M1140" t="n">
        <v>0</v>
      </c>
    </row>
    <row r="1141" spans="1:13">
      <c r="A1141" s="1">
        <f>HYPERLINK("http://www.twitter.com/NathanBLawrence/status/993956240169603072", "993956240169603072")</f>
        <v/>
      </c>
      <c r="B1141" s="2" t="n">
        <v>43228.86815972222</v>
      </c>
      <c r="C1141" t="n">
        <v>0</v>
      </c>
      <c r="D1141" t="n">
        <v>7</v>
      </c>
      <c r="E1141" t="s">
        <v>1147</v>
      </c>
      <c r="F1141" t="s"/>
      <c r="G1141" t="s"/>
      <c r="H1141" t="s"/>
      <c r="I1141" t="s"/>
      <c r="J1141" t="n">
        <v>-0.4019</v>
      </c>
      <c r="K1141" t="n">
        <v>0.208</v>
      </c>
      <c r="L1141" t="n">
        <v>0.681</v>
      </c>
      <c r="M1141" t="n">
        <v>0.111</v>
      </c>
    </row>
    <row r="1142" spans="1:13">
      <c r="A1142" s="1">
        <f>HYPERLINK("http://www.twitter.com/NathanBLawrence/status/993956193629622273", "993956193629622273")</f>
        <v/>
      </c>
      <c r="B1142" s="2" t="n">
        <v>43228.86803240741</v>
      </c>
      <c r="C1142" t="n">
        <v>0</v>
      </c>
      <c r="D1142" t="n">
        <v>0</v>
      </c>
      <c r="E1142" t="s">
        <v>1148</v>
      </c>
      <c r="F1142" t="s"/>
      <c r="G1142" t="s"/>
      <c r="H1142" t="s"/>
      <c r="I1142" t="s"/>
      <c r="J1142" t="n">
        <v>-0.8105</v>
      </c>
      <c r="K1142" t="n">
        <v>0.254</v>
      </c>
      <c r="L1142" t="n">
        <v>0.659</v>
      </c>
      <c r="M1142" t="n">
        <v>0.08699999999999999</v>
      </c>
    </row>
    <row r="1143" spans="1:13">
      <c r="A1143" s="1">
        <f>HYPERLINK("http://www.twitter.com/NathanBLawrence/status/993955574785216512", "993955574785216512")</f>
        <v/>
      </c>
      <c r="B1143" s="2" t="n">
        <v>43228.86631944445</v>
      </c>
      <c r="C1143" t="n">
        <v>0</v>
      </c>
      <c r="D1143" t="n">
        <v>1</v>
      </c>
      <c r="E1143" t="s">
        <v>1149</v>
      </c>
      <c r="F1143" t="s"/>
      <c r="G1143" t="s"/>
      <c r="H1143" t="s"/>
      <c r="I1143" t="s"/>
      <c r="J1143" t="n">
        <v>0.7783</v>
      </c>
      <c r="K1143" t="n">
        <v>0</v>
      </c>
      <c r="L1143" t="n">
        <v>0.736</v>
      </c>
      <c r="M1143" t="n">
        <v>0.264</v>
      </c>
    </row>
    <row r="1144" spans="1:13">
      <c r="A1144" s="1">
        <f>HYPERLINK("http://www.twitter.com/NathanBLawrence/status/993955542145040384", "993955542145040384")</f>
        <v/>
      </c>
      <c r="B1144" s="2" t="n">
        <v>43228.86622685185</v>
      </c>
      <c r="C1144" t="n">
        <v>0</v>
      </c>
      <c r="D1144" t="n">
        <v>0</v>
      </c>
      <c r="E1144" t="s">
        <v>1150</v>
      </c>
      <c r="F1144" t="s"/>
      <c r="G1144" t="s"/>
      <c r="H1144" t="s"/>
      <c r="I1144" t="s"/>
      <c r="J1144" t="n">
        <v>0</v>
      </c>
      <c r="K1144" t="n">
        <v>0</v>
      </c>
      <c r="L1144" t="n">
        <v>1</v>
      </c>
      <c r="M1144" t="n">
        <v>0</v>
      </c>
    </row>
    <row r="1145" spans="1:13">
      <c r="A1145" s="1">
        <f>HYPERLINK("http://www.twitter.com/NathanBLawrence/status/993955505860169735", "993955505860169735")</f>
        <v/>
      </c>
      <c r="B1145" s="2" t="n">
        <v>43228.86613425926</v>
      </c>
      <c r="C1145" t="n">
        <v>0</v>
      </c>
      <c r="D1145" t="n">
        <v>4</v>
      </c>
      <c r="E1145" t="s">
        <v>1151</v>
      </c>
      <c r="F1145" t="s"/>
      <c r="G1145" t="s"/>
      <c r="H1145" t="s"/>
      <c r="I1145" t="s"/>
      <c r="J1145" t="n">
        <v>0</v>
      </c>
      <c r="K1145" t="n">
        <v>0</v>
      </c>
      <c r="L1145" t="n">
        <v>1</v>
      </c>
      <c r="M1145" t="n">
        <v>0</v>
      </c>
    </row>
    <row r="1146" spans="1:13">
      <c r="A1146" s="1">
        <f>HYPERLINK("http://www.twitter.com/NathanBLawrence/status/993955409999392768", "993955409999392768")</f>
        <v/>
      </c>
      <c r="B1146" s="2" t="n">
        <v>43228.86586805555</v>
      </c>
      <c r="C1146" t="n">
        <v>0</v>
      </c>
      <c r="D1146" t="n">
        <v>3</v>
      </c>
      <c r="E1146" t="s">
        <v>1152</v>
      </c>
      <c r="F1146" t="s"/>
      <c r="G1146" t="s"/>
      <c r="H1146" t="s"/>
      <c r="I1146" t="s"/>
      <c r="J1146" t="n">
        <v>-0.296</v>
      </c>
      <c r="K1146" t="n">
        <v>0.104</v>
      </c>
      <c r="L1146" t="n">
        <v>0.896</v>
      </c>
      <c r="M1146" t="n">
        <v>0</v>
      </c>
    </row>
    <row r="1147" spans="1:13">
      <c r="A1147" s="1">
        <f>HYPERLINK("http://www.twitter.com/NathanBLawrence/status/993951027949965317", "993951027949965317")</f>
        <v/>
      </c>
      <c r="B1147" s="2" t="n">
        <v>43228.85377314815</v>
      </c>
      <c r="C1147" t="n">
        <v>0</v>
      </c>
      <c r="D1147" t="n">
        <v>5</v>
      </c>
      <c r="E1147" t="s">
        <v>1153</v>
      </c>
      <c r="F1147">
        <f>HYPERLINK("http://pbs.twimg.com/media/DcszLiJX0AMGEN8.jpg", "http://pbs.twimg.com/media/DcszLiJX0AMGEN8.jpg")</f>
        <v/>
      </c>
      <c r="G1147" t="s"/>
      <c r="H1147" t="s"/>
      <c r="I1147" t="s"/>
      <c r="J1147" t="n">
        <v>0.6408</v>
      </c>
      <c r="K1147" t="n">
        <v>0.131</v>
      </c>
      <c r="L1147" t="n">
        <v>0.576</v>
      </c>
      <c r="M1147" t="n">
        <v>0.293</v>
      </c>
    </row>
    <row r="1148" spans="1:13">
      <c r="A1148" s="1">
        <f>HYPERLINK("http://www.twitter.com/NathanBLawrence/status/993951013894873089", "993951013894873089")</f>
        <v/>
      </c>
      <c r="B1148" s="2" t="n">
        <v>43228.85373842593</v>
      </c>
      <c r="C1148" t="n">
        <v>0</v>
      </c>
      <c r="D1148" t="n">
        <v>6</v>
      </c>
      <c r="E1148" t="s">
        <v>1154</v>
      </c>
      <c r="F1148" t="s"/>
      <c r="G1148" t="s"/>
      <c r="H1148" t="s"/>
      <c r="I1148" t="s"/>
      <c r="J1148" t="n">
        <v>0.6402</v>
      </c>
      <c r="K1148" t="n">
        <v>0</v>
      </c>
      <c r="L1148" t="n">
        <v>0.791</v>
      </c>
      <c r="M1148" t="n">
        <v>0.209</v>
      </c>
    </row>
    <row r="1149" spans="1:13">
      <c r="A1149" s="1">
        <f>HYPERLINK("http://www.twitter.com/NathanBLawrence/status/993943517226524672", "993943517226524672")</f>
        <v/>
      </c>
      <c r="B1149" s="2" t="n">
        <v>43228.83304398148</v>
      </c>
      <c r="C1149" t="n">
        <v>0</v>
      </c>
      <c r="D1149" t="n">
        <v>5</v>
      </c>
      <c r="E1149" t="s">
        <v>1155</v>
      </c>
      <c r="F1149" t="s"/>
      <c r="G1149" t="s"/>
      <c r="H1149" t="s"/>
      <c r="I1149" t="s"/>
      <c r="J1149" t="n">
        <v>-0.4329</v>
      </c>
      <c r="K1149" t="n">
        <v>0.172</v>
      </c>
      <c r="L1149" t="n">
        <v>0.75</v>
      </c>
      <c r="M1149" t="n">
        <v>0.078</v>
      </c>
    </row>
    <row r="1150" spans="1:13">
      <c r="A1150" s="1">
        <f>HYPERLINK("http://www.twitter.com/NathanBLawrence/status/993943473563820032", "993943473563820032")</f>
        <v/>
      </c>
      <c r="B1150" s="2" t="n">
        <v>43228.83292824074</v>
      </c>
      <c r="C1150" t="n">
        <v>0</v>
      </c>
      <c r="D1150" t="n">
        <v>4</v>
      </c>
      <c r="E1150" t="s">
        <v>1156</v>
      </c>
      <c r="F1150" t="s"/>
      <c r="G1150" t="s"/>
      <c r="H1150" t="s"/>
      <c r="I1150" t="s"/>
      <c r="J1150" t="n">
        <v>0</v>
      </c>
      <c r="K1150" t="n">
        <v>0</v>
      </c>
      <c r="L1150" t="n">
        <v>1</v>
      </c>
      <c r="M1150" t="n">
        <v>0</v>
      </c>
    </row>
    <row r="1151" spans="1:13">
      <c r="A1151" s="1">
        <f>HYPERLINK("http://www.twitter.com/NathanBLawrence/status/993943438990209026", "993943438990209026")</f>
        <v/>
      </c>
      <c r="B1151" s="2" t="n">
        <v>43228.83283564815</v>
      </c>
      <c r="C1151" t="n">
        <v>0</v>
      </c>
      <c r="D1151" t="n">
        <v>9</v>
      </c>
      <c r="E1151" t="s">
        <v>1157</v>
      </c>
      <c r="F1151">
        <f>HYPERLINK("http://pbs.twimg.com/media/Dcsw6OxW0AAHrK4.jpg", "http://pbs.twimg.com/media/Dcsw6OxW0AAHrK4.jpg")</f>
        <v/>
      </c>
      <c r="G1151" t="s"/>
      <c r="H1151" t="s"/>
      <c r="I1151" t="s"/>
      <c r="J1151" t="n">
        <v>0</v>
      </c>
      <c r="K1151" t="n">
        <v>0</v>
      </c>
      <c r="L1151" t="n">
        <v>1</v>
      </c>
      <c r="M1151" t="n">
        <v>0</v>
      </c>
    </row>
    <row r="1152" spans="1:13">
      <c r="A1152" s="1">
        <f>HYPERLINK("http://www.twitter.com/NathanBLawrence/status/993919032830189569", "993919032830189569")</f>
        <v/>
      </c>
      <c r="B1152" s="2" t="n">
        <v>43228.76548611111</v>
      </c>
      <c r="C1152" t="n">
        <v>0</v>
      </c>
      <c r="D1152" t="n">
        <v>6</v>
      </c>
      <c r="E1152" t="s">
        <v>1158</v>
      </c>
      <c r="F1152" t="s"/>
      <c r="G1152" t="s"/>
      <c r="H1152" t="s"/>
      <c r="I1152" t="s"/>
      <c r="J1152" t="n">
        <v>-0.8481</v>
      </c>
      <c r="K1152" t="n">
        <v>0.365</v>
      </c>
      <c r="L1152" t="n">
        <v>0.635</v>
      </c>
      <c r="M1152" t="n">
        <v>0</v>
      </c>
    </row>
    <row r="1153" spans="1:13">
      <c r="A1153" s="1">
        <f>HYPERLINK("http://www.twitter.com/NathanBLawrence/status/993917090720600064", "993917090720600064")</f>
        <v/>
      </c>
      <c r="B1153" s="2" t="n">
        <v>43228.76012731482</v>
      </c>
      <c r="C1153" t="n">
        <v>0</v>
      </c>
      <c r="D1153" t="n">
        <v>0</v>
      </c>
      <c r="E1153" t="s">
        <v>1159</v>
      </c>
      <c r="F1153" t="s"/>
      <c r="G1153" t="s"/>
      <c r="H1153" t="s"/>
      <c r="I1153" t="s"/>
      <c r="J1153" t="n">
        <v>-0.7579</v>
      </c>
      <c r="K1153" t="n">
        <v>0.277</v>
      </c>
      <c r="L1153" t="n">
        <v>0.723</v>
      </c>
      <c r="M1153" t="n">
        <v>0</v>
      </c>
    </row>
    <row r="1154" spans="1:13">
      <c r="A1154" s="1">
        <f>HYPERLINK("http://www.twitter.com/NathanBLawrence/status/993914642429771777", "993914642429771777")</f>
        <v/>
      </c>
      <c r="B1154" s="2" t="n">
        <v>43228.75336805556</v>
      </c>
      <c r="C1154" t="n">
        <v>3</v>
      </c>
      <c r="D1154" t="n">
        <v>1</v>
      </c>
      <c r="E1154" t="s">
        <v>1160</v>
      </c>
      <c r="F1154" t="s"/>
      <c r="G1154" t="s"/>
      <c r="H1154" t="s"/>
      <c r="I1154" t="s"/>
      <c r="J1154" t="n">
        <v>0.3612</v>
      </c>
      <c r="K1154" t="n">
        <v>0</v>
      </c>
      <c r="L1154" t="n">
        <v>0.946</v>
      </c>
      <c r="M1154" t="n">
        <v>0.054</v>
      </c>
    </row>
    <row r="1155" spans="1:13">
      <c r="A1155" s="1">
        <f>HYPERLINK("http://www.twitter.com/NathanBLawrence/status/993908914348593152", "993908914348593152")</f>
        <v/>
      </c>
      <c r="B1155" s="2" t="n">
        <v>43228.73755787037</v>
      </c>
      <c r="C1155" t="n">
        <v>0</v>
      </c>
      <c r="D1155" t="n">
        <v>9</v>
      </c>
      <c r="E1155" t="s">
        <v>1161</v>
      </c>
      <c r="F1155">
        <f>HYPERLINK("http://pbs.twimg.com/media/DcsNmriUwAA5Hol.jpg", "http://pbs.twimg.com/media/DcsNmriUwAA5Hol.jpg")</f>
        <v/>
      </c>
      <c r="G1155" t="s"/>
      <c r="H1155" t="s"/>
      <c r="I1155" t="s"/>
      <c r="J1155" t="n">
        <v>-0.6908</v>
      </c>
      <c r="K1155" t="n">
        <v>0.289</v>
      </c>
      <c r="L1155" t="n">
        <v>0.711</v>
      </c>
      <c r="M1155" t="n">
        <v>0</v>
      </c>
    </row>
    <row r="1156" spans="1:13">
      <c r="A1156" s="1">
        <f>HYPERLINK("http://www.twitter.com/NathanBLawrence/status/993908879066050560", "993908879066050560")</f>
        <v/>
      </c>
      <c r="B1156" s="2" t="n">
        <v>43228.73746527778</v>
      </c>
      <c r="C1156" t="n">
        <v>0</v>
      </c>
      <c r="D1156" t="n">
        <v>19</v>
      </c>
      <c r="E1156" t="s">
        <v>1162</v>
      </c>
      <c r="F1156">
        <f>HYPERLINK("http://pbs.twimg.com/media/DcsMBBGX4AEcOgk.jpg", "http://pbs.twimg.com/media/DcsMBBGX4AEcOgk.jpg")</f>
        <v/>
      </c>
      <c r="G1156" t="s"/>
      <c r="H1156" t="s"/>
      <c r="I1156" t="s"/>
      <c r="J1156" t="n">
        <v>0.6597</v>
      </c>
      <c r="K1156" t="n">
        <v>0</v>
      </c>
      <c r="L1156" t="n">
        <v>0.759</v>
      </c>
      <c r="M1156" t="n">
        <v>0.241</v>
      </c>
    </row>
    <row r="1157" spans="1:13">
      <c r="A1157" s="1">
        <f>HYPERLINK("http://www.twitter.com/NathanBLawrence/status/993892217935794176", "993892217935794176")</f>
        <v/>
      </c>
      <c r="B1157" s="2" t="n">
        <v>43228.69149305556</v>
      </c>
      <c r="C1157" t="n">
        <v>0</v>
      </c>
      <c r="D1157" t="n">
        <v>11</v>
      </c>
      <c r="E1157" t="s">
        <v>1163</v>
      </c>
      <c r="F1157">
        <f>HYPERLINK("http://pbs.twimg.com/media/DcrMiLFU8AY3Ypa.jpg", "http://pbs.twimg.com/media/DcrMiLFU8AY3Ypa.jpg")</f>
        <v/>
      </c>
      <c r="G1157" t="s"/>
      <c r="H1157" t="s"/>
      <c r="I1157" t="s"/>
      <c r="J1157" t="n">
        <v>-0.1531</v>
      </c>
      <c r="K1157" t="n">
        <v>0.098</v>
      </c>
      <c r="L1157" t="n">
        <v>0.827</v>
      </c>
      <c r="M1157" t="n">
        <v>0.075</v>
      </c>
    </row>
    <row r="1158" spans="1:13">
      <c r="A1158" s="1">
        <f>HYPERLINK("http://www.twitter.com/NathanBLawrence/status/993892194363871233", "993892194363871233")</f>
        <v/>
      </c>
      <c r="B1158" s="2" t="n">
        <v>43228.69142361111</v>
      </c>
      <c r="C1158" t="n">
        <v>0</v>
      </c>
      <c r="D1158" t="n">
        <v>13</v>
      </c>
      <c r="E1158" t="s">
        <v>1164</v>
      </c>
      <c r="F1158">
        <f>HYPERLINK("http://pbs.twimg.com/media/DcroDbPW4AEoFoK.jpg", "http://pbs.twimg.com/media/DcroDbPW4AEoFoK.jpg")</f>
        <v/>
      </c>
      <c r="G1158" t="s"/>
      <c r="H1158" t="s"/>
      <c r="I1158" t="s"/>
      <c r="J1158" t="n">
        <v>0</v>
      </c>
      <c r="K1158" t="n">
        <v>0</v>
      </c>
      <c r="L1158" t="n">
        <v>1</v>
      </c>
      <c r="M1158" t="n">
        <v>0</v>
      </c>
    </row>
    <row r="1159" spans="1:13">
      <c r="A1159" s="1">
        <f>HYPERLINK("http://www.twitter.com/NathanBLawrence/status/993892166438187008", "993892166438187008")</f>
        <v/>
      </c>
      <c r="B1159" s="2" t="n">
        <v>43228.6913425926</v>
      </c>
      <c r="C1159" t="n">
        <v>0</v>
      </c>
      <c r="D1159" t="n">
        <v>16</v>
      </c>
      <c r="E1159" t="s">
        <v>1165</v>
      </c>
      <c r="F1159" t="s"/>
      <c r="G1159" t="s"/>
      <c r="H1159" t="s"/>
      <c r="I1159" t="s"/>
      <c r="J1159" t="n">
        <v>0.6553</v>
      </c>
      <c r="K1159" t="n">
        <v>0</v>
      </c>
      <c r="L1159" t="n">
        <v>0.789</v>
      </c>
      <c r="M1159" t="n">
        <v>0.211</v>
      </c>
    </row>
    <row r="1160" spans="1:13">
      <c r="A1160" s="1">
        <f>HYPERLINK("http://www.twitter.com/NathanBLawrence/status/993892094480613377", "993892094480613377")</f>
        <v/>
      </c>
      <c r="B1160" s="2" t="n">
        <v>43228.69114583333</v>
      </c>
      <c r="C1160" t="n">
        <v>0</v>
      </c>
      <c r="D1160" t="n">
        <v>3</v>
      </c>
      <c r="E1160" t="s">
        <v>1166</v>
      </c>
      <c r="F1160">
        <f>HYPERLINK("http://pbs.twimg.com/media/DcsBCxnW0AAj4lu.jpg", "http://pbs.twimg.com/media/DcsBCxnW0AAj4lu.jpg")</f>
        <v/>
      </c>
      <c r="G1160" t="s"/>
      <c r="H1160" t="s"/>
      <c r="I1160" t="s"/>
      <c r="J1160" t="n">
        <v>-0.8568</v>
      </c>
      <c r="K1160" t="n">
        <v>0.345</v>
      </c>
      <c r="L1160" t="n">
        <v>0.655</v>
      </c>
      <c r="M1160" t="n">
        <v>0</v>
      </c>
    </row>
    <row r="1161" spans="1:13">
      <c r="A1161" s="1">
        <f>HYPERLINK("http://www.twitter.com/NathanBLawrence/status/993881189843980289", "993881189843980289")</f>
        <v/>
      </c>
      <c r="B1161" s="2" t="n">
        <v>43228.66105324074</v>
      </c>
      <c r="C1161" t="n">
        <v>0</v>
      </c>
      <c r="D1161" t="n">
        <v>13</v>
      </c>
      <c r="E1161" t="s">
        <v>1167</v>
      </c>
      <c r="F1161" t="s"/>
      <c r="G1161" t="s"/>
      <c r="H1161" t="s"/>
      <c r="I1161" t="s"/>
      <c r="J1161" t="n">
        <v>0</v>
      </c>
      <c r="K1161" t="n">
        <v>0</v>
      </c>
      <c r="L1161" t="n">
        <v>1</v>
      </c>
      <c r="M1161" t="n">
        <v>0</v>
      </c>
    </row>
    <row r="1162" spans="1:13">
      <c r="A1162" s="1">
        <f>HYPERLINK("http://www.twitter.com/NathanBLawrence/status/993881174085947393", "993881174085947393")</f>
        <v/>
      </c>
      <c r="B1162" s="2" t="n">
        <v>43228.66100694444</v>
      </c>
      <c r="C1162" t="n">
        <v>0</v>
      </c>
      <c r="D1162" t="n">
        <v>6</v>
      </c>
      <c r="E1162" t="s">
        <v>1168</v>
      </c>
      <c r="F1162">
        <f>HYPERLINK("http://pbs.twimg.com/media/DcnsUenW0AEMrtz.jpg", "http://pbs.twimg.com/media/DcnsUenW0AEMrtz.jpg")</f>
        <v/>
      </c>
      <c r="G1162" t="s"/>
      <c r="H1162" t="s"/>
      <c r="I1162" t="s"/>
      <c r="J1162" t="n">
        <v>0</v>
      </c>
      <c r="K1162" t="n">
        <v>0</v>
      </c>
      <c r="L1162" t="n">
        <v>1</v>
      </c>
      <c r="M1162" t="n">
        <v>0</v>
      </c>
    </row>
    <row r="1163" spans="1:13">
      <c r="A1163" s="1">
        <f>HYPERLINK("http://www.twitter.com/NathanBLawrence/status/993881134139367424", "993881134139367424")</f>
        <v/>
      </c>
      <c r="B1163" s="2" t="n">
        <v>43228.66090277778</v>
      </c>
      <c r="C1163" t="n">
        <v>0</v>
      </c>
      <c r="D1163" t="n">
        <v>8</v>
      </c>
      <c r="E1163" t="s">
        <v>1169</v>
      </c>
      <c r="F1163">
        <f>HYPERLINK("http://pbs.twimg.com/media/DcrEzpoV4AEo53F.jpg", "http://pbs.twimg.com/media/DcrEzpoV4AEo53F.jpg")</f>
        <v/>
      </c>
      <c r="G1163" t="s"/>
      <c r="H1163" t="s"/>
      <c r="I1163" t="s"/>
      <c r="J1163" t="n">
        <v>-0.9153</v>
      </c>
      <c r="K1163" t="n">
        <v>0.416</v>
      </c>
      <c r="L1163" t="n">
        <v>0.584</v>
      </c>
      <c r="M1163" t="n">
        <v>0</v>
      </c>
    </row>
    <row r="1164" spans="1:13">
      <c r="A1164" s="1">
        <f>HYPERLINK("http://www.twitter.com/NathanBLawrence/status/993873467081723904", "993873467081723904")</f>
        <v/>
      </c>
      <c r="B1164" s="2" t="n">
        <v>43228.63974537037</v>
      </c>
      <c r="C1164" t="n">
        <v>0</v>
      </c>
      <c r="D1164" t="n">
        <v>13</v>
      </c>
      <c r="E1164" t="s">
        <v>1170</v>
      </c>
      <c r="F1164">
        <f>HYPERLINK("http://pbs.twimg.com/media/DcntJaIWAAAnbAr.jpg", "http://pbs.twimg.com/media/DcntJaIWAAAnbAr.jpg")</f>
        <v/>
      </c>
      <c r="G1164" t="s"/>
      <c r="H1164" t="s"/>
      <c r="I1164" t="s"/>
      <c r="J1164" t="n">
        <v>0</v>
      </c>
      <c r="K1164" t="n">
        <v>0</v>
      </c>
      <c r="L1164" t="n">
        <v>1</v>
      </c>
      <c r="M1164" t="n">
        <v>0</v>
      </c>
    </row>
    <row r="1165" spans="1:13">
      <c r="A1165" s="1">
        <f>HYPERLINK("http://www.twitter.com/NathanBLawrence/status/993871043940044801", "993871043940044801")</f>
        <v/>
      </c>
      <c r="B1165" s="2" t="n">
        <v>43228.63305555555</v>
      </c>
      <c r="C1165" t="n">
        <v>0</v>
      </c>
      <c r="D1165" t="n">
        <v>24</v>
      </c>
      <c r="E1165" t="s">
        <v>1171</v>
      </c>
      <c r="F1165">
        <f>HYPERLINK("http://pbs.twimg.com/media/DcruEZmWkAElq61.jpg", "http://pbs.twimg.com/media/DcruEZmWkAElq61.jpg")</f>
        <v/>
      </c>
      <c r="G1165" t="s"/>
      <c r="H1165" t="s"/>
      <c r="I1165" t="s"/>
      <c r="J1165" t="n">
        <v>0</v>
      </c>
      <c r="K1165" t="n">
        <v>0</v>
      </c>
      <c r="L1165" t="n">
        <v>1</v>
      </c>
      <c r="M1165" t="n">
        <v>0</v>
      </c>
    </row>
    <row r="1166" spans="1:13">
      <c r="A1166" s="1">
        <f>HYPERLINK("http://www.twitter.com/NathanBLawrence/status/993870694026014721", "993870694026014721")</f>
        <v/>
      </c>
      <c r="B1166" s="2" t="n">
        <v>43228.63209490741</v>
      </c>
      <c r="C1166" t="n">
        <v>0</v>
      </c>
      <c r="D1166" t="n">
        <v>0</v>
      </c>
      <c r="E1166" t="s">
        <v>1172</v>
      </c>
      <c r="F1166" t="s"/>
      <c r="G1166" t="s"/>
      <c r="H1166" t="s"/>
      <c r="I1166" t="s"/>
      <c r="J1166" t="n">
        <v>0</v>
      </c>
      <c r="K1166" t="n">
        <v>0</v>
      </c>
      <c r="L1166" t="n">
        <v>1</v>
      </c>
      <c r="M1166" t="n">
        <v>0</v>
      </c>
    </row>
    <row r="1167" spans="1:13">
      <c r="A1167" s="1">
        <f>HYPERLINK("http://www.twitter.com/NathanBLawrence/status/993724519805325313", "993724519805325313")</f>
        <v/>
      </c>
      <c r="B1167" s="2" t="n">
        <v>43228.22872685185</v>
      </c>
      <c r="C1167" t="n">
        <v>0</v>
      </c>
      <c r="D1167" t="n">
        <v>2774</v>
      </c>
      <c r="E1167" t="s">
        <v>1173</v>
      </c>
      <c r="F1167" t="s"/>
      <c r="G1167" t="s"/>
      <c r="H1167" t="s"/>
      <c r="I1167" t="s"/>
      <c r="J1167" t="n">
        <v>0</v>
      </c>
      <c r="K1167" t="n">
        <v>0</v>
      </c>
      <c r="L1167" t="n">
        <v>1</v>
      </c>
      <c r="M1167" t="n">
        <v>0</v>
      </c>
    </row>
    <row r="1168" spans="1:13">
      <c r="A1168" s="1">
        <f>HYPERLINK("http://www.twitter.com/NathanBLawrence/status/993724447147413504", "993724447147413504")</f>
        <v/>
      </c>
      <c r="B1168" s="2" t="n">
        <v>43228.22853009259</v>
      </c>
      <c r="C1168" t="n">
        <v>0</v>
      </c>
      <c r="D1168" t="n">
        <v>1063</v>
      </c>
      <c r="E1168" t="s">
        <v>1174</v>
      </c>
      <c r="F1168" t="s"/>
      <c r="G1168" t="s"/>
      <c r="H1168" t="s"/>
      <c r="I1168" t="s"/>
      <c r="J1168" t="n">
        <v>-0.4019</v>
      </c>
      <c r="K1168" t="n">
        <v>0.144</v>
      </c>
      <c r="L1168" t="n">
        <v>0.856</v>
      </c>
      <c r="M1168" t="n">
        <v>0</v>
      </c>
    </row>
    <row r="1169" spans="1:13">
      <c r="A1169" s="1">
        <f>HYPERLINK("http://www.twitter.com/NathanBLawrence/status/993724435659218944", "993724435659218944")</f>
        <v/>
      </c>
      <c r="B1169" s="2" t="n">
        <v>43228.22849537037</v>
      </c>
      <c r="C1169" t="n">
        <v>0</v>
      </c>
      <c r="D1169" t="n">
        <v>27260</v>
      </c>
      <c r="E1169" t="s">
        <v>1175</v>
      </c>
      <c r="F1169" t="s"/>
      <c r="G1169" t="s"/>
      <c r="H1169" t="s"/>
      <c r="I1169" t="s"/>
      <c r="J1169" t="n">
        <v>0</v>
      </c>
      <c r="K1169" t="n">
        <v>0</v>
      </c>
      <c r="L1169" t="n">
        <v>1</v>
      </c>
      <c r="M1169" t="n">
        <v>0</v>
      </c>
    </row>
    <row r="1170" spans="1:13">
      <c r="A1170" s="1">
        <f>HYPERLINK("http://www.twitter.com/NathanBLawrence/status/993718573137907712", "993718573137907712")</f>
        <v/>
      </c>
      <c r="B1170" s="2" t="n">
        <v>43228.21231481482</v>
      </c>
      <c r="C1170" t="n">
        <v>0</v>
      </c>
      <c r="D1170" t="n">
        <v>0</v>
      </c>
      <c r="E1170" t="s">
        <v>1176</v>
      </c>
      <c r="F1170" t="s"/>
      <c r="G1170" t="s"/>
      <c r="H1170" t="s"/>
      <c r="I1170" t="s"/>
      <c r="J1170" t="n">
        <v>0.3691</v>
      </c>
      <c r="K1170" t="n">
        <v>0.115</v>
      </c>
      <c r="L1170" t="n">
        <v>0.725</v>
      </c>
      <c r="M1170" t="n">
        <v>0.16</v>
      </c>
    </row>
    <row r="1171" spans="1:13">
      <c r="A1171" s="1">
        <f>HYPERLINK("http://www.twitter.com/NathanBLawrence/status/993718316459061248", "993718316459061248")</f>
        <v/>
      </c>
      <c r="B1171" s="2" t="n">
        <v>43228.21160879629</v>
      </c>
      <c r="C1171" t="n">
        <v>0</v>
      </c>
      <c r="D1171" t="n">
        <v>0</v>
      </c>
      <c r="E1171" t="s">
        <v>1177</v>
      </c>
      <c r="F1171" t="s"/>
      <c r="G1171" t="s"/>
      <c r="H1171" t="s"/>
      <c r="I1171" t="s"/>
      <c r="J1171" t="n">
        <v>0.2263</v>
      </c>
      <c r="K1171" t="n">
        <v>0.08799999999999999</v>
      </c>
      <c r="L1171" t="n">
        <v>0.8070000000000001</v>
      </c>
      <c r="M1171" t="n">
        <v>0.105</v>
      </c>
    </row>
    <row r="1172" spans="1:13">
      <c r="A1172" s="1">
        <f>HYPERLINK("http://www.twitter.com/NathanBLawrence/status/993717900610596864", "993717900610596864")</f>
        <v/>
      </c>
      <c r="B1172" s="2" t="n">
        <v>43228.21046296296</v>
      </c>
      <c r="C1172" t="n">
        <v>0</v>
      </c>
      <c r="D1172" t="n">
        <v>0</v>
      </c>
      <c r="E1172" t="s">
        <v>1178</v>
      </c>
      <c r="F1172" t="s"/>
      <c r="G1172" t="s"/>
      <c r="H1172" t="s"/>
      <c r="I1172" t="s"/>
      <c r="J1172" t="n">
        <v>-0.6705</v>
      </c>
      <c r="K1172" t="n">
        <v>0.252</v>
      </c>
      <c r="L1172" t="n">
        <v>0.671</v>
      </c>
      <c r="M1172" t="n">
        <v>0.077</v>
      </c>
    </row>
    <row r="1173" spans="1:13">
      <c r="A1173" s="1">
        <f>HYPERLINK("http://www.twitter.com/NathanBLawrence/status/993717675904860160", "993717675904860160")</f>
        <v/>
      </c>
      <c r="B1173" s="2" t="n">
        <v>43228.20983796296</v>
      </c>
      <c r="C1173" t="n">
        <v>0</v>
      </c>
      <c r="D1173" t="n">
        <v>0</v>
      </c>
      <c r="E1173" t="s">
        <v>1179</v>
      </c>
      <c r="F1173" t="s"/>
      <c r="G1173" t="s"/>
      <c r="H1173" t="s"/>
      <c r="I1173" t="s"/>
      <c r="J1173" t="n">
        <v>0.3954</v>
      </c>
      <c r="K1173" t="n">
        <v>0.083</v>
      </c>
      <c r="L1173" t="n">
        <v>0.783</v>
      </c>
      <c r="M1173" t="n">
        <v>0.134</v>
      </c>
    </row>
    <row r="1174" spans="1:13">
      <c r="A1174" s="1">
        <f>HYPERLINK("http://www.twitter.com/NathanBLawrence/status/993717249595904000", "993717249595904000")</f>
        <v/>
      </c>
      <c r="B1174" s="2" t="n">
        <v>43228.20866898148</v>
      </c>
      <c r="C1174" t="n">
        <v>0</v>
      </c>
      <c r="D1174" t="n">
        <v>0</v>
      </c>
      <c r="E1174" t="s">
        <v>1180</v>
      </c>
      <c r="F1174" t="s"/>
      <c r="G1174" t="s"/>
      <c r="H1174" t="s"/>
      <c r="I1174" t="s"/>
      <c r="J1174" t="n">
        <v>-0.3382</v>
      </c>
      <c r="K1174" t="n">
        <v>0.044</v>
      </c>
      <c r="L1174" t="n">
        <v>0.956</v>
      </c>
      <c r="M1174" t="n">
        <v>0</v>
      </c>
    </row>
    <row r="1175" spans="1:13">
      <c r="A1175" s="1">
        <f>HYPERLINK("http://www.twitter.com/NathanBLawrence/status/993716892081717249", "993716892081717249")</f>
        <v/>
      </c>
      <c r="B1175" s="2" t="n">
        <v>43228.20768518518</v>
      </c>
      <c r="C1175" t="n">
        <v>0</v>
      </c>
      <c r="D1175" t="n">
        <v>0</v>
      </c>
      <c r="E1175" t="s">
        <v>1181</v>
      </c>
      <c r="F1175" t="s"/>
      <c r="G1175" t="s"/>
      <c r="H1175" t="s"/>
      <c r="I1175" t="s"/>
      <c r="J1175" t="n">
        <v>-0.5622</v>
      </c>
      <c r="K1175" t="n">
        <v>0.29</v>
      </c>
      <c r="L1175" t="n">
        <v>0.555</v>
      </c>
      <c r="M1175" t="n">
        <v>0.155</v>
      </c>
    </row>
    <row r="1176" spans="1:13">
      <c r="A1176" s="1">
        <f>HYPERLINK("http://www.twitter.com/NathanBLawrence/status/993716681427087370", "993716681427087370")</f>
        <v/>
      </c>
      <c r="B1176" s="2" t="n">
        <v>43228.2070949074</v>
      </c>
      <c r="C1176" t="n">
        <v>0</v>
      </c>
      <c r="D1176" t="n">
        <v>0</v>
      </c>
      <c r="E1176" t="s">
        <v>1182</v>
      </c>
      <c r="F1176" t="s"/>
      <c r="G1176" t="s"/>
      <c r="H1176" t="s"/>
      <c r="I1176" t="s"/>
      <c r="J1176" t="n">
        <v>0.7848000000000001</v>
      </c>
      <c r="K1176" t="n">
        <v>0.035</v>
      </c>
      <c r="L1176" t="n">
        <v>0.8149999999999999</v>
      </c>
      <c r="M1176" t="n">
        <v>0.15</v>
      </c>
    </row>
    <row r="1177" spans="1:13">
      <c r="A1177" s="1">
        <f>HYPERLINK("http://www.twitter.com/NathanBLawrence/status/993716371132436480", "993716371132436480")</f>
        <v/>
      </c>
      <c r="B1177" s="2" t="n">
        <v>43228.20623842593</v>
      </c>
      <c r="C1177" t="n">
        <v>0</v>
      </c>
      <c r="D1177" t="n">
        <v>0</v>
      </c>
      <c r="E1177" t="s">
        <v>1183</v>
      </c>
      <c r="F1177" t="s"/>
      <c r="G1177" t="s"/>
      <c r="H1177" t="s"/>
      <c r="I1177" t="s"/>
      <c r="J1177" t="n">
        <v>-0.68</v>
      </c>
      <c r="K1177" t="n">
        <v>0.125</v>
      </c>
      <c r="L1177" t="n">
        <v>0.875</v>
      </c>
      <c r="M1177" t="n">
        <v>0</v>
      </c>
    </row>
    <row r="1178" spans="1:13">
      <c r="A1178" s="1">
        <f>HYPERLINK("http://www.twitter.com/NathanBLawrence/status/993716235153047552", "993716235153047552")</f>
        <v/>
      </c>
      <c r="B1178" s="2" t="n">
        <v>43228.20586805556</v>
      </c>
      <c r="C1178" t="n">
        <v>0</v>
      </c>
      <c r="D1178" t="n">
        <v>0</v>
      </c>
      <c r="E1178" t="s">
        <v>1184</v>
      </c>
      <c r="F1178" t="s"/>
      <c r="G1178" t="s"/>
      <c r="H1178" t="s"/>
      <c r="I1178" t="s"/>
      <c r="J1178" t="n">
        <v>-0.09429999999999999</v>
      </c>
      <c r="K1178" t="n">
        <v>0.097</v>
      </c>
      <c r="L1178" t="n">
        <v>0.8120000000000001</v>
      </c>
      <c r="M1178" t="n">
        <v>0.091</v>
      </c>
    </row>
    <row r="1179" spans="1:13">
      <c r="A1179" s="1">
        <f>HYPERLINK("http://www.twitter.com/NathanBLawrence/status/993715335772721155", "993715335772721155")</f>
        <v/>
      </c>
      <c r="B1179" s="2" t="n">
        <v>43228.2033912037</v>
      </c>
      <c r="C1179" t="n">
        <v>0</v>
      </c>
      <c r="D1179" t="n">
        <v>0</v>
      </c>
      <c r="E1179" t="s">
        <v>1185</v>
      </c>
      <c r="F1179" t="s"/>
      <c r="G1179" t="s"/>
      <c r="H1179" t="s"/>
      <c r="I1179" t="s"/>
      <c r="J1179" t="n">
        <v>0.743</v>
      </c>
      <c r="K1179" t="n">
        <v>0</v>
      </c>
      <c r="L1179" t="n">
        <v>0.858</v>
      </c>
      <c r="M1179" t="n">
        <v>0.142</v>
      </c>
    </row>
    <row r="1180" spans="1:13">
      <c r="A1180" s="1">
        <f>HYPERLINK("http://www.twitter.com/NathanBLawrence/status/993715159163199488", "993715159163199488")</f>
        <v/>
      </c>
      <c r="B1180" s="2" t="n">
        <v>43228.20289351852</v>
      </c>
      <c r="C1180" t="n">
        <v>0</v>
      </c>
      <c r="D1180" t="n">
        <v>0</v>
      </c>
      <c r="E1180" t="s">
        <v>1186</v>
      </c>
      <c r="F1180" t="s"/>
      <c r="G1180" t="s"/>
      <c r="H1180" t="s"/>
      <c r="I1180" t="s"/>
      <c r="J1180" t="n">
        <v>0.1536</v>
      </c>
      <c r="K1180" t="n">
        <v>0.056</v>
      </c>
      <c r="L1180" t="n">
        <v>0.861</v>
      </c>
      <c r="M1180" t="n">
        <v>0.083</v>
      </c>
    </row>
    <row r="1181" spans="1:13">
      <c r="A1181" s="1">
        <f>HYPERLINK("http://www.twitter.com/NathanBLawrence/status/993714479467847680", "993714479467847680")</f>
        <v/>
      </c>
      <c r="B1181" s="2" t="n">
        <v>43228.20101851852</v>
      </c>
      <c r="C1181" t="n">
        <v>1</v>
      </c>
      <c r="D1181" t="n">
        <v>1</v>
      </c>
      <c r="E1181" t="s">
        <v>1187</v>
      </c>
      <c r="F1181" t="s"/>
      <c r="G1181" t="s"/>
      <c r="H1181" t="s"/>
      <c r="I1181" t="s"/>
      <c r="J1181" t="n">
        <v>-0.9161</v>
      </c>
      <c r="K1181" t="n">
        <v>0.195</v>
      </c>
      <c r="L1181" t="n">
        <v>0.805</v>
      </c>
      <c r="M1181" t="n">
        <v>0</v>
      </c>
    </row>
    <row r="1182" spans="1:13">
      <c r="A1182" s="1">
        <f>HYPERLINK("http://www.twitter.com/NathanBLawrence/status/993713309542240256", "993713309542240256")</f>
        <v/>
      </c>
      <c r="B1182" s="2" t="n">
        <v>43228.19778935185</v>
      </c>
      <c r="C1182" t="n">
        <v>0</v>
      </c>
      <c r="D1182" t="n">
        <v>0</v>
      </c>
      <c r="E1182" t="s">
        <v>1188</v>
      </c>
      <c r="F1182" t="s"/>
      <c r="G1182" t="s"/>
      <c r="H1182" t="s"/>
      <c r="I1182" t="s"/>
      <c r="J1182" t="n">
        <v>-0.9026999999999999</v>
      </c>
      <c r="K1182" t="n">
        <v>0.216</v>
      </c>
      <c r="L1182" t="n">
        <v>0.755</v>
      </c>
      <c r="M1182" t="n">
        <v>0.029</v>
      </c>
    </row>
    <row r="1183" spans="1:13">
      <c r="A1183" s="1">
        <f>HYPERLINK("http://www.twitter.com/NathanBLawrence/status/993712809375686656", "993712809375686656")</f>
        <v/>
      </c>
      <c r="B1183" s="2" t="n">
        <v>43228.19641203704</v>
      </c>
      <c r="C1183" t="n">
        <v>0</v>
      </c>
      <c r="D1183" t="n">
        <v>0</v>
      </c>
      <c r="E1183" t="s">
        <v>1189</v>
      </c>
      <c r="F1183" t="s"/>
      <c r="G1183" t="s"/>
      <c r="H1183" t="s"/>
      <c r="I1183" t="s"/>
      <c r="J1183" t="n">
        <v>-0.7003</v>
      </c>
      <c r="K1183" t="n">
        <v>0.121</v>
      </c>
      <c r="L1183" t="n">
        <v>0.879</v>
      </c>
      <c r="M1183" t="n">
        <v>0</v>
      </c>
    </row>
    <row r="1184" spans="1:13">
      <c r="A1184" s="1">
        <f>HYPERLINK("http://www.twitter.com/NathanBLawrence/status/993712183124070400", "993712183124070400")</f>
        <v/>
      </c>
      <c r="B1184" s="2" t="n">
        <v>43228.1946875</v>
      </c>
      <c r="C1184" t="n">
        <v>1</v>
      </c>
      <c r="D1184" t="n">
        <v>1</v>
      </c>
      <c r="E1184" t="s">
        <v>1190</v>
      </c>
      <c r="F1184" t="s"/>
      <c r="G1184" t="s"/>
      <c r="H1184" t="s"/>
      <c r="I1184" t="s"/>
      <c r="J1184" t="n">
        <v>-0.3818</v>
      </c>
      <c r="K1184" t="n">
        <v>0.065</v>
      </c>
      <c r="L1184" t="n">
        <v>0.9350000000000001</v>
      </c>
      <c r="M1184" t="n">
        <v>0</v>
      </c>
    </row>
    <row r="1185" spans="1:13">
      <c r="A1185" s="1">
        <f>HYPERLINK("http://www.twitter.com/NathanBLawrence/status/993711658412503041", "993711658412503041")</f>
        <v/>
      </c>
      <c r="B1185" s="2" t="n">
        <v>43228.19324074074</v>
      </c>
      <c r="C1185" t="n">
        <v>0</v>
      </c>
      <c r="D1185" t="n">
        <v>0</v>
      </c>
      <c r="E1185" t="s">
        <v>1191</v>
      </c>
      <c r="F1185" t="s"/>
      <c r="G1185" t="s"/>
      <c r="H1185" t="s"/>
      <c r="I1185" t="s"/>
      <c r="J1185" t="n">
        <v>0</v>
      </c>
      <c r="K1185" t="n">
        <v>0</v>
      </c>
      <c r="L1185" t="n">
        <v>1</v>
      </c>
      <c r="M1185" t="n">
        <v>0</v>
      </c>
    </row>
    <row r="1186" spans="1:13">
      <c r="A1186" s="1">
        <f>HYPERLINK("http://www.twitter.com/NathanBLawrence/status/993711325216952320", "993711325216952320")</f>
        <v/>
      </c>
      <c r="B1186" s="2" t="n">
        <v>43228.19231481481</v>
      </c>
      <c r="C1186" t="n">
        <v>0</v>
      </c>
      <c r="D1186" t="n">
        <v>0</v>
      </c>
      <c r="E1186" t="s">
        <v>1192</v>
      </c>
      <c r="F1186" t="s"/>
      <c r="G1186" t="s"/>
      <c r="H1186" t="s"/>
      <c r="I1186" t="s"/>
      <c r="J1186" t="n">
        <v>-0.8979</v>
      </c>
      <c r="K1186" t="n">
        <v>0.282</v>
      </c>
      <c r="L1186" t="n">
        <v>0.643</v>
      </c>
      <c r="M1186" t="n">
        <v>0.075</v>
      </c>
    </row>
    <row r="1187" spans="1:13">
      <c r="A1187" s="1">
        <f>HYPERLINK("http://www.twitter.com/NathanBLawrence/status/993711001441914880", "993711001441914880")</f>
        <v/>
      </c>
      <c r="B1187" s="2" t="n">
        <v>43228.19142361111</v>
      </c>
      <c r="C1187" t="n">
        <v>0</v>
      </c>
      <c r="D1187" t="n">
        <v>0</v>
      </c>
      <c r="E1187" t="s">
        <v>1193</v>
      </c>
      <c r="F1187" t="s"/>
      <c r="G1187" t="s"/>
      <c r="H1187" t="s"/>
      <c r="I1187" t="s"/>
      <c r="J1187" t="n">
        <v>-0.4144</v>
      </c>
      <c r="K1187" t="n">
        <v>0.095</v>
      </c>
      <c r="L1187" t="n">
        <v>0.823</v>
      </c>
      <c r="M1187" t="n">
        <v>0.082</v>
      </c>
    </row>
    <row r="1188" spans="1:13">
      <c r="A1188" s="1">
        <f>HYPERLINK("http://www.twitter.com/NathanBLawrence/status/993710488952418304", "993710488952418304")</f>
        <v/>
      </c>
      <c r="B1188" s="2" t="n">
        <v>43228.19001157407</v>
      </c>
      <c r="C1188" t="n">
        <v>0</v>
      </c>
      <c r="D1188" t="n">
        <v>0</v>
      </c>
      <c r="E1188" t="s">
        <v>1194</v>
      </c>
      <c r="F1188" t="s"/>
      <c r="G1188" t="s"/>
      <c r="H1188" t="s"/>
      <c r="I1188" t="s"/>
      <c r="J1188" t="n">
        <v>0</v>
      </c>
      <c r="K1188" t="n">
        <v>0</v>
      </c>
      <c r="L1188" t="n">
        <v>1</v>
      </c>
      <c r="M1188" t="n">
        <v>0</v>
      </c>
    </row>
    <row r="1189" spans="1:13">
      <c r="A1189" s="1">
        <f>HYPERLINK("http://www.twitter.com/NathanBLawrence/status/993710455167377408", "993710455167377408")</f>
        <v/>
      </c>
      <c r="B1189" s="2" t="n">
        <v>43228.18991898148</v>
      </c>
      <c r="C1189" t="n">
        <v>1</v>
      </c>
      <c r="D1189" t="n">
        <v>1</v>
      </c>
      <c r="E1189" t="s">
        <v>1195</v>
      </c>
      <c r="F1189" t="s"/>
      <c r="G1189" t="s"/>
      <c r="H1189" t="s"/>
      <c r="I1189" t="s"/>
      <c r="J1189" t="n">
        <v>-0.4767</v>
      </c>
      <c r="K1189" t="n">
        <v>0.074</v>
      </c>
      <c r="L1189" t="n">
        <v>0.886</v>
      </c>
      <c r="M1189" t="n">
        <v>0.04</v>
      </c>
    </row>
    <row r="1190" spans="1:13">
      <c r="A1190" s="1">
        <f>HYPERLINK("http://www.twitter.com/NathanBLawrence/status/993710031790108672", "993710031790108672")</f>
        <v/>
      </c>
      <c r="B1190" s="2" t="n">
        <v>43228.18875</v>
      </c>
      <c r="C1190" t="n">
        <v>1</v>
      </c>
      <c r="D1190" t="n">
        <v>1</v>
      </c>
      <c r="E1190" t="s">
        <v>1196</v>
      </c>
      <c r="F1190" t="s"/>
      <c r="G1190" t="s"/>
      <c r="H1190" t="s"/>
      <c r="I1190" t="s"/>
      <c r="J1190" t="n">
        <v>0.9092</v>
      </c>
      <c r="K1190" t="n">
        <v>0</v>
      </c>
      <c r="L1190" t="n">
        <v>0.787</v>
      </c>
      <c r="M1190" t="n">
        <v>0.213</v>
      </c>
    </row>
    <row r="1191" spans="1:13">
      <c r="A1191" s="1">
        <f>HYPERLINK("http://www.twitter.com/NathanBLawrence/status/993709439877369856", "993709439877369856")</f>
        <v/>
      </c>
      <c r="B1191" s="2" t="n">
        <v>43228.18711805555</v>
      </c>
      <c r="C1191" t="n">
        <v>0</v>
      </c>
      <c r="D1191" t="n">
        <v>0</v>
      </c>
      <c r="E1191" t="s">
        <v>1197</v>
      </c>
      <c r="F1191" t="s"/>
      <c r="G1191" t="s"/>
      <c r="H1191" t="s"/>
      <c r="I1191" t="s"/>
      <c r="J1191" t="n">
        <v>-0.3182</v>
      </c>
      <c r="K1191" t="n">
        <v>0.078</v>
      </c>
      <c r="L1191" t="n">
        <v>0.922</v>
      </c>
      <c r="M1191" t="n">
        <v>0</v>
      </c>
    </row>
    <row r="1192" spans="1:13">
      <c r="A1192" s="1">
        <f>HYPERLINK("http://www.twitter.com/NathanBLawrence/status/993709264245010432", "993709264245010432")</f>
        <v/>
      </c>
      <c r="B1192" s="2" t="n">
        <v>43228.18663194445</v>
      </c>
      <c r="C1192" t="n">
        <v>0</v>
      </c>
      <c r="D1192" t="n">
        <v>0</v>
      </c>
      <c r="E1192" t="s">
        <v>1198</v>
      </c>
      <c r="F1192" t="s"/>
      <c r="G1192" t="s"/>
      <c r="H1192" t="s"/>
      <c r="I1192" t="s"/>
      <c r="J1192" t="n">
        <v>0.3818</v>
      </c>
      <c r="K1192" t="n">
        <v>0.083</v>
      </c>
      <c r="L1192" t="n">
        <v>0.793</v>
      </c>
      <c r="M1192" t="n">
        <v>0.125</v>
      </c>
    </row>
    <row r="1193" spans="1:13">
      <c r="A1193" s="1">
        <f>HYPERLINK("http://www.twitter.com/NathanBLawrence/status/993708837856333825", "993708837856333825")</f>
        <v/>
      </c>
      <c r="B1193" s="2" t="n">
        <v>43228.18545138889</v>
      </c>
      <c r="C1193" t="n">
        <v>0</v>
      </c>
      <c r="D1193" t="n">
        <v>0</v>
      </c>
      <c r="E1193" t="s">
        <v>1199</v>
      </c>
      <c r="F1193" t="s"/>
      <c r="G1193" t="s"/>
      <c r="H1193" t="s"/>
      <c r="I1193" t="s"/>
      <c r="J1193" t="n">
        <v>-0.5023</v>
      </c>
      <c r="K1193" t="n">
        <v>0.105</v>
      </c>
      <c r="L1193" t="n">
        <v>0.895</v>
      </c>
      <c r="M1193" t="n">
        <v>0</v>
      </c>
    </row>
    <row r="1194" spans="1:13">
      <c r="A1194" s="1">
        <f>HYPERLINK("http://www.twitter.com/NathanBLawrence/status/993708347449860096", "993708347449860096")</f>
        <v/>
      </c>
      <c r="B1194" s="2" t="n">
        <v>43228.18409722222</v>
      </c>
      <c r="C1194" t="n">
        <v>0</v>
      </c>
      <c r="D1194" t="n">
        <v>0</v>
      </c>
      <c r="E1194" t="s">
        <v>1200</v>
      </c>
      <c r="F1194" t="s"/>
      <c r="G1194" t="s"/>
      <c r="H1194" t="s"/>
      <c r="I1194" t="s"/>
      <c r="J1194" t="n">
        <v>0.8439</v>
      </c>
      <c r="K1194" t="n">
        <v>0</v>
      </c>
      <c r="L1194" t="n">
        <v>0.856</v>
      </c>
      <c r="M1194" t="n">
        <v>0.144</v>
      </c>
    </row>
    <row r="1195" spans="1:13">
      <c r="A1195" s="1">
        <f>HYPERLINK("http://www.twitter.com/NathanBLawrence/status/993707730736119808", "993707730736119808")</f>
        <v/>
      </c>
      <c r="B1195" s="2" t="n">
        <v>43228.18239583333</v>
      </c>
      <c r="C1195" t="n">
        <v>0</v>
      </c>
      <c r="D1195" t="n">
        <v>6</v>
      </c>
      <c r="E1195" t="s">
        <v>1201</v>
      </c>
      <c r="F1195" t="s"/>
      <c r="G1195" t="s"/>
      <c r="H1195" t="s"/>
      <c r="I1195" t="s"/>
      <c r="J1195" t="n">
        <v>0</v>
      </c>
      <c r="K1195" t="n">
        <v>0</v>
      </c>
      <c r="L1195" t="n">
        <v>1</v>
      </c>
      <c r="M1195" t="n">
        <v>0</v>
      </c>
    </row>
    <row r="1196" spans="1:13">
      <c r="A1196" s="1">
        <f>HYPERLINK("http://www.twitter.com/NathanBLawrence/status/993707698553319425", "993707698553319425")</f>
        <v/>
      </c>
      <c r="B1196" s="2" t="n">
        <v>43228.18231481482</v>
      </c>
      <c r="C1196" t="n">
        <v>0</v>
      </c>
      <c r="D1196" t="n">
        <v>6</v>
      </c>
      <c r="E1196" t="s">
        <v>1202</v>
      </c>
      <c r="F1196" t="s"/>
      <c r="G1196" t="s"/>
      <c r="H1196" t="s"/>
      <c r="I1196" t="s"/>
      <c r="J1196" t="n">
        <v>0</v>
      </c>
      <c r="K1196" t="n">
        <v>0</v>
      </c>
      <c r="L1196" t="n">
        <v>1</v>
      </c>
      <c r="M1196" t="n">
        <v>0</v>
      </c>
    </row>
    <row r="1197" spans="1:13">
      <c r="A1197" s="1">
        <f>HYPERLINK("http://www.twitter.com/NathanBLawrence/status/993707640424411137", "993707640424411137")</f>
        <v/>
      </c>
      <c r="B1197" s="2" t="n">
        <v>43228.18215277778</v>
      </c>
      <c r="C1197" t="n">
        <v>0</v>
      </c>
      <c r="D1197" t="n">
        <v>9</v>
      </c>
      <c r="E1197" t="s">
        <v>1203</v>
      </c>
      <c r="F1197" t="s"/>
      <c r="G1197" t="s"/>
      <c r="H1197" t="s"/>
      <c r="I1197" t="s"/>
      <c r="J1197" t="n">
        <v>0.1531</v>
      </c>
      <c r="K1197" t="n">
        <v>0.112</v>
      </c>
      <c r="L1197" t="n">
        <v>0.719</v>
      </c>
      <c r="M1197" t="n">
        <v>0.169</v>
      </c>
    </row>
    <row r="1198" spans="1:13">
      <c r="A1198" s="1">
        <f>HYPERLINK("http://www.twitter.com/NathanBLawrence/status/993707587831988224", "993707587831988224")</f>
        <v/>
      </c>
      <c r="B1198" s="2" t="n">
        <v>43228.18200231482</v>
      </c>
      <c r="C1198" t="n">
        <v>0</v>
      </c>
      <c r="D1198" t="n">
        <v>0</v>
      </c>
      <c r="E1198" t="s">
        <v>1204</v>
      </c>
      <c r="F1198" t="s"/>
      <c r="G1198" t="s"/>
      <c r="H1198" t="s"/>
      <c r="I1198" t="s"/>
      <c r="J1198" t="n">
        <v>-0.0772</v>
      </c>
      <c r="K1198" t="n">
        <v>0.12</v>
      </c>
      <c r="L1198" t="n">
        <v>0.741</v>
      </c>
      <c r="M1198" t="n">
        <v>0.14</v>
      </c>
    </row>
    <row r="1199" spans="1:13">
      <c r="A1199" s="1">
        <f>HYPERLINK("http://www.twitter.com/NathanBLawrence/status/993707347687157761", "993707347687157761")</f>
        <v/>
      </c>
      <c r="B1199" s="2" t="n">
        <v>43228.18134259259</v>
      </c>
      <c r="C1199" t="n">
        <v>0</v>
      </c>
      <c r="D1199" t="n">
        <v>6</v>
      </c>
      <c r="E1199" t="s">
        <v>1205</v>
      </c>
      <c r="F1199" t="s"/>
      <c r="G1199" t="s"/>
      <c r="H1199" t="s"/>
      <c r="I1199" t="s"/>
      <c r="J1199" t="n">
        <v>-0.7845</v>
      </c>
      <c r="K1199" t="n">
        <v>0.301</v>
      </c>
      <c r="L1199" t="n">
        <v>0.699</v>
      </c>
      <c r="M1199" t="n">
        <v>0</v>
      </c>
    </row>
    <row r="1200" spans="1:13">
      <c r="A1200" s="1">
        <f>HYPERLINK("http://www.twitter.com/NathanBLawrence/status/993707313981739008", "993707313981739008")</f>
        <v/>
      </c>
      <c r="B1200" s="2" t="n">
        <v>43228.18125</v>
      </c>
      <c r="C1200" t="n">
        <v>0</v>
      </c>
      <c r="D1200" t="n">
        <v>16</v>
      </c>
      <c r="E1200" t="s">
        <v>1206</v>
      </c>
      <c r="F1200">
        <f>HYPERLINK("http://pbs.twimg.com/media/DcpCFzdVMAAgSJn.jpg", "http://pbs.twimg.com/media/DcpCFzdVMAAgSJn.jpg")</f>
        <v/>
      </c>
      <c r="G1200" t="s"/>
      <c r="H1200" t="s"/>
      <c r="I1200" t="s"/>
      <c r="J1200" t="n">
        <v>-0.4767</v>
      </c>
      <c r="K1200" t="n">
        <v>0.193</v>
      </c>
      <c r="L1200" t="n">
        <v>0.8070000000000001</v>
      </c>
      <c r="M1200" t="n">
        <v>0</v>
      </c>
    </row>
    <row r="1201" spans="1:13">
      <c r="A1201" s="1">
        <f>HYPERLINK("http://www.twitter.com/NathanBLawrence/status/993707288060887040", "993707288060887040")</f>
        <v/>
      </c>
      <c r="B1201" s="2" t="n">
        <v>43228.18118055556</v>
      </c>
      <c r="C1201" t="n">
        <v>0</v>
      </c>
      <c r="D1201" t="n">
        <v>5</v>
      </c>
      <c r="E1201" t="s">
        <v>1207</v>
      </c>
      <c r="F1201" t="s"/>
      <c r="G1201" t="s"/>
      <c r="H1201" t="s"/>
      <c r="I1201" t="s"/>
      <c r="J1201" t="n">
        <v>-0.6369</v>
      </c>
      <c r="K1201" t="n">
        <v>0.174</v>
      </c>
      <c r="L1201" t="n">
        <v>0.826</v>
      </c>
      <c r="M1201" t="n">
        <v>0</v>
      </c>
    </row>
    <row r="1202" spans="1:13">
      <c r="A1202" s="1">
        <f>HYPERLINK("http://www.twitter.com/NathanBLawrence/status/993707273078956032", "993707273078956032")</f>
        <v/>
      </c>
      <c r="B1202" s="2" t="n">
        <v>43228.18113425926</v>
      </c>
      <c r="C1202" t="n">
        <v>0</v>
      </c>
      <c r="D1202" t="n">
        <v>8</v>
      </c>
      <c r="E1202" t="s">
        <v>1208</v>
      </c>
      <c r="F1202" t="s"/>
      <c r="G1202" t="s"/>
      <c r="H1202" t="s"/>
      <c r="I1202" t="s"/>
      <c r="J1202" t="n">
        <v>0.0387</v>
      </c>
      <c r="K1202" t="n">
        <v>0</v>
      </c>
      <c r="L1202" t="n">
        <v>0.9399999999999999</v>
      </c>
      <c r="M1202" t="n">
        <v>0.06</v>
      </c>
    </row>
    <row r="1203" spans="1:13">
      <c r="A1203" s="1">
        <f>HYPERLINK("http://www.twitter.com/NathanBLawrence/status/993707220440403968", "993707220440403968")</f>
        <v/>
      </c>
      <c r="B1203" s="2" t="n">
        <v>43228.18099537037</v>
      </c>
      <c r="C1203" t="n">
        <v>0</v>
      </c>
      <c r="D1203" t="n">
        <v>13</v>
      </c>
      <c r="E1203" t="s">
        <v>1209</v>
      </c>
      <c r="F1203" t="s"/>
      <c r="G1203" t="s"/>
      <c r="H1203" t="s"/>
      <c r="I1203" t="s"/>
      <c r="J1203" t="n">
        <v>-0.7059</v>
      </c>
      <c r="K1203" t="n">
        <v>0.246</v>
      </c>
      <c r="L1203" t="n">
        <v>0.754</v>
      </c>
      <c r="M1203" t="n">
        <v>0</v>
      </c>
    </row>
    <row r="1204" spans="1:13">
      <c r="A1204" s="1">
        <f>HYPERLINK("http://www.twitter.com/NathanBLawrence/status/993707123191230464", "993707123191230464")</f>
        <v/>
      </c>
      <c r="B1204" s="2" t="n">
        <v>43228.18072916667</v>
      </c>
      <c r="C1204" t="n">
        <v>0</v>
      </c>
      <c r="D1204" t="n">
        <v>8</v>
      </c>
      <c r="E1204" t="s">
        <v>1210</v>
      </c>
      <c r="F1204" t="s"/>
      <c r="G1204" t="s"/>
      <c r="H1204" t="s"/>
      <c r="I1204" t="s"/>
      <c r="J1204" t="n">
        <v>0</v>
      </c>
      <c r="K1204" t="n">
        <v>0</v>
      </c>
      <c r="L1204" t="n">
        <v>1</v>
      </c>
      <c r="M1204" t="n">
        <v>0</v>
      </c>
    </row>
    <row r="1205" spans="1:13">
      <c r="A1205" s="1">
        <f>HYPERLINK("http://www.twitter.com/NathanBLawrence/status/993707071928459264", "993707071928459264")</f>
        <v/>
      </c>
      <c r="B1205" s="2" t="n">
        <v>43228.1805787037</v>
      </c>
      <c r="C1205" t="n">
        <v>0</v>
      </c>
      <c r="D1205" t="n">
        <v>15</v>
      </c>
      <c r="E1205" t="s">
        <v>1211</v>
      </c>
      <c r="F1205">
        <f>HYPERLINK("http://pbs.twimg.com/media/DcpOpEaU0AA7Y94.jpg", "http://pbs.twimg.com/media/DcpOpEaU0AA7Y94.jpg")</f>
        <v/>
      </c>
      <c r="G1205" t="s"/>
      <c r="H1205" t="s"/>
      <c r="I1205" t="s"/>
      <c r="J1205" t="n">
        <v>-0.6369</v>
      </c>
      <c r="K1205" t="n">
        <v>0.206</v>
      </c>
      <c r="L1205" t="n">
        <v>0.794</v>
      </c>
      <c r="M1205" t="n">
        <v>0</v>
      </c>
    </row>
    <row r="1206" spans="1:13">
      <c r="A1206" s="1">
        <f>HYPERLINK("http://www.twitter.com/NathanBLawrence/status/993707049317011456", "993707049317011456")</f>
        <v/>
      </c>
      <c r="B1206" s="2" t="n">
        <v>43228.18052083333</v>
      </c>
      <c r="C1206" t="n">
        <v>0</v>
      </c>
      <c r="D1206" t="n">
        <v>11</v>
      </c>
      <c r="E1206" t="s">
        <v>1212</v>
      </c>
      <c r="F1206">
        <f>HYPERLINK("http://pbs.twimg.com/media/DcpPgTUWAAAvSHw.jpg", "http://pbs.twimg.com/media/DcpPgTUWAAAvSHw.jpg")</f>
        <v/>
      </c>
      <c r="G1206" t="s"/>
      <c r="H1206" t="s"/>
      <c r="I1206" t="s"/>
      <c r="J1206" t="n">
        <v>0.6249</v>
      </c>
      <c r="K1206" t="n">
        <v>0</v>
      </c>
      <c r="L1206" t="n">
        <v>0.797</v>
      </c>
      <c r="M1206" t="n">
        <v>0.203</v>
      </c>
    </row>
    <row r="1207" spans="1:13">
      <c r="A1207" s="1">
        <f>HYPERLINK("http://www.twitter.com/NathanBLawrence/status/993706994463854593", "993706994463854593")</f>
        <v/>
      </c>
      <c r="B1207" s="2" t="n">
        <v>43228.18037037037</v>
      </c>
      <c r="C1207" t="n">
        <v>0</v>
      </c>
      <c r="D1207" t="n">
        <v>12</v>
      </c>
      <c r="E1207" t="s">
        <v>1213</v>
      </c>
      <c r="F1207">
        <f>HYPERLINK("http://pbs.twimg.com/media/DcpRwx5WsAAZudT.jpg", "http://pbs.twimg.com/media/DcpRwx5WsAAZudT.jpg")</f>
        <v/>
      </c>
      <c r="G1207" t="s"/>
      <c r="H1207" t="s"/>
      <c r="I1207" t="s"/>
      <c r="J1207" t="n">
        <v>-0.8764999999999999</v>
      </c>
      <c r="K1207" t="n">
        <v>0.335</v>
      </c>
      <c r="L1207" t="n">
        <v>0.665</v>
      </c>
      <c r="M1207" t="n">
        <v>0</v>
      </c>
    </row>
    <row r="1208" spans="1:13">
      <c r="A1208" s="1">
        <f>HYPERLINK("http://www.twitter.com/NathanBLawrence/status/993706970107600897", "993706970107600897")</f>
        <v/>
      </c>
      <c r="B1208" s="2" t="n">
        <v>43228.18030092592</v>
      </c>
      <c r="C1208" t="n">
        <v>0</v>
      </c>
      <c r="D1208" t="n">
        <v>11</v>
      </c>
      <c r="E1208" t="s">
        <v>1214</v>
      </c>
      <c r="F1208" t="s"/>
      <c r="G1208" t="s"/>
      <c r="H1208" t="s"/>
      <c r="I1208" t="s"/>
      <c r="J1208" t="n">
        <v>-0.8455</v>
      </c>
      <c r="K1208" t="n">
        <v>0.337</v>
      </c>
      <c r="L1208" t="n">
        <v>0.663</v>
      </c>
      <c r="M1208" t="n">
        <v>0</v>
      </c>
    </row>
    <row r="1209" spans="1:13">
      <c r="A1209" s="1">
        <f>HYPERLINK("http://www.twitter.com/NathanBLawrence/status/993706914184876032", "993706914184876032")</f>
        <v/>
      </c>
      <c r="B1209" s="2" t="n">
        <v>43228.18015046296</v>
      </c>
      <c r="C1209" t="n">
        <v>0</v>
      </c>
      <c r="D1209" t="n">
        <v>5</v>
      </c>
      <c r="E1209" t="s">
        <v>1215</v>
      </c>
      <c r="F1209">
        <f>HYPERLINK("http://pbs.twimg.com/media/Dcoe8S8U0AAtHia.jpg", "http://pbs.twimg.com/media/Dcoe8S8U0AAtHia.jpg")</f>
        <v/>
      </c>
      <c r="G1209" t="s"/>
      <c r="H1209" t="s"/>
      <c r="I1209" t="s"/>
      <c r="J1209" t="n">
        <v>0</v>
      </c>
      <c r="K1209" t="n">
        <v>0</v>
      </c>
      <c r="L1209" t="n">
        <v>1</v>
      </c>
      <c r="M1209" t="n">
        <v>0</v>
      </c>
    </row>
    <row r="1210" spans="1:13">
      <c r="A1210" s="1">
        <f>HYPERLINK("http://www.twitter.com/NathanBLawrence/status/993706610420846592", "993706610420846592")</f>
        <v/>
      </c>
      <c r="B1210" s="2" t="n">
        <v>43228.17930555555</v>
      </c>
      <c r="C1210" t="n">
        <v>0</v>
      </c>
      <c r="D1210" t="n">
        <v>9</v>
      </c>
      <c r="E1210" t="s">
        <v>1216</v>
      </c>
      <c r="F1210" t="s"/>
      <c r="G1210" t="s"/>
      <c r="H1210" t="s"/>
      <c r="I1210" t="s"/>
      <c r="J1210" t="n">
        <v>-0.4939</v>
      </c>
      <c r="K1210" t="n">
        <v>0.167</v>
      </c>
      <c r="L1210" t="n">
        <v>0.833</v>
      </c>
      <c r="M1210" t="n">
        <v>0</v>
      </c>
    </row>
    <row r="1211" spans="1:13">
      <c r="A1211" s="1">
        <f>HYPERLINK("http://www.twitter.com/NathanBLawrence/status/993612822490861568", "993612822490861568")</f>
        <v/>
      </c>
      <c r="B1211" s="2" t="n">
        <v>43227.92049768518</v>
      </c>
      <c r="C1211" t="n">
        <v>0</v>
      </c>
      <c r="D1211" t="n">
        <v>1137</v>
      </c>
      <c r="E1211" t="s">
        <v>1217</v>
      </c>
      <c r="F1211" t="s"/>
      <c r="G1211" t="s"/>
      <c r="H1211" t="s"/>
      <c r="I1211" t="s"/>
      <c r="J1211" t="n">
        <v>0.2422</v>
      </c>
      <c r="K1211" t="n">
        <v>0.096</v>
      </c>
      <c r="L1211" t="n">
        <v>0.765</v>
      </c>
      <c r="M1211" t="n">
        <v>0.139</v>
      </c>
    </row>
    <row r="1212" spans="1:13">
      <c r="A1212" s="1">
        <f>HYPERLINK("http://www.twitter.com/NathanBLawrence/status/993612738093084672", "993612738093084672")</f>
        <v/>
      </c>
      <c r="B1212" s="2" t="n">
        <v>43227.92026620371</v>
      </c>
      <c r="C1212" t="n">
        <v>0</v>
      </c>
      <c r="D1212" t="n">
        <v>3</v>
      </c>
      <c r="E1212" t="s">
        <v>1218</v>
      </c>
      <c r="F1212" t="s"/>
      <c r="G1212" t="s"/>
      <c r="H1212" t="s"/>
      <c r="I1212" t="s"/>
      <c r="J1212" t="n">
        <v>0</v>
      </c>
      <c r="K1212" t="n">
        <v>0</v>
      </c>
      <c r="L1212" t="n">
        <v>1</v>
      </c>
      <c r="M1212" t="n">
        <v>0</v>
      </c>
    </row>
    <row r="1213" spans="1:13">
      <c r="A1213" s="1">
        <f>HYPERLINK("http://www.twitter.com/NathanBLawrence/status/993612707839561729", "993612707839561729")</f>
        <v/>
      </c>
      <c r="B1213" s="2" t="n">
        <v>43227.92018518518</v>
      </c>
      <c r="C1213" t="n">
        <v>0</v>
      </c>
      <c r="D1213" t="n">
        <v>4500</v>
      </c>
      <c r="E1213" t="s">
        <v>1219</v>
      </c>
      <c r="F1213" t="s"/>
      <c r="G1213" t="s"/>
      <c r="H1213" t="s"/>
      <c r="I1213" t="s"/>
      <c r="J1213" t="n">
        <v>0.743</v>
      </c>
      <c r="K1213" t="n">
        <v>0.079</v>
      </c>
      <c r="L1213" t="n">
        <v>0.614</v>
      </c>
      <c r="M1213" t="n">
        <v>0.307</v>
      </c>
    </row>
    <row r="1214" spans="1:13">
      <c r="A1214" s="1">
        <f>HYPERLINK("http://www.twitter.com/NathanBLawrence/status/993612694497513472", "993612694497513472")</f>
        <v/>
      </c>
      <c r="B1214" s="2" t="n">
        <v>43227.92015046296</v>
      </c>
      <c r="C1214" t="n">
        <v>0</v>
      </c>
      <c r="D1214" t="n">
        <v>7</v>
      </c>
      <c r="E1214" t="s">
        <v>1220</v>
      </c>
      <c r="F1214" t="s"/>
      <c r="G1214" t="s"/>
      <c r="H1214" t="s"/>
      <c r="I1214" t="s"/>
      <c r="J1214" t="n">
        <v>-0.7882</v>
      </c>
      <c r="K1214" t="n">
        <v>0.303</v>
      </c>
      <c r="L1214" t="n">
        <v>0.697</v>
      </c>
      <c r="M1214" t="n">
        <v>0</v>
      </c>
    </row>
    <row r="1215" spans="1:13">
      <c r="A1215" s="1">
        <f>HYPERLINK("http://www.twitter.com/NathanBLawrence/status/993611245042454528", "993611245042454528")</f>
        <v/>
      </c>
      <c r="B1215" s="2" t="n">
        <v>43227.91614583333</v>
      </c>
      <c r="C1215" t="n">
        <v>0</v>
      </c>
      <c r="D1215" t="n">
        <v>8</v>
      </c>
      <c r="E1215" t="s">
        <v>1221</v>
      </c>
      <c r="F1215" t="s"/>
      <c r="G1215" t="s"/>
      <c r="H1215" t="s"/>
      <c r="I1215" t="s"/>
      <c r="J1215" t="n">
        <v>-0.3404</v>
      </c>
      <c r="K1215" t="n">
        <v>0.327</v>
      </c>
      <c r="L1215" t="n">
        <v>0.494</v>
      </c>
      <c r="M1215" t="n">
        <v>0.179</v>
      </c>
    </row>
    <row r="1216" spans="1:13">
      <c r="A1216" s="1">
        <f>HYPERLINK("http://www.twitter.com/NathanBLawrence/status/993592711667208194", "993592711667208194")</f>
        <v/>
      </c>
      <c r="B1216" s="2" t="n">
        <v>43227.86501157407</v>
      </c>
      <c r="C1216" t="n">
        <v>0</v>
      </c>
      <c r="D1216" t="n">
        <v>22</v>
      </c>
      <c r="E1216" t="s">
        <v>1222</v>
      </c>
      <c r="F1216" t="s"/>
      <c r="G1216" t="s"/>
      <c r="H1216" t="s"/>
      <c r="I1216" t="s"/>
      <c r="J1216" t="n">
        <v>0</v>
      </c>
      <c r="K1216" t="n">
        <v>0</v>
      </c>
      <c r="L1216" t="n">
        <v>1</v>
      </c>
      <c r="M1216" t="n">
        <v>0</v>
      </c>
    </row>
    <row r="1217" spans="1:13">
      <c r="A1217" s="1">
        <f>HYPERLINK("http://www.twitter.com/NathanBLawrence/status/993577638110351362", "993577638110351362")</f>
        <v/>
      </c>
      <c r="B1217" s="2" t="n">
        <v>43227.82341435185</v>
      </c>
      <c r="C1217" t="n">
        <v>0</v>
      </c>
      <c r="D1217" t="n">
        <v>478</v>
      </c>
      <c r="E1217" t="s">
        <v>1223</v>
      </c>
      <c r="F1217">
        <f>HYPERLINK("http://pbs.twimg.com/media/DcmkrJSV0AAV77p.jpg", "http://pbs.twimg.com/media/DcmkrJSV0AAV77p.jpg")</f>
        <v/>
      </c>
      <c r="G1217" t="s"/>
      <c r="H1217" t="s"/>
      <c r="I1217" t="s"/>
      <c r="J1217" t="n">
        <v>0</v>
      </c>
      <c r="K1217" t="n">
        <v>0</v>
      </c>
      <c r="L1217" t="n">
        <v>1</v>
      </c>
      <c r="M1217" t="n">
        <v>0</v>
      </c>
    </row>
    <row r="1218" spans="1:13">
      <c r="A1218" s="1">
        <f>HYPERLINK("http://www.twitter.com/NathanBLawrence/status/993577563766312960", "993577563766312960")</f>
        <v/>
      </c>
      <c r="B1218" s="2" t="n">
        <v>43227.82320601852</v>
      </c>
      <c r="C1218" t="n">
        <v>0</v>
      </c>
      <c r="D1218" t="n">
        <v>21</v>
      </c>
      <c r="E1218" t="s">
        <v>1224</v>
      </c>
      <c r="F1218" t="s"/>
      <c r="G1218" t="s"/>
      <c r="H1218" t="s"/>
      <c r="I1218" t="s"/>
      <c r="J1218" t="n">
        <v>0</v>
      </c>
      <c r="K1218" t="n">
        <v>0</v>
      </c>
      <c r="L1218" t="n">
        <v>1</v>
      </c>
      <c r="M1218" t="n">
        <v>0</v>
      </c>
    </row>
    <row r="1219" spans="1:13">
      <c r="A1219" s="1">
        <f>HYPERLINK("http://www.twitter.com/NathanBLawrence/status/993577498473631745", "993577498473631745")</f>
        <v/>
      </c>
      <c r="B1219" s="2" t="n">
        <v>43227.82303240741</v>
      </c>
      <c r="C1219" t="n">
        <v>0</v>
      </c>
      <c r="D1219" t="n">
        <v>18</v>
      </c>
      <c r="E1219" t="s">
        <v>1225</v>
      </c>
      <c r="F1219">
        <f>HYPERLINK("http://pbs.twimg.com/media/DcnBtkkXUAI3VbX.jpg", "http://pbs.twimg.com/media/DcnBtkkXUAI3VbX.jpg")</f>
        <v/>
      </c>
      <c r="G1219" t="s"/>
      <c r="H1219" t="s"/>
      <c r="I1219" t="s"/>
      <c r="J1219" t="n">
        <v>0.296</v>
      </c>
      <c r="K1219" t="n">
        <v>0</v>
      </c>
      <c r="L1219" t="n">
        <v>0.804</v>
      </c>
      <c r="M1219" t="n">
        <v>0.196</v>
      </c>
    </row>
    <row r="1220" spans="1:13">
      <c r="A1220" s="1">
        <f>HYPERLINK("http://www.twitter.com/NathanBLawrence/status/993577472594767873", "993577472594767873")</f>
        <v/>
      </c>
      <c r="B1220" s="2" t="n">
        <v>43227.82295138889</v>
      </c>
      <c r="C1220" t="n">
        <v>0</v>
      </c>
      <c r="D1220" t="n">
        <v>72</v>
      </c>
      <c r="E1220" t="s">
        <v>1226</v>
      </c>
      <c r="F1220">
        <f>HYPERLINK("http://pbs.twimg.com/media/DcnR9tsUwAIgve7.jpg", "http://pbs.twimg.com/media/DcnR9tsUwAIgve7.jpg")</f>
        <v/>
      </c>
      <c r="G1220" t="s"/>
      <c r="H1220" t="s"/>
      <c r="I1220" t="s"/>
      <c r="J1220" t="n">
        <v>0</v>
      </c>
      <c r="K1220" t="n">
        <v>0</v>
      </c>
      <c r="L1220" t="n">
        <v>1</v>
      </c>
      <c r="M1220" t="n">
        <v>0</v>
      </c>
    </row>
    <row r="1221" spans="1:13">
      <c r="A1221" s="1">
        <f>HYPERLINK("http://www.twitter.com/NathanBLawrence/status/993577449454817281", "993577449454817281")</f>
        <v/>
      </c>
      <c r="B1221" s="2" t="n">
        <v>43227.82289351852</v>
      </c>
      <c r="C1221" t="n">
        <v>0</v>
      </c>
      <c r="D1221" t="n">
        <v>14</v>
      </c>
      <c r="E1221" t="s">
        <v>1227</v>
      </c>
      <c r="F1221" t="s"/>
      <c r="G1221" t="s"/>
      <c r="H1221" t="s"/>
      <c r="I1221" t="s"/>
      <c r="J1221" t="n">
        <v>0</v>
      </c>
      <c r="K1221" t="n">
        <v>0</v>
      </c>
      <c r="L1221" t="n">
        <v>1</v>
      </c>
      <c r="M1221" t="n">
        <v>0</v>
      </c>
    </row>
    <row r="1222" spans="1:13">
      <c r="A1222" s="1">
        <f>HYPERLINK("http://www.twitter.com/NathanBLawrence/status/993577388066910212", "993577388066910212")</f>
        <v/>
      </c>
      <c r="B1222" s="2" t="n">
        <v>43227.82271990741</v>
      </c>
      <c r="C1222" t="n">
        <v>0</v>
      </c>
      <c r="D1222" t="n">
        <v>40</v>
      </c>
      <c r="E1222" t="s">
        <v>1228</v>
      </c>
      <c r="F1222">
        <f>HYPERLINK("http://pbs.twimg.com/media/DcnZCNIU0AAjSh6.jpg", "http://pbs.twimg.com/media/DcnZCNIU0AAjSh6.jpg")</f>
        <v/>
      </c>
      <c r="G1222">
        <f>HYPERLINK("http://pbs.twimg.com/media/DcnZCOkVAAAZlq2.jpg", "http://pbs.twimg.com/media/DcnZCOkVAAAZlq2.jpg")</f>
        <v/>
      </c>
      <c r="H1222">
        <f>HYPERLINK("http://pbs.twimg.com/media/DcnZCOmVwAA6pYI.jpg", "http://pbs.twimg.com/media/DcnZCOmVwAA6pYI.jpg")</f>
        <v/>
      </c>
      <c r="I1222">
        <f>HYPERLINK("http://pbs.twimg.com/media/DcnZCOaVMAEN18r.jpg", "http://pbs.twimg.com/media/DcnZCOaVMAEN18r.jpg")</f>
        <v/>
      </c>
      <c r="J1222" t="n">
        <v>0.5423</v>
      </c>
      <c r="K1222" t="n">
        <v>0</v>
      </c>
      <c r="L1222" t="n">
        <v>0.857</v>
      </c>
      <c r="M1222" t="n">
        <v>0.143</v>
      </c>
    </row>
    <row r="1223" spans="1:13">
      <c r="A1223" s="1">
        <f>HYPERLINK("http://www.twitter.com/NathanBLawrence/status/993577367712026626", "993577367712026626")</f>
        <v/>
      </c>
      <c r="B1223" s="2" t="n">
        <v>43227.82266203704</v>
      </c>
      <c r="C1223" t="n">
        <v>0</v>
      </c>
      <c r="D1223" t="n">
        <v>213</v>
      </c>
      <c r="E1223" t="s">
        <v>1229</v>
      </c>
      <c r="F1223">
        <f>HYPERLINK("http://pbs.twimg.com/media/DcnffVVV0AEfUKx.jpg", "http://pbs.twimg.com/media/DcnffVVV0AEfUKx.jpg")</f>
        <v/>
      </c>
      <c r="G1223">
        <f>HYPERLINK("http://pbs.twimg.com/media/DcnfgNFVMAAZ1Tq.jpg", "http://pbs.twimg.com/media/DcnfgNFVMAAZ1Tq.jpg")</f>
        <v/>
      </c>
      <c r="H1223">
        <f>HYPERLINK("http://pbs.twimg.com/media/Dcnfg2BV0AMNM4J.jpg", "http://pbs.twimg.com/media/Dcnfg2BV0AMNM4J.jpg")</f>
        <v/>
      </c>
      <c r="I1223">
        <f>HYPERLINK("http://pbs.twimg.com/media/Dcnfhb4V0AIk5f_.jpg", "http://pbs.twimg.com/media/Dcnfhb4V0AIk5f_.jpg")</f>
        <v/>
      </c>
      <c r="J1223" t="n">
        <v>0</v>
      </c>
      <c r="K1223" t="n">
        <v>0</v>
      </c>
      <c r="L1223" t="n">
        <v>1</v>
      </c>
      <c r="M1223" t="n">
        <v>0</v>
      </c>
    </row>
    <row r="1224" spans="1:13">
      <c r="A1224" s="1">
        <f>HYPERLINK("http://www.twitter.com/NathanBLawrence/status/993577301622362112", "993577301622362112")</f>
        <v/>
      </c>
      <c r="B1224" s="2" t="n">
        <v>43227.82248842593</v>
      </c>
      <c r="C1224" t="n">
        <v>0</v>
      </c>
      <c r="D1224" t="n">
        <v>11</v>
      </c>
      <c r="E1224" t="s">
        <v>1230</v>
      </c>
      <c r="F1224" t="s"/>
      <c r="G1224" t="s"/>
      <c r="H1224" t="s"/>
      <c r="I1224" t="s"/>
      <c r="J1224" t="n">
        <v>-0.3804</v>
      </c>
      <c r="K1224" t="n">
        <v>0.11</v>
      </c>
      <c r="L1224" t="n">
        <v>0.89</v>
      </c>
      <c r="M1224" t="n">
        <v>0</v>
      </c>
    </row>
    <row r="1225" spans="1:13">
      <c r="A1225" s="1">
        <f>HYPERLINK("http://www.twitter.com/NathanBLawrence/status/993577253752721413", "993577253752721413")</f>
        <v/>
      </c>
      <c r="B1225" s="2" t="n">
        <v>43227.82234953704</v>
      </c>
      <c r="C1225" t="n">
        <v>0</v>
      </c>
      <c r="D1225" t="n">
        <v>19</v>
      </c>
      <c r="E1225" t="s">
        <v>1231</v>
      </c>
      <c r="F1225">
        <f>HYPERLINK("http://pbs.twimg.com/media/Dcniv1-XcAIiCa-.jpg", "http://pbs.twimg.com/media/Dcniv1-XcAIiCa-.jpg")</f>
        <v/>
      </c>
      <c r="G1225" t="s"/>
      <c r="H1225" t="s"/>
      <c r="I1225" t="s"/>
      <c r="J1225" t="n">
        <v>0.6909</v>
      </c>
      <c r="K1225" t="n">
        <v>0</v>
      </c>
      <c r="L1225" t="n">
        <v>0.783</v>
      </c>
      <c r="M1225" t="n">
        <v>0.217</v>
      </c>
    </row>
    <row r="1226" spans="1:13">
      <c r="A1226" s="1">
        <f>HYPERLINK("http://www.twitter.com/NathanBLawrence/status/993577190431363072", "993577190431363072")</f>
        <v/>
      </c>
      <c r="B1226" s="2" t="n">
        <v>43227.82217592592</v>
      </c>
      <c r="C1226" t="n">
        <v>0</v>
      </c>
      <c r="D1226" t="n">
        <v>12</v>
      </c>
      <c r="E1226" t="s">
        <v>1232</v>
      </c>
      <c r="F1226" t="s"/>
      <c r="G1226" t="s"/>
      <c r="H1226" t="s"/>
      <c r="I1226" t="s"/>
      <c r="J1226" t="n">
        <v>0</v>
      </c>
      <c r="K1226" t="n">
        <v>0</v>
      </c>
      <c r="L1226" t="n">
        <v>1</v>
      </c>
      <c r="M1226" t="n">
        <v>0</v>
      </c>
    </row>
    <row r="1227" spans="1:13">
      <c r="A1227" s="1">
        <f>HYPERLINK("http://www.twitter.com/NathanBLawrence/status/993557226114768897", "993557226114768897")</f>
        <v/>
      </c>
      <c r="B1227" s="2" t="n">
        <v>43227.76708333333</v>
      </c>
      <c r="C1227" t="n">
        <v>0</v>
      </c>
      <c r="D1227" t="n">
        <v>10</v>
      </c>
      <c r="E1227" t="s">
        <v>1233</v>
      </c>
      <c r="F1227" t="s"/>
      <c r="G1227" t="s"/>
      <c r="H1227" t="s"/>
      <c r="I1227" t="s"/>
      <c r="J1227" t="n">
        <v>-0.34</v>
      </c>
      <c r="K1227" t="n">
        <v>0.15</v>
      </c>
      <c r="L1227" t="n">
        <v>0.752</v>
      </c>
      <c r="M1227" t="n">
        <v>0.098</v>
      </c>
    </row>
    <row r="1228" spans="1:13">
      <c r="A1228" s="1">
        <f>HYPERLINK("http://www.twitter.com/NathanBLawrence/status/993556986523521024", "993556986523521024")</f>
        <v/>
      </c>
      <c r="B1228" s="2" t="n">
        <v>43227.76642361111</v>
      </c>
      <c r="C1228" t="n">
        <v>0</v>
      </c>
      <c r="D1228" t="n">
        <v>3</v>
      </c>
      <c r="E1228" t="s">
        <v>1234</v>
      </c>
      <c r="F1228" t="s"/>
      <c r="G1228" t="s"/>
      <c r="H1228" t="s"/>
      <c r="I1228" t="s"/>
      <c r="J1228" t="n">
        <v>0</v>
      </c>
      <c r="K1228" t="n">
        <v>0</v>
      </c>
      <c r="L1228" t="n">
        <v>1</v>
      </c>
      <c r="M1228" t="n">
        <v>0</v>
      </c>
    </row>
    <row r="1229" spans="1:13">
      <c r="A1229" s="1">
        <f>HYPERLINK("http://www.twitter.com/NathanBLawrence/status/993556887479169026", "993556887479169026")</f>
        <v/>
      </c>
      <c r="B1229" s="2" t="n">
        <v>43227.76615740741</v>
      </c>
      <c r="C1229" t="n">
        <v>0</v>
      </c>
      <c r="D1229" t="n">
        <v>7</v>
      </c>
      <c r="E1229" t="s">
        <v>1235</v>
      </c>
      <c r="F1229">
        <f>HYPERLINK("http://pbs.twimg.com/media/Dchar1dVwAA8P8d.jpg", "http://pbs.twimg.com/media/Dchar1dVwAA8P8d.jpg")</f>
        <v/>
      </c>
      <c r="G1229" t="s"/>
      <c r="H1229" t="s"/>
      <c r="I1229" t="s"/>
      <c r="J1229" t="n">
        <v>0.6466</v>
      </c>
      <c r="K1229" t="n">
        <v>0</v>
      </c>
      <c r="L1229" t="n">
        <v>0.8129999999999999</v>
      </c>
      <c r="M1229" t="n">
        <v>0.187</v>
      </c>
    </row>
    <row r="1230" spans="1:13">
      <c r="A1230" s="1">
        <f>HYPERLINK("http://www.twitter.com/NathanBLawrence/status/993556749964673024", "993556749964673024")</f>
        <v/>
      </c>
      <c r="B1230" s="2" t="n">
        <v>43227.76577546296</v>
      </c>
      <c r="C1230" t="n">
        <v>0</v>
      </c>
      <c r="D1230" t="n">
        <v>2</v>
      </c>
      <c r="E1230" t="s">
        <v>1236</v>
      </c>
      <c r="F1230" t="s"/>
      <c r="G1230" t="s"/>
      <c r="H1230" t="s"/>
      <c r="I1230" t="s"/>
      <c r="J1230" t="n">
        <v>0</v>
      </c>
      <c r="K1230" t="n">
        <v>0</v>
      </c>
      <c r="L1230" t="n">
        <v>1</v>
      </c>
      <c r="M1230" t="n">
        <v>0</v>
      </c>
    </row>
    <row r="1231" spans="1:13">
      <c r="A1231" s="1">
        <f>HYPERLINK("http://www.twitter.com/NathanBLawrence/status/993556723171512320", "993556723171512320")</f>
        <v/>
      </c>
      <c r="B1231" s="2" t="n">
        <v>43227.76569444445</v>
      </c>
      <c r="C1231" t="n">
        <v>0</v>
      </c>
      <c r="D1231" t="n">
        <v>3</v>
      </c>
      <c r="E1231" t="s">
        <v>1237</v>
      </c>
      <c r="F1231" t="s"/>
      <c r="G1231" t="s"/>
      <c r="H1231" t="s"/>
      <c r="I1231" t="s"/>
      <c r="J1231" t="n">
        <v>0</v>
      </c>
      <c r="K1231" t="n">
        <v>0</v>
      </c>
      <c r="L1231" t="n">
        <v>1</v>
      </c>
      <c r="M1231" t="n">
        <v>0</v>
      </c>
    </row>
    <row r="1232" spans="1:13">
      <c r="A1232" s="1">
        <f>HYPERLINK("http://www.twitter.com/NathanBLawrence/status/993556654208757761", "993556654208757761")</f>
        <v/>
      </c>
      <c r="B1232" s="2" t="n">
        <v>43227.76550925926</v>
      </c>
      <c r="C1232" t="n">
        <v>0</v>
      </c>
      <c r="D1232" t="n">
        <v>10</v>
      </c>
      <c r="E1232" t="s">
        <v>1238</v>
      </c>
      <c r="F1232" t="s"/>
      <c r="G1232" t="s"/>
      <c r="H1232" t="s"/>
      <c r="I1232" t="s"/>
      <c r="J1232" t="n">
        <v>-0.7783</v>
      </c>
      <c r="K1232" t="n">
        <v>0.317</v>
      </c>
      <c r="L1232" t="n">
        <v>0.6830000000000001</v>
      </c>
      <c r="M1232" t="n">
        <v>0</v>
      </c>
    </row>
    <row r="1233" spans="1:13">
      <c r="A1233" s="1">
        <f>HYPERLINK("http://www.twitter.com/NathanBLawrence/status/993556568867254274", "993556568867254274")</f>
        <v/>
      </c>
      <c r="B1233" s="2" t="n">
        <v>43227.76527777778</v>
      </c>
      <c r="C1233" t="n">
        <v>0</v>
      </c>
      <c r="D1233" t="n">
        <v>8</v>
      </c>
      <c r="E1233" t="s">
        <v>1239</v>
      </c>
      <c r="F1233" t="s"/>
      <c r="G1233" t="s"/>
      <c r="H1233" t="s"/>
      <c r="I1233" t="s"/>
      <c r="J1233" t="n">
        <v>-0.802</v>
      </c>
      <c r="K1233" t="n">
        <v>0.345</v>
      </c>
      <c r="L1233" t="n">
        <v>0.57</v>
      </c>
      <c r="M1233" t="n">
        <v>0.08500000000000001</v>
      </c>
    </row>
    <row r="1234" spans="1:13">
      <c r="A1234" s="1">
        <f>HYPERLINK("http://www.twitter.com/NathanBLawrence/status/993556533467320320", "993556533467320320")</f>
        <v/>
      </c>
      <c r="B1234" s="2" t="n">
        <v>43227.76517361111</v>
      </c>
      <c r="C1234" t="n">
        <v>0</v>
      </c>
      <c r="D1234" t="n">
        <v>13</v>
      </c>
      <c r="E1234" t="s">
        <v>1240</v>
      </c>
      <c r="F1234">
        <f>HYPERLINK("http://pbs.twimg.com/media/DcmFJ-pV4AA8wNJ.jpg", "http://pbs.twimg.com/media/DcmFJ-pV4AA8wNJ.jpg")</f>
        <v/>
      </c>
      <c r="G1234" t="s"/>
      <c r="H1234" t="s"/>
      <c r="I1234" t="s"/>
      <c r="J1234" t="n">
        <v>-0.7783</v>
      </c>
      <c r="K1234" t="n">
        <v>0.317</v>
      </c>
      <c r="L1234" t="n">
        <v>0.6830000000000001</v>
      </c>
      <c r="M1234" t="n">
        <v>0</v>
      </c>
    </row>
    <row r="1235" spans="1:13">
      <c r="A1235" s="1">
        <f>HYPERLINK("http://www.twitter.com/NathanBLawrence/status/993555155948900352", "993555155948900352")</f>
        <v/>
      </c>
      <c r="B1235" s="2" t="n">
        <v>43227.76137731481</v>
      </c>
      <c r="C1235" t="n">
        <v>0</v>
      </c>
      <c r="D1235" t="n">
        <v>21639</v>
      </c>
      <c r="E1235" t="s">
        <v>1241</v>
      </c>
      <c r="F1235" t="s"/>
      <c r="G1235" t="s"/>
      <c r="H1235" t="s"/>
      <c r="I1235" t="s"/>
      <c r="J1235" t="n">
        <v>0.5859</v>
      </c>
      <c r="K1235" t="n">
        <v>0</v>
      </c>
      <c r="L1235" t="n">
        <v>0.868</v>
      </c>
      <c r="M1235" t="n">
        <v>0.132</v>
      </c>
    </row>
    <row r="1236" spans="1:13">
      <c r="A1236" s="1">
        <f>HYPERLINK("http://www.twitter.com/NathanBLawrence/status/993503174962171904", "993503174962171904")</f>
        <v/>
      </c>
      <c r="B1236" s="2" t="n">
        <v>43227.61792824074</v>
      </c>
      <c r="C1236" t="n">
        <v>0</v>
      </c>
      <c r="D1236" t="n">
        <v>7</v>
      </c>
      <c r="E1236" t="s">
        <v>1242</v>
      </c>
      <c r="F1236">
        <f>HYPERLINK("http://pbs.twimg.com/media/DcmXPO-V0AEn9uD.jpg", "http://pbs.twimg.com/media/DcmXPO-V0AEn9uD.jpg")</f>
        <v/>
      </c>
      <c r="G1236" t="s"/>
      <c r="H1236" t="s"/>
      <c r="I1236" t="s"/>
      <c r="J1236" t="n">
        <v>0.4939</v>
      </c>
      <c r="K1236" t="n">
        <v>0</v>
      </c>
      <c r="L1236" t="n">
        <v>0.849</v>
      </c>
      <c r="M1236" t="n">
        <v>0.151</v>
      </c>
    </row>
    <row r="1237" spans="1:13">
      <c r="A1237" s="1">
        <f>HYPERLINK("http://www.twitter.com/NathanBLawrence/status/993501671849451520", "993501671849451520")</f>
        <v/>
      </c>
      <c r="B1237" s="2" t="n">
        <v>43227.61378472222</v>
      </c>
      <c r="C1237" t="n">
        <v>0</v>
      </c>
      <c r="D1237" t="n">
        <v>12</v>
      </c>
      <c r="E1237" t="s">
        <v>1243</v>
      </c>
      <c r="F1237">
        <f>HYPERLINK("http://pbs.twimg.com/media/DcmbyNXVAAEh3zf.jpg", "http://pbs.twimg.com/media/DcmbyNXVAAEh3zf.jpg")</f>
        <v/>
      </c>
      <c r="G1237" t="s"/>
      <c r="H1237" t="s"/>
      <c r="I1237" t="s"/>
      <c r="J1237" t="n">
        <v>-0.5399</v>
      </c>
      <c r="K1237" t="n">
        <v>0.17</v>
      </c>
      <c r="L1237" t="n">
        <v>0.83</v>
      </c>
      <c r="M1237" t="n">
        <v>0</v>
      </c>
    </row>
    <row r="1238" spans="1:13">
      <c r="A1238" s="1">
        <f>HYPERLINK("http://www.twitter.com/NathanBLawrence/status/993501629616881666", "993501629616881666")</f>
        <v/>
      </c>
      <c r="B1238" s="2" t="n">
        <v>43227.61366898148</v>
      </c>
      <c r="C1238" t="n">
        <v>0</v>
      </c>
      <c r="D1238" t="n">
        <v>15</v>
      </c>
      <c r="E1238" t="s">
        <v>1244</v>
      </c>
      <c r="F1238">
        <f>HYPERLINK("http://pbs.twimg.com/media/DcmLm5LU8AIr2bi.jpg", "http://pbs.twimg.com/media/DcmLm5LU8AIr2bi.jpg")</f>
        <v/>
      </c>
      <c r="G1238" t="s"/>
      <c r="H1238" t="s"/>
      <c r="I1238" t="s"/>
      <c r="J1238" t="n">
        <v>0.4648</v>
      </c>
      <c r="K1238" t="n">
        <v>0</v>
      </c>
      <c r="L1238" t="n">
        <v>0.879</v>
      </c>
      <c r="M1238" t="n">
        <v>0.121</v>
      </c>
    </row>
    <row r="1239" spans="1:13">
      <c r="A1239" s="1">
        <f>HYPERLINK("http://www.twitter.com/NathanBLawrence/status/993501605801725952", "993501605801725952")</f>
        <v/>
      </c>
      <c r="B1239" s="2" t="n">
        <v>43227.61359953704</v>
      </c>
      <c r="C1239" t="n">
        <v>0</v>
      </c>
      <c r="D1239" t="n">
        <v>19</v>
      </c>
      <c r="E1239" t="s">
        <v>1245</v>
      </c>
      <c r="F1239">
        <f>HYPERLINK("http://pbs.twimg.com/media/DcmK_xuXUAIlMnd.jpg", "http://pbs.twimg.com/media/DcmK_xuXUAIlMnd.jpg")</f>
        <v/>
      </c>
      <c r="G1239" t="s"/>
      <c r="H1239" t="s"/>
      <c r="I1239" t="s"/>
      <c r="J1239" t="n">
        <v>0.5162</v>
      </c>
      <c r="K1239" t="n">
        <v>0.068</v>
      </c>
      <c r="L1239" t="n">
        <v>0.73</v>
      </c>
      <c r="M1239" t="n">
        <v>0.203</v>
      </c>
    </row>
    <row r="1240" spans="1:13">
      <c r="A1240" s="1">
        <f>HYPERLINK("http://www.twitter.com/NathanBLawrence/status/993501556510162944", "993501556510162944")</f>
        <v/>
      </c>
      <c r="B1240" s="2" t="n">
        <v>43227.61347222222</v>
      </c>
      <c r="C1240" t="n">
        <v>0</v>
      </c>
      <c r="D1240" t="n">
        <v>12</v>
      </c>
      <c r="E1240" t="s">
        <v>1246</v>
      </c>
      <c r="F1240">
        <f>HYPERLINK("http://pbs.twimg.com/media/DcmWMWYXcAEUvvx.jpg", "http://pbs.twimg.com/media/DcmWMWYXcAEUvvx.jpg")</f>
        <v/>
      </c>
      <c r="G1240" t="s"/>
      <c r="H1240" t="s"/>
      <c r="I1240" t="s"/>
      <c r="J1240" t="n">
        <v>-0.4098</v>
      </c>
      <c r="K1240" t="n">
        <v>0.154</v>
      </c>
      <c r="L1240" t="n">
        <v>0.846</v>
      </c>
      <c r="M1240" t="n">
        <v>0</v>
      </c>
    </row>
    <row r="1241" spans="1:13">
      <c r="A1241" s="1">
        <f>HYPERLINK("http://www.twitter.com/NathanBLawrence/status/993472058662293504", "993472058662293504")</f>
        <v/>
      </c>
      <c r="B1241" s="2" t="n">
        <v>43227.53207175926</v>
      </c>
      <c r="C1241" t="n">
        <v>0</v>
      </c>
      <c r="D1241" t="n">
        <v>33</v>
      </c>
      <c r="E1241" t="s">
        <v>1247</v>
      </c>
      <c r="F1241">
        <f>HYPERLINK("http://pbs.twimg.com/media/DcmEK5wWsAUm-8m.jpg", "http://pbs.twimg.com/media/DcmEK5wWsAUm-8m.jpg")</f>
        <v/>
      </c>
      <c r="G1241" t="s"/>
      <c r="H1241" t="s"/>
      <c r="I1241" t="s"/>
      <c r="J1241" t="n">
        <v>0</v>
      </c>
      <c r="K1241" t="n">
        <v>0</v>
      </c>
      <c r="L1241" t="n">
        <v>1</v>
      </c>
      <c r="M1241" t="n">
        <v>0</v>
      </c>
    </row>
    <row r="1242" spans="1:13">
      <c r="A1242" s="1">
        <f>HYPERLINK("http://www.twitter.com/NathanBLawrence/status/993471994502045697", "993471994502045697")</f>
        <v/>
      </c>
      <c r="B1242" s="2" t="n">
        <v>43227.53188657408</v>
      </c>
      <c r="C1242" t="n">
        <v>0</v>
      </c>
      <c r="D1242" t="n">
        <v>12</v>
      </c>
      <c r="E1242" t="s">
        <v>1248</v>
      </c>
      <c r="F1242">
        <f>HYPERLINK("http://pbs.twimg.com/media/DcmBddFW4AAX3Ip.jpg", "http://pbs.twimg.com/media/DcmBddFW4AAX3Ip.jpg")</f>
        <v/>
      </c>
      <c r="G1242">
        <f>HYPERLINK("http://pbs.twimg.com/media/DcmBeqvWkAAT7XP.jpg", "http://pbs.twimg.com/media/DcmBeqvWkAAT7XP.jpg")</f>
        <v/>
      </c>
      <c r="H1242">
        <f>HYPERLINK("http://pbs.twimg.com/media/DcmBfoLX4AEBwMd.jpg", "http://pbs.twimg.com/media/DcmBfoLX4AEBwMd.jpg")</f>
        <v/>
      </c>
      <c r="I1242">
        <f>HYPERLINK("http://pbs.twimg.com/media/DcmBg5PXkAAeOsB.jpg", "http://pbs.twimg.com/media/DcmBg5PXkAAeOsB.jpg")</f>
        <v/>
      </c>
      <c r="J1242" t="n">
        <v>0</v>
      </c>
      <c r="K1242" t="n">
        <v>0</v>
      </c>
      <c r="L1242" t="n">
        <v>1</v>
      </c>
      <c r="M1242" t="n">
        <v>0</v>
      </c>
    </row>
    <row r="1243" spans="1:13">
      <c r="A1243" s="1">
        <f>HYPERLINK("http://www.twitter.com/NathanBLawrence/status/993376594466131968", "993376594466131968")</f>
        <v/>
      </c>
      <c r="B1243" s="2" t="n">
        <v>43227.26863425926</v>
      </c>
      <c r="C1243" t="n">
        <v>3</v>
      </c>
      <c r="D1243" t="n">
        <v>1</v>
      </c>
      <c r="E1243" t="s">
        <v>1249</v>
      </c>
      <c r="F1243" t="s"/>
      <c r="G1243" t="s"/>
      <c r="H1243" t="s"/>
      <c r="I1243" t="s"/>
      <c r="J1243" t="n">
        <v>0.556</v>
      </c>
      <c r="K1243" t="n">
        <v>0.08500000000000001</v>
      </c>
      <c r="L1243" t="n">
        <v>0.791</v>
      </c>
      <c r="M1243" t="n">
        <v>0.124</v>
      </c>
    </row>
    <row r="1244" spans="1:13">
      <c r="A1244" s="1">
        <f>HYPERLINK("http://www.twitter.com/NathanBLawrence/status/993376045591080961", "993376045591080961")</f>
        <v/>
      </c>
      <c r="B1244" s="2" t="n">
        <v>43227.26711805556</v>
      </c>
      <c r="C1244" t="n">
        <v>3</v>
      </c>
      <c r="D1244" t="n">
        <v>1</v>
      </c>
      <c r="E1244" t="s">
        <v>1250</v>
      </c>
      <c r="F1244" t="s"/>
      <c r="G1244" t="s"/>
      <c r="H1244" t="s"/>
      <c r="I1244" t="s"/>
      <c r="J1244" t="n">
        <v>-0.8070000000000001</v>
      </c>
      <c r="K1244" t="n">
        <v>0.179</v>
      </c>
      <c r="L1244" t="n">
        <v>0.787</v>
      </c>
      <c r="M1244" t="n">
        <v>0.033</v>
      </c>
    </row>
    <row r="1245" spans="1:13">
      <c r="A1245" s="1">
        <f>HYPERLINK("http://www.twitter.com/NathanBLawrence/status/993375075620605952", "993375075620605952")</f>
        <v/>
      </c>
      <c r="B1245" s="2" t="n">
        <v>43227.26444444444</v>
      </c>
      <c r="C1245" t="n">
        <v>4</v>
      </c>
      <c r="D1245" t="n">
        <v>1</v>
      </c>
      <c r="E1245" t="s">
        <v>1251</v>
      </c>
      <c r="F1245" t="s"/>
      <c r="G1245" t="s"/>
      <c r="H1245" t="s"/>
      <c r="I1245" t="s"/>
      <c r="J1245" t="n">
        <v>-0.7536</v>
      </c>
      <c r="K1245" t="n">
        <v>0.198</v>
      </c>
      <c r="L1245" t="n">
        <v>0.745</v>
      </c>
      <c r="M1245" t="n">
        <v>0.057</v>
      </c>
    </row>
    <row r="1246" spans="1:13">
      <c r="A1246" s="1">
        <f>HYPERLINK("http://www.twitter.com/NathanBLawrence/status/993374821999370240", "993374821999370240")</f>
        <v/>
      </c>
      <c r="B1246" s="2" t="n">
        <v>43227.26375</v>
      </c>
      <c r="C1246" t="n">
        <v>5</v>
      </c>
      <c r="D1246" t="n">
        <v>3</v>
      </c>
      <c r="E1246" t="s">
        <v>1252</v>
      </c>
      <c r="F1246" t="s"/>
      <c r="G1246" t="s"/>
      <c r="H1246" t="s"/>
      <c r="I1246" t="s"/>
      <c r="J1246" t="n">
        <v>0.5386</v>
      </c>
      <c r="K1246" t="n">
        <v>0</v>
      </c>
      <c r="L1246" t="n">
        <v>0.9419999999999999</v>
      </c>
      <c r="M1246" t="n">
        <v>0.058</v>
      </c>
    </row>
    <row r="1247" spans="1:13">
      <c r="A1247" s="1">
        <f>HYPERLINK("http://www.twitter.com/NathanBLawrence/status/993374364920958977", "993374364920958977")</f>
        <v/>
      </c>
      <c r="B1247" s="2" t="n">
        <v>43227.26248842593</v>
      </c>
      <c r="C1247" t="n">
        <v>2</v>
      </c>
      <c r="D1247" t="n">
        <v>0</v>
      </c>
      <c r="E1247" t="s">
        <v>1253</v>
      </c>
      <c r="F1247" t="s"/>
      <c r="G1247" t="s"/>
      <c r="H1247" t="s"/>
      <c r="I1247" t="s"/>
      <c r="J1247" t="n">
        <v>-0.8074</v>
      </c>
      <c r="K1247" t="n">
        <v>0.162</v>
      </c>
      <c r="L1247" t="n">
        <v>0.838</v>
      </c>
      <c r="M1247" t="n">
        <v>0</v>
      </c>
    </row>
    <row r="1248" spans="1:13">
      <c r="A1248" s="1">
        <f>HYPERLINK("http://www.twitter.com/NathanBLawrence/status/993373943053594624", "993373943053594624")</f>
        <v/>
      </c>
      <c r="B1248" s="2" t="n">
        <v>43227.26131944444</v>
      </c>
      <c r="C1248" t="n">
        <v>3</v>
      </c>
      <c r="D1248" t="n">
        <v>1</v>
      </c>
      <c r="E1248" t="s">
        <v>1254</v>
      </c>
      <c r="F1248" t="s"/>
      <c r="G1248" t="s"/>
      <c r="H1248" t="s"/>
      <c r="I1248" t="s"/>
      <c r="J1248" t="n">
        <v>-0.6369</v>
      </c>
      <c r="K1248" t="n">
        <v>0.137</v>
      </c>
      <c r="L1248" t="n">
        <v>0.863</v>
      </c>
      <c r="M1248" t="n">
        <v>0</v>
      </c>
    </row>
    <row r="1249" spans="1:13">
      <c r="A1249" s="1">
        <f>HYPERLINK("http://www.twitter.com/NathanBLawrence/status/993373575481581568", "993373575481581568")</f>
        <v/>
      </c>
      <c r="B1249" s="2" t="n">
        <v>43227.2603125</v>
      </c>
      <c r="C1249" t="n">
        <v>2</v>
      </c>
      <c r="D1249" t="n">
        <v>0</v>
      </c>
      <c r="E1249" t="s">
        <v>1255</v>
      </c>
      <c r="F1249" t="s"/>
      <c r="G1249" t="s"/>
      <c r="H1249" t="s"/>
      <c r="I1249" t="s"/>
      <c r="J1249" t="n">
        <v>0.4648</v>
      </c>
      <c r="K1249" t="n">
        <v>0.077</v>
      </c>
      <c r="L1249" t="n">
        <v>0.786</v>
      </c>
      <c r="M1249" t="n">
        <v>0.137</v>
      </c>
    </row>
    <row r="1250" spans="1:13">
      <c r="A1250" s="1">
        <f>HYPERLINK("http://www.twitter.com/NathanBLawrence/status/993367616902352896", "993367616902352896")</f>
        <v/>
      </c>
      <c r="B1250" s="2" t="n">
        <v>43227.24386574074</v>
      </c>
      <c r="C1250" t="n">
        <v>1</v>
      </c>
      <c r="D1250" t="n">
        <v>0</v>
      </c>
      <c r="E1250" t="s">
        <v>1256</v>
      </c>
      <c r="F1250" t="s"/>
      <c r="G1250" t="s"/>
      <c r="H1250" t="s"/>
      <c r="I1250" t="s"/>
      <c r="J1250" t="n">
        <v>-0.296</v>
      </c>
      <c r="K1250" t="n">
        <v>0.167</v>
      </c>
      <c r="L1250" t="n">
        <v>0.704</v>
      </c>
      <c r="M1250" t="n">
        <v>0.129</v>
      </c>
    </row>
    <row r="1251" spans="1:13">
      <c r="A1251" s="1">
        <f>HYPERLINK("http://www.twitter.com/NathanBLawrence/status/993367113132924928", "993367113132924928")</f>
        <v/>
      </c>
      <c r="B1251" s="2" t="n">
        <v>43227.24247685185</v>
      </c>
      <c r="C1251" t="n">
        <v>2</v>
      </c>
      <c r="D1251" t="n">
        <v>0</v>
      </c>
      <c r="E1251" t="s">
        <v>1257</v>
      </c>
      <c r="F1251" t="s"/>
      <c r="G1251" t="s"/>
      <c r="H1251" t="s"/>
      <c r="I1251" t="s"/>
      <c r="J1251" t="n">
        <v>-0.296</v>
      </c>
      <c r="K1251" t="n">
        <v>0.08599999999999999</v>
      </c>
      <c r="L1251" t="n">
        <v>0.865</v>
      </c>
      <c r="M1251" t="n">
        <v>0.049</v>
      </c>
    </row>
    <row r="1252" spans="1:13">
      <c r="A1252" s="1">
        <f>HYPERLINK("http://www.twitter.com/NathanBLawrence/status/993366728863346688", "993366728863346688")</f>
        <v/>
      </c>
      <c r="B1252" s="2" t="n">
        <v>43227.24141203704</v>
      </c>
      <c r="C1252" t="n">
        <v>2</v>
      </c>
      <c r="D1252" t="n">
        <v>1</v>
      </c>
      <c r="E1252" t="s">
        <v>1258</v>
      </c>
      <c r="F1252" t="s"/>
      <c r="G1252" t="s"/>
      <c r="H1252" t="s"/>
      <c r="I1252" t="s"/>
      <c r="J1252" t="n">
        <v>0.4767</v>
      </c>
      <c r="K1252" t="n">
        <v>0.034</v>
      </c>
      <c r="L1252" t="n">
        <v>0.829</v>
      </c>
      <c r="M1252" t="n">
        <v>0.137</v>
      </c>
    </row>
    <row r="1253" spans="1:13">
      <c r="A1253" s="1">
        <f>HYPERLINK("http://www.twitter.com/NathanBLawrence/status/993359183054606336", "993359183054606336")</f>
        <v/>
      </c>
      <c r="B1253" s="2" t="n">
        <v>43227.22059027778</v>
      </c>
      <c r="C1253" t="n">
        <v>2</v>
      </c>
      <c r="D1253" t="n">
        <v>1</v>
      </c>
      <c r="E1253" t="s">
        <v>1259</v>
      </c>
      <c r="F1253" t="s"/>
      <c r="G1253" t="s"/>
      <c r="H1253" t="s"/>
      <c r="I1253" t="s"/>
      <c r="J1253" t="n">
        <v>-0.2846</v>
      </c>
      <c r="K1253" t="n">
        <v>0.055</v>
      </c>
      <c r="L1253" t="n">
        <v>0.91</v>
      </c>
      <c r="M1253" t="n">
        <v>0.035</v>
      </c>
    </row>
    <row r="1254" spans="1:13">
      <c r="A1254" s="1">
        <f>HYPERLINK("http://www.twitter.com/NathanBLawrence/status/993358920113688576", "993358920113688576")</f>
        <v/>
      </c>
      <c r="B1254" s="2" t="n">
        <v>43227.21986111111</v>
      </c>
      <c r="C1254" t="n">
        <v>2</v>
      </c>
      <c r="D1254" t="n">
        <v>1</v>
      </c>
      <c r="E1254" t="s">
        <v>1260</v>
      </c>
      <c r="F1254" t="s"/>
      <c r="G1254" t="s"/>
      <c r="H1254" t="s"/>
      <c r="I1254" t="s"/>
      <c r="J1254" t="n">
        <v>-0.4215</v>
      </c>
      <c r="K1254" t="n">
        <v>0.11</v>
      </c>
      <c r="L1254" t="n">
        <v>0.83</v>
      </c>
      <c r="M1254" t="n">
        <v>0.06</v>
      </c>
    </row>
    <row r="1255" spans="1:13">
      <c r="A1255" s="1">
        <f>HYPERLINK("http://www.twitter.com/NathanBLawrence/status/993358334328737793", "993358334328737793")</f>
        <v/>
      </c>
      <c r="B1255" s="2" t="n">
        <v>43227.21825231481</v>
      </c>
      <c r="C1255" t="n">
        <v>8</v>
      </c>
      <c r="D1255" t="n">
        <v>6</v>
      </c>
      <c r="E1255" t="s">
        <v>1261</v>
      </c>
      <c r="F1255" t="s"/>
      <c r="G1255" t="s"/>
      <c r="H1255" t="s"/>
      <c r="I1255" t="s"/>
      <c r="J1255" t="n">
        <v>-0.5106000000000001</v>
      </c>
      <c r="K1255" t="n">
        <v>0.094</v>
      </c>
      <c r="L1255" t="n">
        <v>0.877</v>
      </c>
      <c r="M1255" t="n">
        <v>0.029</v>
      </c>
    </row>
    <row r="1256" spans="1:13">
      <c r="A1256" s="1">
        <f>HYPERLINK("http://www.twitter.com/NathanBLawrence/status/993357833293979648", "993357833293979648")</f>
        <v/>
      </c>
      <c r="B1256" s="2" t="n">
        <v>43227.21686342593</v>
      </c>
      <c r="C1256" t="n">
        <v>3</v>
      </c>
      <c r="D1256" t="n">
        <v>2</v>
      </c>
      <c r="E1256" t="s">
        <v>1262</v>
      </c>
      <c r="F1256" t="s"/>
      <c r="G1256" t="s"/>
      <c r="H1256" t="s"/>
      <c r="I1256" t="s"/>
      <c r="J1256" t="n">
        <v>0.2023</v>
      </c>
      <c r="K1256" t="n">
        <v>0.038</v>
      </c>
      <c r="L1256" t="n">
        <v>0.882</v>
      </c>
      <c r="M1256" t="n">
        <v>0.079</v>
      </c>
    </row>
    <row r="1257" spans="1:13">
      <c r="A1257" s="1">
        <f>HYPERLINK("http://www.twitter.com/NathanBLawrence/status/993357204135841792", "993357204135841792")</f>
        <v/>
      </c>
      <c r="B1257" s="2" t="n">
        <v>43227.21512731481</v>
      </c>
      <c r="C1257" t="n">
        <v>1</v>
      </c>
      <c r="D1257" t="n">
        <v>0</v>
      </c>
      <c r="E1257" t="s">
        <v>1263</v>
      </c>
      <c r="F1257" t="s"/>
      <c r="G1257" t="s"/>
      <c r="H1257" t="s"/>
      <c r="I1257" t="s"/>
      <c r="J1257" t="n">
        <v>-0.34</v>
      </c>
      <c r="K1257" t="n">
        <v>0.06900000000000001</v>
      </c>
      <c r="L1257" t="n">
        <v>0.902</v>
      </c>
      <c r="M1257" t="n">
        <v>0.029</v>
      </c>
    </row>
    <row r="1258" spans="1:13">
      <c r="A1258" s="1">
        <f>HYPERLINK("http://www.twitter.com/NathanBLawrence/status/993356846634274817", "993356846634274817")</f>
        <v/>
      </c>
      <c r="B1258" s="2" t="n">
        <v>43227.21414351852</v>
      </c>
      <c r="C1258" t="n">
        <v>1</v>
      </c>
      <c r="D1258" t="n">
        <v>0</v>
      </c>
      <c r="E1258" t="s">
        <v>1264</v>
      </c>
      <c r="F1258" t="s"/>
      <c r="G1258" t="s"/>
      <c r="H1258" t="s"/>
      <c r="I1258" t="s"/>
      <c r="J1258" t="n">
        <v>0.8316</v>
      </c>
      <c r="K1258" t="n">
        <v>0</v>
      </c>
      <c r="L1258" t="n">
        <v>0.821</v>
      </c>
      <c r="M1258" t="n">
        <v>0.179</v>
      </c>
    </row>
    <row r="1259" spans="1:13">
      <c r="A1259" s="1">
        <f>HYPERLINK("http://www.twitter.com/NathanBLawrence/status/993356601418485761", "993356601418485761")</f>
        <v/>
      </c>
      <c r="B1259" s="2" t="n">
        <v>43227.21347222223</v>
      </c>
      <c r="C1259" t="n">
        <v>1</v>
      </c>
      <c r="D1259" t="n">
        <v>0</v>
      </c>
      <c r="E1259" t="s">
        <v>1265</v>
      </c>
      <c r="F1259" t="s"/>
      <c r="G1259" t="s"/>
      <c r="H1259" t="s"/>
      <c r="I1259" t="s"/>
      <c r="J1259" t="n">
        <v>-0.5574</v>
      </c>
      <c r="K1259" t="n">
        <v>0.093</v>
      </c>
      <c r="L1259" t="n">
        <v>0.907</v>
      </c>
      <c r="M1259" t="n">
        <v>0</v>
      </c>
    </row>
    <row r="1260" spans="1:13">
      <c r="A1260" s="1">
        <f>HYPERLINK("http://www.twitter.com/NathanBLawrence/status/993356027092496384", "993356027092496384")</f>
        <v/>
      </c>
      <c r="B1260" s="2" t="n">
        <v>43227.21188657408</v>
      </c>
      <c r="C1260" t="n">
        <v>1</v>
      </c>
      <c r="D1260" t="n">
        <v>0</v>
      </c>
      <c r="E1260" t="s">
        <v>1266</v>
      </c>
      <c r="F1260" t="s"/>
      <c r="G1260" t="s"/>
      <c r="H1260" t="s"/>
      <c r="I1260" t="s"/>
      <c r="J1260" t="n">
        <v>-0.93</v>
      </c>
      <c r="K1260" t="n">
        <v>0.239</v>
      </c>
      <c r="L1260" t="n">
        <v>0.761</v>
      </c>
      <c r="M1260" t="n">
        <v>0</v>
      </c>
    </row>
    <row r="1261" spans="1:13">
      <c r="A1261" s="1">
        <f>HYPERLINK("http://www.twitter.com/NathanBLawrence/status/993355655095443456", "993355655095443456")</f>
        <v/>
      </c>
      <c r="B1261" s="2" t="n">
        <v>43227.21085648148</v>
      </c>
      <c r="C1261" t="n">
        <v>1</v>
      </c>
      <c r="D1261" t="n">
        <v>0</v>
      </c>
      <c r="E1261" t="s">
        <v>1267</v>
      </c>
      <c r="F1261" t="s"/>
      <c r="G1261" t="s"/>
      <c r="H1261" t="s"/>
      <c r="I1261" t="s"/>
      <c r="J1261" t="n">
        <v>0.5873</v>
      </c>
      <c r="K1261" t="n">
        <v>0</v>
      </c>
      <c r="L1261" t="n">
        <v>0.896</v>
      </c>
      <c r="M1261" t="n">
        <v>0.104</v>
      </c>
    </row>
    <row r="1262" spans="1:13">
      <c r="A1262" s="1">
        <f>HYPERLINK("http://www.twitter.com/NathanBLawrence/status/993355059453923328", "993355059453923328")</f>
        <v/>
      </c>
      <c r="B1262" s="2" t="n">
        <v>43227.20921296296</v>
      </c>
      <c r="C1262" t="n">
        <v>1</v>
      </c>
      <c r="D1262" t="n">
        <v>0</v>
      </c>
      <c r="E1262" t="s">
        <v>1268</v>
      </c>
      <c r="F1262" t="s"/>
      <c r="G1262" t="s"/>
      <c r="H1262" t="s"/>
      <c r="I1262" t="s"/>
      <c r="J1262" t="n">
        <v>0.8348</v>
      </c>
      <c r="K1262" t="n">
        <v>0.049</v>
      </c>
      <c r="L1262" t="n">
        <v>0.768</v>
      </c>
      <c r="M1262" t="n">
        <v>0.183</v>
      </c>
    </row>
    <row r="1263" spans="1:13">
      <c r="A1263" s="1">
        <f>HYPERLINK("http://www.twitter.com/NathanBLawrence/status/993354333298331648", "993354333298331648")</f>
        <v/>
      </c>
      <c r="B1263" s="2" t="n">
        <v>43227.20721064815</v>
      </c>
      <c r="C1263" t="n">
        <v>0</v>
      </c>
      <c r="D1263" t="n">
        <v>0</v>
      </c>
      <c r="E1263" t="s">
        <v>1269</v>
      </c>
      <c r="F1263" t="s"/>
      <c r="G1263" t="s"/>
      <c r="H1263" t="s"/>
      <c r="I1263" t="s"/>
      <c r="J1263" t="n">
        <v>0.3818</v>
      </c>
      <c r="K1263" t="n">
        <v>0.023</v>
      </c>
      <c r="L1263" t="n">
        <v>0.907</v>
      </c>
      <c r="M1263" t="n">
        <v>0.06900000000000001</v>
      </c>
    </row>
    <row r="1264" spans="1:13">
      <c r="A1264" s="1">
        <f>HYPERLINK("http://www.twitter.com/NathanBLawrence/status/993353949515321344", "993353949515321344")</f>
        <v/>
      </c>
      <c r="B1264" s="2" t="n">
        <v>43227.20614583333</v>
      </c>
      <c r="C1264" t="n">
        <v>2</v>
      </c>
      <c r="D1264" t="n">
        <v>1</v>
      </c>
      <c r="E1264" t="s">
        <v>1270</v>
      </c>
      <c r="F1264" t="s"/>
      <c r="G1264" t="s"/>
      <c r="H1264" t="s"/>
      <c r="I1264" t="s"/>
      <c r="J1264" t="n">
        <v>0.8428</v>
      </c>
      <c r="K1264" t="n">
        <v>0.036</v>
      </c>
      <c r="L1264" t="n">
        <v>0.8120000000000001</v>
      </c>
      <c r="M1264" t="n">
        <v>0.153</v>
      </c>
    </row>
    <row r="1265" spans="1:13">
      <c r="A1265" s="1">
        <f>HYPERLINK("http://www.twitter.com/NathanBLawrence/status/993353115956105216", "993353115956105216")</f>
        <v/>
      </c>
      <c r="B1265" s="2" t="n">
        <v>43227.20385416667</v>
      </c>
      <c r="C1265" t="n">
        <v>1</v>
      </c>
      <c r="D1265" t="n">
        <v>1</v>
      </c>
      <c r="E1265" t="s">
        <v>1271</v>
      </c>
      <c r="F1265" t="s"/>
      <c r="G1265" t="s"/>
      <c r="H1265" t="s"/>
      <c r="I1265" t="s"/>
      <c r="J1265" t="n">
        <v>-0.6742</v>
      </c>
      <c r="K1265" t="n">
        <v>0.075</v>
      </c>
      <c r="L1265" t="n">
        <v>0.925</v>
      </c>
      <c r="M1265" t="n">
        <v>0</v>
      </c>
    </row>
    <row r="1266" spans="1:13">
      <c r="A1266" s="1">
        <f>HYPERLINK("http://www.twitter.com/NathanBLawrence/status/993352491172597762", "993352491172597762")</f>
        <v/>
      </c>
      <c r="B1266" s="2" t="n">
        <v>43227.20212962963</v>
      </c>
      <c r="C1266" t="n">
        <v>1</v>
      </c>
      <c r="D1266" t="n">
        <v>1</v>
      </c>
      <c r="E1266" t="s">
        <v>1272</v>
      </c>
      <c r="F1266" t="s"/>
      <c r="G1266" t="s"/>
      <c r="H1266" t="s"/>
      <c r="I1266" t="s"/>
      <c r="J1266" t="n">
        <v>-0.8225</v>
      </c>
      <c r="K1266" t="n">
        <v>0.184</v>
      </c>
      <c r="L1266" t="n">
        <v>0.773</v>
      </c>
      <c r="M1266" t="n">
        <v>0.043</v>
      </c>
    </row>
    <row r="1267" spans="1:13">
      <c r="A1267" s="1">
        <f>HYPERLINK("http://www.twitter.com/NathanBLawrence/status/993352188473872385", "993352188473872385")</f>
        <v/>
      </c>
      <c r="B1267" s="2" t="n">
        <v>43227.20128472222</v>
      </c>
      <c r="C1267" t="n">
        <v>1</v>
      </c>
      <c r="D1267" t="n">
        <v>1</v>
      </c>
      <c r="E1267" t="s">
        <v>1273</v>
      </c>
      <c r="F1267" t="s"/>
      <c r="G1267" t="s"/>
      <c r="H1267" t="s"/>
      <c r="I1267" t="s"/>
      <c r="J1267" t="n">
        <v>-0.8732</v>
      </c>
      <c r="K1267" t="n">
        <v>0.217</v>
      </c>
      <c r="L1267" t="n">
        <v>0.74</v>
      </c>
      <c r="M1267" t="n">
        <v>0.042</v>
      </c>
    </row>
    <row r="1268" spans="1:13">
      <c r="A1268" s="1">
        <f>HYPERLINK("http://www.twitter.com/NathanBLawrence/status/993351810034360320", "993351810034360320")</f>
        <v/>
      </c>
      <c r="B1268" s="2" t="n">
        <v>43227.20024305556</v>
      </c>
      <c r="C1268" t="n">
        <v>1</v>
      </c>
      <c r="D1268" t="n">
        <v>0</v>
      </c>
      <c r="E1268" t="s">
        <v>1274</v>
      </c>
      <c r="F1268" t="s"/>
      <c r="G1268" t="s"/>
      <c r="H1268" t="s"/>
      <c r="I1268" t="s"/>
      <c r="J1268" t="n">
        <v>-0.1779</v>
      </c>
      <c r="K1268" t="n">
        <v>0.062</v>
      </c>
      <c r="L1268" t="n">
        <v>0.892</v>
      </c>
      <c r="M1268" t="n">
        <v>0.046</v>
      </c>
    </row>
    <row r="1269" spans="1:13">
      <c r="A1269" s="1">
        <f>HYPERLINK("http://www.twitter.com/NathanBLawrence/status/993351277403955201", "993351277403955201")</f>
        <v/>
      </c>
      <c r="B1269" s="2" t="n">
        <v>43227.19877314815</v>
      </c>
      <c r="C1269" t="n">
        <v>1</v>
      </c>
      <c r="D1269" t="n">
        <v>1</v>
      </c>
      <c r="E1269" t="s">
        <v>1275</v>
      </c>
      <c r="F1269" t="s"/>
      <c r="G1269" t="s"/>
      <c r="H1269" t="s"/>
      <c r="I1269" t="s"/>
      <c r="J1269" t="n">
        <v>-0.4391</v>
      </c>
      <c r="K1269" t="n">
        <v>0.154</v>
      </c>
      <c r="L1269" t="n">
        <v>0.791</v>
      </c>
      <c r="M1269" t="n">
        <v>0.055</v>
      </c>
    </row>
    <row r="1270" spans="1:13">
      <c r="A1270" s="1">
        <f>HYPERLINK("http://www.twitter.com/NathanBLawrence/status/993350718164783104", "993350718164783104")</f>
        <v/>
      </c>
      <c r="B1270" s="2" t="n">
        <v>43227.19723379629</v>
      </c>
      <c r="C1270" t="n">
        <v>4</v>
      </c>
      <c r="D1270" t="n">
        <v>1</v>
      </c>
      <c r="E1270" t="s">
        <v>1276</v>
      </c>
      <c r="F1270" t="s"/>
      <c r="G1270" t="s"/>
      <c r="H1270" t="s"/>
      <c r="I1270" t="s"/>
      <c r="J1270" t="n">
        <v>-0.743</v>
      </c>
      <c r="K1270" t="n">
        <v>0.148</v>
      </c>
      <c r="L1270" t="n">
        <v>0.8169999999999999</v>
      </c>
      <c r="M1270" t="n">
        <v>0.035</v>
      </c>
    </row>
    <row r="1271" spans="1:13">
      <c r="A1271" s="1">
        <f>HYPERLINK("http://www.twitter.com/NathanBLawrence/status/993350409216516096", "993350409216516096")</f>
        <v/>
      </c>
      <c r="B1271" s="2" t="n">
        <v>43227.19637731482</v>
      </c>
      <c r="C1271" t="n">
        <v>2</v>
      </c>
      <c r="D1271" t="n">
        <v>1</v>
      </c>
      <c r="E1271" t="s">
        <v>1277</v>
      </c>
      <c r="F1271" t="s"/>
      <c r="G1271" t="s"/>
      <c r="H1271" t="s"/>
      <c r="I1271" t="s"/>
      <c r="J1271" t="n">
        <v>-0.7184</v>
      </c>
      <c r="K1271" t="n">
        <v>0.125</v>
      </c>
      <c r="L1271" t="n">
        <v>0.875</v>
      </c>
      <c r="M1271" t="n">
        <v>0</v>
      </c>
    </row>
    <row r="1272" spans="1:13">
      <c r="A1272" s="1">
        <f>HYPERLINK("http://www.twitter.com/NathanBLawrence/status/993337511350099968", "993337511350099968")</f>
        <v/>
      </c>
      <c r="B1272" s="2" t="n">
        <v>43227.16078703704</v>
      </c>
      <c r="C1272" t="n">
        <v>0</v>
      </c>
      <c r="D1272" t="n">
        <v>6</v>
      </c>
      <c r="E1272" t="s">
        <v>1278</v>
      </c>
      <c r="F1272" t="s"/>
      <c r="G1272" t="s"/>
      <c r="H1272" t="s"/>
      <c r="I1272" t="s"/>
      <c r="J1272" t="n">
        <v>-0.7845</v>
      </c>
      <c r="K1272" t="n">
        <v>0.351</v>
      </c>
      <c r="L1272" t="n">
        <v>0.59</v>
      </c>
      <c r="M1272" t="n">
        <v>0.059</v>
      </c>
    </row>
    <row r="1273" spans="1:13">
      <c r="A1273" s="1">
        <f>HYPERLINK("http://www.twitter.com/NathanBLawrence/status/993317254191288321", "993317254191288321")</f>
        <v/>
      </c>
      <c r="B1273" s="2" t="n">
        <v>43227.10488425926</v>
      </c>
      <c r="C1273" t="n">
        <v>0</v>
      </c>
      <c r="D1273" t="n">
        <v>8</v>
      </c>
      <c r="E1273" t="s">
        <v>1279</v>
      </c>
      <c r="F1273" t="s"/>
      <c r="G1273" t="s"/>
      <c r="H1273" t="s"/>
      <c r="I1273" t="s"/>
      <c r="J1273" t="n">
        <v>0</v>
      </c>
      <c r="K1273" t="n">
        <v>0</v>
      </c>
      <c r="L1273" t="n">
        <v>1</v>
      </c>
      <c r="M1273" t="n">
        <v>0</v>
      </c>
    </row>
    <row r="1274" spans="1:13">
      <c r="A1274" s="1">
        <f>HYPERLINK("http://www.twitter.com/NathanBLawrence/status/993314728175915008", "993314728175915008")</f>
        <v/>
      </c>
      <c r="B1274" s="2" t="n">
        <v>43227.09791666667</v>
      </c>
      <c r="C1274" t="n">
        <v>0</v>
      </c>
      <c r="D1274" t="n">
        <v>3</v>
      </c>
      <c r="E1274" t="s">
        <v>1280</v>
      </c>
      <c r="F1274" t="s"/>
      <c r="G1274" t="s"/>
      <c r="H1274" t="s"/>
      <c r="I1274" t="s"/>
      <c r="J1274" t="n">
        <v>0.4149</v>
      </c>
      <c r="K1274" t="n">
        <v>0</v>
      </c>
      <c r="L1274" t="n">
        <v>0.854</v>
      </c>
      <c r="M1274" t="n">
        <v>0.146</v>
      </c>
    </row>
    <row r="1275" spans="1:13">
      <c r="A1275" s="1">
        <f>HYPERLINK("http://www.twitter.com/NathanBLawrence/status/993314156160978944", "993314156160978944")</f>
        <v/>
      </c>
      <c r="B1275" s="2" t="n">
        <v>43227.09634259259</v>
      </c>
      <c r="C1275" t="n">
        <v>0</v>
      </c>
      <c r="D1275" t="n">
        <v>5</v>
      </c>
      <c r="E1275" t="s">
        <v>1281</v>
      </c>
      <c r="F1275" t="s"/>
      <c r="G1275" t="s"/>
      <c r="H1275" t="s"/>
      <c r="I1275" t="s"/>
      <c r="J1275" t="n">
        <v>0.4404</v>
      </c>
      <c r="K1275" t="n">
        <v>0</v>
      </c>
      <c r="L1275" t="n">
        <v>0.888</v>
      </c>
      <c r="M1275" t="n">
        <v>0.112</v>
      </c>
    </row>
    <row r="1276" spans="1:13">
      <c r="A1276" s="1">
        <f>HYPERLINK("http://www.twitter.com/NathanBLawrence/status/993314107532234752", "993314107532234752")</f>
        <v/>
      </c>
      <c r="B1276" s="2" t="n">
        <v>43227.0962037037</v>
      </c>
      <c r="C1276" t="n">
        <v>0</v>
      </c>
      <c r="D1276" t="n">
        <v>8</v>
      </c>
      <c r="E1276" t="s">
        <v>1282</v>
      </c>
      <c r="F1276" t="s"/>
      <c r="G1276" t="s"/>
      <c r="H1276" t="s"/>
      <c r="I1276" t="s"/>
      <c r="J1276" t="n">
        <v>-0.1406</v>
      </c>
      <c r="K1276" t="n">
        <v>0.092</v>
      </c>
      <c r="L1276" t="n">
        <v>0.838</v>
      </c>
      <c r="M1276" t="n">
        <v>0.07000000000000001</v>
      </c>
    </row>
    <row r="1277" spans="1:13">
      <c r="A1277" s="1">
        <f>HYPERLINK("http://www.twitter.com/NathanBLawrence/status/993313963596185600", "993313963596185600")</f>
        <v/>
      </c>
      <c r="B1277" s="2" t="n">
        <v>43227.09581018519</v>
      </c>
      <c r="C1277" t="n">
        <v>0</v>
      </c>
      <c r="D1277" t="n">
        <v>5</v>
      </c>
      <c r="E1277" t="s">
        <v>1283</v>
      </c>
      <c r="F1277" t="s"/>
      <c r="G1277" t="s"/>
      <c r="H1277" t="s"/>
      <c r="I1277" t="s"/>
      <c r="J1277" t="n">
        <v>-0.0516</v>
      </c>
      <c r="K1277" t="n">
        <v>0.125</v>
      </c>
      <c r="L1277" t="n">
        <v>0.759</v>
      </c>
      <c r="M1277" t="n">
        <v>0.116</v>
      </c>
    </row>
    <row r="1278" spans="1:13">
      <c r="A1278" s="1">
        <f>HYPERLINK("http://www.twitter.com/NathanBLawrence/status/993313943459377152", "993313943459377152")</f>
        <v/>
      </c>
      <c r="B1278" s="2" t="n">
        <v>43227.09575231482</v>
      </c>
      <c r="C1278" t="n">
        <v>1</v>
      </c>
      <c r="D1278" t="n">
        <v>0</v>
      </c>
      <c r="E1278" t="s">
        <v>1284</v>
      </c>
      <c r="F1278" t="s"/>
      <c r="G1278" t="s"/>
      <c r="H1278" t="s"/>
      <c r="I1278" t="s"/>
      <c r="J1278" t="n">
        <v>0.4927</v>
      </c>
      <c r="K1278" t="n">
        <v>0</v>
      </c>
      <c r="L1278" t="n">
        <v>0.6870000000000001</v>
      </c>
      <c r="M1278" t="n">
        <v>0.313</v>
      </c>
    </row>
    <row r="1279" spans="1:13">
      <c r="A1279" s="1">
        <f>HYPERLINK("http://www.twitter.com/NathanBLawrence/status/993313781446037504", "993313781446037504")</f>
        <v/>
      </c>
      <c r="B1279" s="2" t="n">
        <v>43227.0953125</v>
      </c>
      <c r="C1279" t="n">
        <v>0</v>
      </c>
      <c r="D1279" t="n">
        <v>5</v>
      </c>
      <c r="E1279" t="s">
        <v>1285</v>
      </c>
      <c r="F1279" t="s"/>
      <c r="G1279" t="s"/>
      <c r="H1279" t="s"/>
      <c r="I1279" t="s"/>
      <c r="J1279" t="n">
        <v>0</v>
      </c>
      <c r="K1279" t="n">
        <v>0.099</v>
      </c>
      <c r="L1279" t="n">
        <v>0.803</v>
      </c>
      <c r="M1279" t="n">
        <v>0.099</v>
      </c>
    </row>
    <row r="1280" spans="1:13">
      <c r="A1280" s="1">
        <f>HYPERLINK("http://www.twitter.com/NathanBLawrence/status/993313776224165890", "993313776224165890")</f>
        <v/>
      </c>
      <c r="B1280" s="2" t="n">
        <v>43227.09528935186</v>
      </c>
      <c r="C1280" t="n">
        <v>0</v>
      </c>
      <c r="D1280" t="n">
        <v>7</v>
      </c>
      <c r="E1280" t="s">
        <v>1286</v>
      </c>
      <c r="F1280" t="s"/>
      <c r="G1280" t="s"/>
      <c r="H1280" t="s"/>
      <c r="I1280" t="s"/>
      <c r="J1280" t="n">
        <v>0</v>
      </c>
      <c r="K1280" t="n">
        <v>0</v>
      </c>
      <c r="L1280" t="n">
        <v>1</v>
      </c>
      <c r="M1280" t="n">
        <v>0</v>
      </c>
    </row>
    <row r="1281" spans="1:13">
      <c r="A1281" s="1">
        <f>HYPERLINK("http://www.twitter.com/NathanBLawrence/status/993313721006030848", "993313721006030848")</f>
        <v/>
      </c>
      <c r="B1281" s="2" t="n">
        <v>43227.09513888889</v>
      </c>
      <c r="C1281" t="n">
        <v>0</v>
      </c>
      <c r="D1281" t="n">
        <v>12</v>
      </c>
      <c r="E1281" t="s">
        <v>1287</v>
      </c>
      <c r="F1281" t="s"/>
      <c r="G1281" t="s"/>
      <c r="H1281" t="s"/>
      <c r="I1281" t="s"/>
      <c r="J1281" t="n">
        <v>0</v>
      </c>
      <c r="K1281" t="n">
        <v>0.101</v>
      </c>
      <c r="L1281" t="n">
        <v>0.798</v>
      </c>
      <c r="M1281" t="n">
        <v>0.101</v>
      </c>
    </row>
    <row r="1282" spans="1:13">
      <c r="A1282" s="1">
        <f>HYPERLINK("http://www.twitter.com/NathanBLawrence/status/993313702509268999", "993313702509268999")</f>
        <v/>
      </c>
      <c r="B1282" s="2" t="n">
        <v>43227.09509259259</v>
      </c>
      <c r="C1282" t="n">
        <v>0</v>
      </c>
      <c r="D1282" t="n">
        <v>7</v>
      </c>
      <c r="E1282" t="s">
        <v>1288</v>
      </c>
      <c r="F1282" t="s"/>
      <c r="G1282" t="s"/>
      <c r="H1282" t="s"/>
      <c r="I1282" t="s"/>
      <c r="J1282" t="n">
        <v>0</v>
      </c>
      <c r="K1282" t="n">
        <v>0</v>
      </c>
      <c r="L1282" t="n">
        <v>1</v>
      </c>
      <c r="M1282" t="n">
        <v>0</v>
      </c>
    </row>
    <row r="1283" spans="1:13">
      <c r="A1283" s="1">
        <f>HYPERLINK("http://www.twitter.com/NathanBLawrence/status/993313685555830789", "993313685555830789")</f>
        <v/>
      </c>
      <c r="B1283" s="2" t="n">
        <v>43227.09504629629</v>
      </c>
      <c r="C1283" t="n">
        <v>0</v>
      </c>
      <c r="D1283" t="n">
        <v>6</v>
      </c>
      <c r="E1283" t="s">
        <v>1289</v>
      </c>
      <c r="F1283" t="s"/>
      <c r="G1283" t="s"/>
      <c r="H1283" t="s"/>
      <c r="I1283" t="s"/>
      <c r="J1283" t="n">
        <v>0</v>
      </c>
      <c r="K1283" t="n">
        <v>0</v>
      </c>
      <c r="L1283" t="n">
        <v>1</v>
      </c>
      <c r="M1283" t="n">
        <v>0</v>
      </c>
    </row>
    <row r="1284" spans="1:13">
      <c r="A1284" s="1">
        <f>HYPERLINK("http://www.twitter.com/NathanBLawrence/status/993313616865656832", "993313616865656832")</f>
        <v/>
      </c>
      <c r="B1284" s="2" t="n">
        <v>43227.09484953704</v>
      </c>
      <c r="C1284" t="n">
        <v>0</v>
      </c>
      <c r="D1284" t="n">
        <v>19</v>
      </c>
      <c r="E1284" t="s">
        <v>1290</v>
      </c>
      <c r="F1284">
        <f>HYPERLINK("http://pbs.twimg.com/media/DcjyMBCVwAAfETo.jpg", "http://pbs.twimg.com/media/DcjyMBCVwAAfETo.jpg")</f>
        <v/>
      </c>
      <c r="G1284" t="s"/>
      <c r="H1284" t="s"/>
      <c r="I1284" t="s"/>
      <c r="J1284" t="n">
        <v>0.5106000000000001</v>
      </c>
      <c r="K1284" t="n">
        <v>0</v>
      </c>
      <c r="L1284" t="n">
        <v>0.829</v>
      </c>
      <c r="M1284" t="n">
        <v>0.171</v>
      </c>
    </row>
    <row r="1285" spans="1:13">
      <c r="A1285" s="1">
        <f>HYPERLINK("http://www.twitter.com/NathanBLawrence/status/993313530458894336", "993313530458894336")</f>
        <v/>
      </c>
      <c r="B1285" s="2" t="n">
        <v>43227.09461805555</v>
      </c>
      <c r="C1285" t="n">
        <v>0</v>
      </c>
      <c r="D1285" t="n">
        <v>0</v>
      </c>
      <c r="E1285" t="s">
        <v>1291</v>
      </c>
      <c r="F1285" t="s"/>
      <c r="G1285" t="s"/>
      <c r="H1285" t="s"/>
      <c r="I1285" t="s"/>
      <c r="J1285" t="n">
        <v>-0.5859</v>
      </c>
      <c r="K1285" t="n">
        <v>0.219</v>
      </c>
      <c r="L1285" t="n">
        <v>0.694</v>
      </c>
      <c r="M1285" t="n">
        <v>0.08699999999999999</v>
      </c>
    </row>
    <row r="1286" spans="1:13">
      <c r="A1286" s="1">
        <f>HYPERLINK("http://www.twitter.com/NathanBLawrence/status/993313351022317570", "993313351022317570")</f>
        <v/>
      </c>
      <c r="B1286" s="2" t="n">
        <v>43227.09412037037</v>
      </c>
      <c r="C1286" t="n">
        <v>0</v>
      </c>
      <c r="D1286" t="n">
        <v>0</v>
      </c>
      <c r="E1286" t="s">
        <v>1292</v>
      </c>
      <c r="F1286" t="s"/>
      <c r="G1286" t="s"/>
      <c r="H1286" t="s"/>
      <c r="I1286" t="s"/>
      <c r="J1286" t="n">
        <v>-0.1027</v>
      </c>
      <c r="K1286" t="n">
        <v>0.101</v>
      </c>
      <c r="L1286" t="n">
        <v>0.8120000000000001</v>
      </c>
      <c r="M1286" t="n">
        <v>0.08799999999999999</v>
      </c>
    </row>
    <row r="1287" spans="1:13">
      <c r="A1287" s="1">
        <f>HYPERLINK("http://www.twitter.com/NathanBLawrence/status/993313231023362048", "993313231023362048")</f>
        <v/>
      </c>
      <c r="B1287" s="2" t="n">
        <v>43227.09378472222</v>
      </c>
      <c r="C1287" t="n">
        <v>0</v>
      </c>
      <c r="D1287" t="n">
        <v>0</v>
      </c>
      <c r="E1287" t="s">
        <v>1293</v>
      </c>
      <c r="F1287" t="s"/>
      <c r="G1287" t="s"/>
      <c r="H1287" t="s"/>
      <c r="I1287" t="s"/>
      <c r="J1287" t="n">
        <v>0.765</v>
      </c>
      <c r="K1287" t="n">
        <v>0</v>
      </c>
      <c r="L1287" t="n">
        <v>0.625</v>
      </c>
      <c r="M1287" t="n">
        <v>0.375</v>
      </c>
    </row>
    <row r="1288" spans="1:13">
      <c r="A1288" s="1">
        <f>HYPERLINK("http://www.twitter.com/NathanBLawrence/status/993300131834417152", "993300131834417152")</f>
        <v/>
      </c>
      <c r="B1288" s="2" t="n">
        <v>43227.05763888889</v>
      </c>
      <c r="C1288" t="n">
        <v>0</v>
      </c>
      <c r="D1288" t="n">
        <v>0</v>
      </c>
      <c r="E1288" t="s">
        <v>1294</v>
      </c>
      <c r="F1288" t="s"/>
      <c r="G1288" t="s"/>
      <c r="H1288" t="s"/>
      <c r="I1288" t="s"/>
      <c r="J1288" t="n">
        <v>0.4102</v>
      </c>
      <c r="K1288" t="n">
        <v>0.089</v>
      </c>
      <c r="L1288" t="n">
        <v>0.755</v>
      </c>
      <c r="M1288" t="n">
        <v>0.156</v>
      </c>
    </row>
    <row r="1289" spans="1:13">
      <c r="A1289" s="1">
        <f>HYPERLINK("http://www.twitter.com/NathanBLawrence/status/993299758377775104", "993299758377775104")</f>
        <v/>
      </c>
      <c r="B1289" s="2" t="n">
        <v>43227.05660879629</v>
      </c>
      <c r="C1289" t="n">
        <v>1</v>
      </c>
      <c r="D1289" t="n">
        <v>0</v>
      </c>
      <c r="E1289" t="s">
        <v>1295</v>
      </c>
      <c r="F1289" t="s"/>
      <c r="G1289" t="s"/>
      <c r="H1289" t="s"/>
      <c r="I1289" t="s"/>
      <c r="J1289" t="n">
        <v>-0.8032</v>
      </c>
      <c r="K1289" t="n">
        <v>0.132</v>
      </c>
      <c r="L1289" t="n">
        <v>0.868</v>
      </c>
      <c r="M1289" t="n">
        <v>0</v>
      </c>
    </row>
    <row r="1290" spans="1:13">
      <c r="A1290" s="1">
        <f>HYPERLINK("http://www.twitter.com/NathanBLawrence/status/993299413102682112", "993299413102682112")</f>
        <v/>
      </c>
      <c r="B1290" s="2" t="n">
        <v>43227.05565972222</v>
      </c>
      <c r="C1290" t="n">
        <v>2</v>
      </c>
      <c r="D1290" t="n">
        <v>0</v>
      </c>
      <c r="E1290" t="s">
        <v>1296</v>
      </c>
      <c r="F1290" t="s"/>
      <c r="G1290" t="s"/>
      <c r="H1290" t="s"/>
      <c r="I1290" t="s"/>
      <c r="J1290" t="n">
        <v>0.7351</v>
      </c>
      <c r="K1290" t="n">
        <v>0</v>
      </c>
      <c r="L1290" t="n">
        <v>0.874</v>
      </c>
      <c r="M1290" t="n">
        <v>0.126</v>
      </c>
    </row>
    <row r="1291" spans="1:13">
      <c r="A1291" s="1">
        <f>HYPERLINK("http://www.twitter.com/NathanBLawrence/status/993298960780492800", "993298960780492800")</f>
        <v/>
      </c>
      <c r="B1291" s="2" t="n">
        <v>43227.05440972222</v>
      </c>
      <c r="C1291" t="n">
        <v>0</v>
      </c>
      <c r="D1291" t="n">
        <v>0</v>
      </c>
      <c r="E1291" t="s">
        <v>1297</v>
      </c>
      <c r="F1291" t="s"/>
      <c r="G1291" t="s"/>
      <c r="H1291" t="s"/>
      <c r="I1291" t="s"/>
      <c r="J1291" t="n">
        <v>0.5574</v>
      </c>
      <c r="K1291" t="n">
        <v>0</v>
      </c>
      <c r="L1291" t="n">
        <v>0.878</v>
      </c>
      <c r="M1291" t="n">
        <v>0.122</v>
      </c>
    </row>
    <row r="1292" spans="1:13">
      <c r="A1292" s="1">
        <f>HYPERLINK("http://www.twitter.com/NathanBLawrence/status/993298629980053504", "993298629980053504")</f>
        <v/>
      </c>
      <c r="B1292" s="2" t="n">
        <v>43227.05349537037</v>
      </c>
      <c r="C1292" t="n">
        <v>0</v>
      </c>
      <c r="D1292" t="n">
        <v>0</v>
      </c>
      <c r="E1292" t="s">
        <v>1298</v>
      </c>
      <c r="F1292" t="s"/>
      <c r="G1292" t="s"/>
      <c r="H1292" t="s"/>
      <c r="I1292" t="s"/>
      <c r="J1292" t="n">
        <v>-0.8442</v>
      </c>
      <c r="K1292" t="n">
        <v>0.142</v>
      </c>
      <c r="L1292" t="n">
        <v>0.858</v>
      </c>
      <c r="M1292" t="n">
        <v>0</v>
      </c>
    </row>
    <row r="1293" spans="1:13">
      <c r="A1293" s="1">
        <f>HYPERLINK("http://www.twitter.com/NathanBLawrence/status/993298094744920066", "993298094744920066")</f>
        <v/>
      </c>
      <c r="B1293" s="2" t="n">
        <v>43227.05202546297</v>
      </c>
      <c r="C1293" t="n">
        <v>2</v>
      </c>
      <c r="D1293" t="n">
        <v>0</v>
      </c>
      <c r="E1293" t="s">
        <v>1299</v>
      </c>
      <c r="F1293" t="s"/>
      <c r="G1293" t="s"/>
      <c r="H1293" t="s"/>
      <c r="I1293" t="s"/>
      <c r="J1293" t="n">
        <v>-0.8605</v>
      </c>
      <c r="K1293" t="n">
        <v>0.221</v>
      </c>
      <c r="L1293" t="n">
        <v>0.668</v>
      </c>
      <c r="M1293" t="n">
        <v>0.111</v>
      </c>
    </row>
    <row r="1294" spans="1:13">
      <c r="A1294" s="1">
        <f>HYPERLINK("http://www.twitter.com/NathanBLawrence/status/993297363589652480", "993297363589652480")</f>
        <v/>
      </c>
      <c r="B1294" s="2" t="n">
        <v>43227.05</v>
      </c>
      <c r="C1294" t="n">
        <v>0</v>
      </c>
      <c r="D1294" t="n">
        <v>1</v>
      </c>
      <c r="E1294" t="s">
        <v>1300</v>
      </c>
      <c r="F1294" t="s"/>
      <c r="G1294" t="s"/>
      <c r="H1294" t="s"/>
      <c r="I1294" t="s"/>
      <c r="J1294" t="n">
        <v>-0.4341</v>
      </c>
      <c r="K1294" t="n">
        <v>0.125</v>
      </c>
      <c r="L1294" t="n">
        <v>0.875</v>
      </c>
      <c r="M1294" t="n">
        <v>0</v>
      </c>
    </row>
    <row r="1295" spans="1:13">
      <c r="A1295" s="1">
        <f>HYPERLINK("http://www.twitter.com/NathanBLawrence/status/993296922520801281", "993296922520801281")</f>
        <v/>
      </c>
      <c r="B1295" s="2" t="n">
        <v>43227.04878472222</v>
      </c>
      <c r="C1295" t="n">
        <v>3</v>
      </c>
      <c r="D1295" t="n">
        <v>0</v>
      </c>
      <c r="E1295" t="s">
        <v>1301</v>
      </c>
      <c r="F1295" t="s"/>
      <c r="G1295" t="s"/>
      <c r="H1295" t="s"/>
      <c r="I1295" t="s"/>
      <c r="J1295" t="n">
        <v>-0.9115</v>
      </c>
      <c r="K1295" t="n">
        <v>0.214</v>
      </c>
      <c r="L1295" t="n">
        <v>0.725</v>
      </c>
      <c r="M1295" t="n">
        <v>0.061</v>
      </c>
    </row>
    <row r="1296" spans="1:13">
      <c r="A1296" s="1">
        <f>HYPERLINK("http://www.twitter.com/NathanBLawrence/status/993296495700054018", "993296495700054018")</f>
        <v/>
      </c>
      <c r="B1296" s="2" t="n">
        <v>43227.04760416667</v>
      </c>
      <c r="C1296" t="n">
        <v>2</v>
      </c>
      <c r="D1296" t="n">
        <v>0</v>
      </c>
      <c r="E1296" t="s">
        <v>1302</v>
      </c>
      <c r="F1296" t="s"/>
      <c r="G1296" t="s"/>
      <c r="H1296" t="s"/>
      <c r="I1296" t="s"/>
      <c r="J1296" t="n">
        <v>-0.6063</v>
      </c>
      <c r="K1296" t="n">
        <v>0.132</v>
      </c>
      <c r="L1296" t="n">
        <v>0.799</v>
      </c>
      <c r="M1296" t="n">
        <v>0.06900000000000001</v>
      </c>
    </row>
    <row r="1297" spans="1:13">
      <c r="A1297" s="1">
        <f>HYPERLINK("http://www.twitter.com/NathanBLawrence/status/993295714791849986", "993295714791849986")</f>
        <v/>
      </c>
      <c r="B1297" s="2" t="n">
        <v>43227.04545138889</v>
      </c>
      <c r="C1297" t="n">
        <v>3</v>
      </c>
      <c r="D1297" t="n">
        <v>0</v>
      </c>
      <c r="E1297" t="s">
        <v>1303</v>
      </c>
      <c r="F1297" t="s"/>
      <c r="G1297" t="s"/>
      <c r="H1297" t="s"/>
      <c r="I1297" t="s"/>
      <c r="J1297" t="n">
        <v>-0.5994</v>
      </c>
      <c r="K1297" t="n">
        <v>0.167</v>
      </c>
      <c r="L1297" t="n">
        <v>0.739</v>
      </c>
      <c r="M1297" t="n">
        <v>0.095</v>
      </c>
    </row>
    <row r="1298" spans="1:13">
      <c r="A1298" s="1">
        <f>HYPERLINK("http://www.twitter.com/NathanBLawrence/status/993295282187259906", "993295282187259906")</f>
        <v/>
      </c>
      <c r="B1298" s="2" t="n">
        <v>43227.04425925926</v>
      </c>
      <c r="C1298" t="n">
        <v>0</v>
      </c>
      <c r="D1298" t="n">
        <v>9</v>
      </c>
      <c r="E1298" t="s">
        <v>1304</v>
      </c>
      <c r="F1298" t="s"/>
      <c r="G1298" t="s"/>
      <c r="H1298" t="s"/>
      <c r="I1298" t="s"/>
      <c r="J1298" t="n">
        <v>-0.2732</v>
      </c>
      <c r="K1298" t="n">
        <v>0.08400000000000001</v>
      </c>
      <c r="L1298" t="n">
        <v>0.916</v>
      </c>
      <c r="M1298" t="n">
        <v>0</v>
      </c>
    </row>
    <row r="1299" spans="1:13">
      <c r="A1299" s="1">
        <f>HYPERLINK("http://www.twitter.com/NathanBLawrence/status/993295252424396802", "993295252424396802")</f>
        <v/>
      </c>
      <c r="B1299" s="2" t="n">
        <v>43227.04417824074</v>
      </c>
      <c r="C1299" t="n">
        <v>0</v>
      </c>
      <c r="D1299" t="n">
        <v>5</v>
      </c>
      <c r="E1299" t="s">
        <v>1305</v>
      </c>
      <c r="F1299" t="s"/>
      <c r="G1299" t="s"/>
      <c r="H1299" t="s"/>
      <c r="I1299" t="s"/>
      <c r="J1299" t="n">
        <v>0</v>
      </c>
      <c r="K1299" t="n">
        <v>0</v>
      </c>
      <c r="L1299" t="n">
        <v>1</v>
      </c>
      <c r="M1299" t="n">
        <v>0</v>
      </c>
    </row>
    <row r="1300" spans="1:13">
      <c r="A1300" s="1">
        <f>HYPERLINK("http://www.twitter.com/NathanBLawrence/status/993294966641299458", "993294966641299458")</f>
        <v/>
      </c>
      <c r="B1300" s="2" t="n">
        <v>43227.0433912037</v>
      </c>
      <c r="C1300" t="n">
        <v>0</v>
      </c>
      <c r="D1300" t="n">
        <v>19</v>
      </c>
      <c r="E1300" t="s">
        <v>1306</v>
      </c>
      <c r="F1300" t="s"/>
      <c r="G1300" t="s"/>
      <c r="H1300" t="s"/>
      <c r="I1300" t="s"/>
      <c r="J1300" t="n">
        <v>-0.3127</v>
      </c>
      <c r="K1300" t="n">
        <v>0.198</v>
      </c>
      <c r="L1300" t="n">
        <v>0.6899999999999999</v>
      </c>
      <c r="M1300" t="n">
        <v>0.111</v>
      </c>
    </row>
    <row r="1301" spans="1:13">
      <c r="A1301" s="1">
        <f>HYPERLINK("http://www.twitter.com/NathanBLawrence/status/993245409886826497", "993245409886826497")</f>
        <v/>
      </c>
      <c r="B1301" s="2" t="n">
        <v>43226.90663194445</v>
      </c>
      <c r="C1301" t="n">
        <v>0</v>
      </c>
      <c r="D1301" t="n">
        <v>21</v>
      </c>
      <c r="E1301" t="s">
        <v>1307</v>
      </c>
      <c r="F1301">
        <f>HYPERLINK("http://pbs.twimg.com/media/Dci2Y-3WAAEIP2w.jpg", "http://pbs.twimg.com/media/Dci2Y-3WAAEIP2w.jpg")</f>
        <v/>
      </c>
      <c r="G1301" t="s"/>
      <c r="H1301" t="s"/>
      <c r="I1301" t="s"/>
      <c r="J1301" t="n">
        <v>0.3182</v>
      </c>
      <c r="K1301" t="n">
        <v>0.079</v>
      </c>
      <c r="L1301" t="n">
        <v>0.758</v>
      </c>
      <c r="M1301" t="n">
        <v>0.162</v>
      </c>
    </row>
    <row r="1302" spans="1:13">
      <c r="A1302" s="1">
        <f>HYPERLINK("http://www.twitter.com/NathanBLawrence/status/993228024123478016", "993228024123478016")</f>
        <v/>
      </c>
      <c r="B1302" s="2" t="n">
        <v>43226.85865740741</v>
      </c>
      <c r="C1302" t="n">
        <v>0</v>
      </c>
      <c r="D1302" t="n">
        <v>12</v>
      </c>
      <c r="E1302" t="s">
        <v>1308</v>
      </c>
      <c r="F1302" t="s"/>
      <c r="G1302" t="s"/>
      <c r="H1302" t="s"/>
      <c r="I1302" t="s"/>
      <c r="J1302" t="n">
        <v>0</v>
      </c>
      <c r="K1302" t="n">
        <v>0</v>
      </c>
      <c r="L1302" t="n">
        <v>1</v>
      </c>
      <c r="M1302" t="n">
        <v>0</v>
      </c>
    </row>
    <row r="1303" spans="1:13">
      <c r="A1303" s="1">
        <f>HYPERLINK("http://www.twitter.com/NathanBLawrence/status/993213088345272320", "993213088345272320")</f>
        <v/>
      </c>
      <c r="B1303" s="2" t="n">
        <v>43226.81744212963</v>
      </c>
      <c r="C1303" t="n">
        <v>2</v>
      </c>
      <c r="D1303" t="n">
        <v>0</v>
      </c>
      <c r="E1303" t="s">
        <v>1309</v>
      </c>
      <c r="F1303" t="s"/>
      <c r="G1303" t="s"/>
      <c r="H1303" t="s"/>
      <c r="I1303" t="s"/>
      <c r="J1303" t="n">
        <v>0.4215</v>
      </c>
      <c r="K1303" t="n">
        <v>0</v>
      </c>
      <c r="L1303" t="n">
        <v>0.263</v>
      </c>
      <c r="M1303" t="n">
        <v>0.737</v>
      </c>
    </row>
    <row r="1304" spans="1:13">
      <c r="A1304" s="1">
        <f>HYPERLINK("http://www.twitter.com/NathanBLawrence/status/993205217998065664", "993205217998065664")</f>
        <v/>
      </c>
      <c r="B1304" s="2" t="n">
        <v>43226.79572916667</v>
      </c>
      <c r="C1304" t="n">
        <v>0</v>
      </c>
      <c r="D1304" t="n">
        <v>29</v>
      </c>
      <c r="E1304" t="s">
        <v>1310</v>
      </c>
      <c r="F1304" t="s"/>
      <c r="G1304" t="s"/>
      <c r="H1304" t="s"/>
      <c r="I1304" t="s"/>
      <c r="J1304" t="n">
        <v>0.2023</v>
      </c>
      <c r="K1304" t="n">
        <v>0.08400000000000001</v>
      </c>
      <c r="L1304" t="n">
        <v>0.796</v>
      </c>
      <c r="M1304" t="n">
        <v>0.119</v>
      </c>
    </row>
    <row r="1305" spans="1:13">
      <c r="A1305" s="1">
        <f>HYPERLINK("http://www.twitter.com/NathanBLawrence/status/993201583948222464", "993201583948222464")</f>
        <v/>
      </c>
      <c r="B1305" s="2" t="n">
        <v>43226.78570601852</v>
      </c>
      <c r="C1305" t="n">
        <v>0</v>
      </c>
      <c r="D1305" t="n">
        <v>4</v>
      </c>
      <c r="E1305" t="s">
        <v>1311</v>
      </c>
      <c r="F1305" t="s"/>
      <c r="G1305" t="s"/>
      <c r="H1305" t="s"/>
      <c r="I1305" t="s"/>
      <c r="J1305" t="n">
        <v>-0.4618</v>
      </c>
      <c r="K1305" t="n">
        <v>0.161</v>
      </c>
      <c r="L1305" t="n">
        <v>0.839</v>
      </c>
      <c r="M1305" t="n">
        <v>0</v>
      </c>
    </row>
    <row r="1306" spans="1:13">
      <c r="A1306" s="1">
        <f>HYPERLINK("http://www.twitter.com/NathanBLawrence/status/993201538628714496", "993201538628714496")</f>
        <v/>
      </c>
      <c r="B1306" s="2" t="n">
        <v>43226.7855787037</v>
      </c>
      <c r="C1306" t="n">
        <v>0</v>
      </c>
      <c r="D1306" t="n">
        <v>26</v>
      </c>
      <c r="E1306" t="s">
        <v>1312</v>
      </c>
      <c r="F1306" t="s"/>
      <c r="G1306" t="s"/>
      <c r="H1306" t="s"/>
      <c r="I1306" t="s"/>
      <c r="J1306" t="n">
        <v>0.5106000000000001</v>
      </c>
      <c r="K1306" t="n">
        <v>0.082</v>
      </c>
      <c r="L1306" t="n">
        <v>0.637</v>
      </c>
      <c r="M1306" t="n">
        <v>0.281</v>
      </c>
    </row>
    <row r="1307" spans="1:13">
      <c r="A1307" s="1">
        <f>HYPERLINK("http://www.twitter.com/NathanBLawrence/status/992976697677971456", "992976697677971456")</f>
        <v/>
      </c>
      <c r="B1307" s="2" t="n">
        <v>43226.16512731482</v>
      </c>
      <c r="C1307" t="n">
        <v>0</v>
      </c>
      <c r="D1307" t="n">
        <v>10</v>
      </c>
      <c r="E1307" t="s">
        <v>1313</v>
      </c>
      <c r="F1307">
        <f>HYPERLINK("http://pbs.twimg.com/media/DccUrJXV0AEIyFR.jpg", "http://pbs.twimg.com/media/DccUrJXV0AEIyFR.jpg")</f>
        <v/>
      </c>
      <c r="G1307" t="s"/>
      <c r="H1307" t="s"/>
      <c r="I1307" t="s"/>
      <c r="J1307" t="n">
        <v>0</v>
      </c>
      <c r="K1307" t="n">
        <v>0</v>
      </c>
      <c r="L1307" t="n">
        <v>1</v>
      </c>
      <c r="M1307" t="n">
        <v>0</v>
      </c>
    </row>
    <row r="1308" spans="1:13">
      <c r="A1308" s="1">
        <f>HYPERLINK("http://www.twitter.com/NathanBLawrence/status/992976661145636865", "992976661145636865")</f>
        <v/>
      </c>
      <c r="B1308" s="2" t="n">
        <v>43226.16503472222</v>
      </c>
      <c r="C1308" t="n">
        <v>0</v>
      </c>
      <c r="D1308" t="n">
        <v>7</v>
      </c>
      <c r="E1308" t="s">
        <v>1314</v>
      </c>
      <c r="F1308" t="s"/>
      <c r="G1308" t="s"/>
      <c r="H1308" t="s"/>
      <c r="I1308" t="s"/>
      <c r="J1308" t="n">
        <v>-0.27</v>
      </c>
      <c r="K1308" t="n">
        <v>0.166</v>
      </c>
      <c r="L1308" t="n">
        <v>0.672</v>
      </c>
      <c r="M1308" t="n">
        <v>0.163</v>
      </c>
    </row>
    <row r="1309" spans="1:13">
      <c r="A1309" s="1">
        <f>HYPERLINK("http://www.twitter.com/NathanBLawrence/status/992976628824371200", "992976628824371200")</f>
        <v/>
      </c>
      <c r="B1309" s="2" t="n">
        <v>43226.16494212963</v>
      </c>
      <c r="C1309" t="n">
        <v>0</v>
      </c>
      <c r="D1309" t="n">
        <v>5</v>
      </c>
      <c r="E1309" t="s">
        <v>1315</v>
      </c>
      <c r="F1309" t="s"/>
      <c r="G1309" t="s"/>
      <c r="H1309" t="s"/>
      <c r="I1309" t="s"/>
      <c r="J1309" t="n">
        <v>0</v>
      </c>
      <c r="K1309" t="n">
        <v>0</v>
      </c>
      <c r="L1309" t="n">
        <v>1</v>
      </c>
      <c r="M1309" t="n">
        <v>0</v>
      </c>
    </row>
    <row r="1310" spans="1:13">
      <c r="A1310" s="1">
        <f>HYPERLINK("http://www.twitter.com/NathanBLawrence/status/992976516060413953", "992976516060413953")</f>
        <v/>
      </c>
      <c r="B1310" s="2" t="n">
        <v>43226.16462962963</v>
      </c>
      <c r="C1310" t="n">
        <v>0</v>
      </c>
      <c r="D1310" t="n">
        <v>11</v>
      </c>
      <c r="E1310" t="s">
        <v>1316</v>
      </c>
      <c r="F1310" t="s"/>
      <c r="G1310" t="s"/>
      <c r="H1310" t="s"/>
      <c r="I1310" t="s"/>
      <c r="J1310" t="n">
        <v>0</v>
      </c>
      <c r="K1310" t="n">
        <v>0</v>
      </c>
      <c r="L1310" t="n">
        <v>1</v>
      </c>
      <c r="M1310" t="n">
        <v>0</v>
      </c>
    </row>
    <row r="1311" spans="1:13">
      <c r="A1311" s="1">
        <f>HYPERLINK("http://www.twitter.com/NathanBLawrence/status/992958283894882304", "992958283894882304")</f>
        <v/>
      </c>
      <c r="B1311" s="2" t="n">
        <v>43226.11431712963</v>
      </c>
      <c r="C1311" t="n">
        <v>0</v>
      </c>
      <c r="D1311" t="n">
        <v>5</v>
      </c>
      <c r="E1311" t="s">
        <v>1317</v>
      </c>
      <c r="F1311" t="s"/>
      <c r="G1311" t="s"/>
      <c r="H1311" t="s"/>
      <c r="I1311" t="s"/>
      <c r="J1311" t="n">
        <v>0</v>
      </c>
      <c r="K1311" t="n">
        <v>0</v>
      </c>
      <c r="L1311" t="n">
        <v>1</v>
      </c>
      <c r="M1311" t="n">
        <v>0</v>
      </c>
    </row>
    <row r="1312" spans="1:13">
      <c r="A1312" s="1">
        <f>HYPERLINK("http://www.twitter.com/NathanBLawrence/status/992958277238616064", "992958277238616064")</f>
        <v/>
      </c>
      <c r="B1312" s="2" t="n">
        <v>43226.11430555556</v>
      </c>
      <c r="C1312" t="n">
        <v>0</v>
      </c>
      <c r="D1312" t="n">
        <v>5</v>
      </c>
      <c r="E1312" t="s">
        <v>1318</v>
      </c>
      <c r="F1312" t="s"/>
      <c r="G1312" t="s"/>
      <c r="H1312" t="s"/>
      <c r="I1312" t="s"/>
      <c r="J1312" t="n">
        <v>-0.5266999999999999</v>
      </c>
      <c r="K1312" t="n">
        <v>0.188</v>
      </c>
      <c r="L1312" t="n">
        <v>0.8120000000000001</v>
      </c>
      <c r="M1312" t="n">
        <v>0</v>
      </c>
    </row>
    <row r="1313" spans="1:13">
      <c r="A1313" s="1">
        <f>HYPERLINK("http://www.twitter.com/NathanBLawrence/status/992958267365253120", "992958267365253120")</f>
        <v/>
      </c>
      <c r="B1313" s="2" t="n">
        <v>43226.11427083334</v>
      </c>
      <c r="C1313" t="n">
        <v>0</v>
      </c>
      <c r="D1313" t="n">
        <v>5</v>
      </c>
      <c r="E1313" t="s">
        <v>1319</v>
      </c>
      <c r="F1313" t="s"/>
      <c r="G1313" t="s"/>
      <c r="H1313" t="s"/>
      <c r="I1313" t="s"/>
      <c r="J1313" t="n">
        <v>-0.25</v>
      </c>
      <c r="K1313" t="n">
        <v>0.21</v>
      </c>
      <c r="L1313" t="n">
        <v>0.67</v>
      </c>
      <c r="M1313" t="n">
        <v>0.121</v>
      </c>
    </row>
    <row r="1314" spans="1:13">
      <c r="A1314" s="1">
        <f>HYPERLINK("http://www.twitter.com/NathanBLawrence/status/992958259991629826", "992958259991629826")</f>
        <v/>
      </c>
      <c r="B1314" s="2" t="n">
        <v>43226.11425925926</v>
      </c>
      <c r="C1314" t="n">
        <v>0</v>
      </c>
      <c r="D1314" t="n">
        <v>5</v>
      </c>
      <c r="E1314" t="s">
        <v>1320</v>
      </c>
      <c r="F1314" t="s"/>
      <c r="G1314" t="s"/>
      <c r="H1314" t="s"/>
      <c r="I1314" t="s"/>
      <c r="J1314" t="n">
        <v>-0.7906</v>
      </c>
      <c r="K1314" t="n">
        <v>0.269</v>
      </c>
      <c r="L1314" t="n">
        <v>0.731</v>
      </c>
      <c r="M1314" t="n">
        <v>0</v>
      </c>
    </row>
    <row r="1315" spans="1:13">
      <c r="A1315" s="1">
        <f>HYPERLINK("http://www.twitter.com/NathanBLawrence/status/992958249669361665", "992958249669361665")</f>
        <v/>
      </c>
      <c r="B1315" s="2" t="n">
        <v>43226.11422453704</v>
      </c>
      <c r="C1315" t="n">
        <v>0</v>
      </c>
      <c r="D1315" t="n">
        <v>14</v>
      </c>
      <c r="E1315" t="s">
        <v>1321</v>
      </c>
      <c r="F1315" t="s"/>
      <c r="G1315" t="s"/>
      <c r="H1315" t="s"/>
      <c r="I1315" t="s"/>
      <c r="J1315" t="n">
        <v>0</v>
      </c>
      <c r="K1315" t="n">
        <v>0</v>
      </c>
      <c r="L1315" t="n">
        <v>1</v>
      </c>
      <c r="M1315" t="n">
        <v>0</v>
      </c>
    </row>
    <row r="1316" spans="1:13">
      <c r="A1316" s="1">
        <f>HYPERLINK("http://www.twitter.com/NathanBLawrence/status/992958239116611584", "992958239116611584")</f>
        <v/>
      </c>
      <c r="B1316" s="2" t="n">
        <v>43226.11420138889</v>
      </c>
      <c r="C1316" t="n">
        <v>0</v>
      </c>
      <c r="D1316" t="n">
        <v>25</v>
      </c>
      <c r="E1316" t="s">
        <v>1310</v>
      </c>
      <c r="F1316" t="s"/>
      <c r="G1316" t="s"/>
      <c r="H1316" t="s"/>
      <c r="I1316" t="s"/>
      <c r="J1316" t="n">
        <v>0.2023</v>
      </c>
      <c r="K1316" t="n">
        <v>0.08400000000000001</v>
      </c>
      <c r="L1316" t="n">
        <v>0.796</v>
      </c>
      <c r="M1316" t="n">
        <v>0.119</v>
      </c>
    </row>
    <row r="1317" spans="1:13">
      <c r="A1317" s="1">
        <f>HYPERLINK("http://www.twitter.com/NathanBLawrence/status/992958200306700288", "992958200306700288")</f>
        <v/>
      </c>
      <c r="B1317" s="2" t="n">
        <v>43226.11408564815</v>
      </c>
      <c r="C1317" t="n">
        <v>0</v>
      </c>
      <c r="D1317" t="n">
        <v>3</v>
      </c>
      <c r="E1317" t="s">
        <v>1322</v>
      </c>
      <c r="F1317" t="s"/>
      <c r="G1317" t="s"/>
      <c r="H1317" t="s"/>
      <c r="I1317" t="s"/>
      <c r="J1317" t="n">
        <v>0.25</v>
      </c>
      <c r="K1317" t="n">
        <v>0.168</v>
      </c>
      <c r="L1317" t="n">
        <v>0.547</v>
      </c>
      <c r="M1317" t="n">
        <v>0.285</v>
      </c>
    </row>
    <row r="1318" spans="1:13">
      <c r="A1318" s="1">
        <f>HYPERLINK("http://www.twitter.com/NathanBLawrence/status/992855901911552000", "992855901911552000")</f>
        <v/>
      </c>
      <c r="B1318" s="2" t="n">
        <v>43225.83180555556</v>
      </c>
      <c r="C1318" t="n">
        <v>2</v>
      </c>
      <c r="D1318" t="n">
        <v>0</v>
      </c>
      <c r="E1318" t="s">
        <v>1323</v>
      </c>
      <c r="F1318" t="s"/>
      <c r="G1318" t="s"/>
      <c r="H1318" t="s"/>
      <c r="I1318" t="s"/>
      <c r="J1318" t="n">
        <v>-0.1081</v>
      </c>
      <c r="K1318" t="n">
        <v>0.05</v>
      </c>
      <c r="L1318" t="n">
        <v>0.908</v>
      </c>
      <c r="M1318" t="n">
        <v>0.042</v>
      </c>
    </row>
    <row r="1319" spans="1:13">
      <c r="A1319" s="1">
        <f>HYPERLINK("http://www.twitter.com/NathanBLawrence/status/992855535975268353", "992855535975268353")</f>
        <v/>
      </c>
      <c r="B1319" s="2" t="n">
        <v>43225.83078703703</v>
      </c>
      <c r="C1319" t="n">
        <v>1</v>
      </c>
      <c r="D1319" t="n">
        <v>0</v>
      </c>
      <c r="E1319" t="s">
        <v>1324</v>
      </c>
      <c r="F1319" t="s"/>
      <c r="G1319" t="s"/>
      <c r="H1319" t="s"/>
      <c r="I1319" t="s"/>
      <c r="J1319" t="n">
        <v>0.7935</v>
      </c>
      <c r="K1319" t="n">
        <v>0.08699999999999999</v>
      </c>
      <c r="L1319" t="n">
        <v>0.729</v>
      </c>
      <c r="M1319" t="n">
        <v>0.185</v>
      </c>
    </row>
    <row r="1320" spans="1:13">
      <c r="A1320" s="1">
        <f>HYPERLINK("http://www.twitter.com/NathanBLawrence/status/992855029894778880", "992855029894778880")</f>
        <v/>
      </c>
      <c r="B1320" s="2" t="n">
        <v>43225.82939814815</v>
      </c>
      <c r="C1320" t="n">
        <v>1</v>
      </c>
      <c r="D1320" t="n">
        <v>0</v>
      </c>
      <c r="E1320" t="s">
        <v>1325</v>
      </c>
      <c r="F1320" t="s"/>
      <c r="G1320" t="s"/>
      <c r="H1320" t="s"/>
      <c r="I1320" t="s"/>
      <c r="J1320" t="n">
        <v>0.8429</v>
      </c>
      <c r="K1320" t="n">
        <v>0.042</v>
      </c>
      <c r="L1320" t="n">
        <v>0.767</v>
      </c>
      <c r="M1320" t="n">
        <v>0.19</v>
      </c>
    </row>
    <row r="1321" spans="1:13">
      <c r="A1321" s="1">
        <f>HYPERLINK("http://www.twitter.com/NathanBLawrence/status/992854293375062017", "992854293375062017")</f>
        <v/>
      </c>
      <c r="B1321" s="2" t="n">
        <v>43225.82736111111</v>
      </c>
      <c r="C1321" t="n">
        <v>0</v>
      </c>
      <c r="D1321" t="n">
        <v>3</v>
      </c>
      <c r="E1321" t="s">
        <v>1326</v>
      </c>
      <c r="F1321" t="s"/>
      <c r="G1321" t="s"/>
      <c r="H1321" t="s"/>
      <c r="I1321" t="s"/>
      <c r="J1321" t="n">
        <v>0</v>
      </c>
      <c r="K1321" t="n">
        <v>0</v>
      </c>
      <c r="L1321" t="n">
        <v>1</v>
      </c>
      <c r="M1321" t="n">
        <v>0</v>
      </c>
    </row>
    <row r="1322" spans="1:13">
      <c r="A1322" s="1">
        <f>HYPERLINK("http://www.twitter.com/NathanBLawrence/status/992854269773733889", "992854269773733889")</f>
        <v/>
      </c>
      <c r="B1322" s="2" t="n">
        <v>43225.82729166667</v>
      </c>
      <c r="C1322" t="n">
        <v>0</v>
      </c>
      <c r="D1322" t="n">
        <v>6</v>
      </c>
      <c r="E1322" t="s">
        <v>1327</v>
      </c>
      <c r="F1322" t="s"/>
      <c r="G1322" t="s"/>
      <c r="H1322" t="s"/>
      <c r="I1322" t="s"/>
      <c r="J1322" t="n">
        <v>-0.296</v>
      </c>
      <c r="K1322" t="n">
        <v>0.099</v>
      </c>
      <c r="L1322" t="n">
        <v>0.901</v>
      </c>
      <c r="M1322" t="n">
        <v>0</v>
      </c>
    </row>
    <row r="1323" spans="1:13">
      <c r="A1323" s="1">
        <f>HYPERLINK("http://www.twitter.com/NathanBLawrence/status/992854253264924672", "992854253264924672")</f>
        <v/>
      </c>
      <c r="B1323" s="2" t="n">
        <v>43225.82724537037</v>
      </c>
      <c r="C1323" t="n">
        <v>0</v>
      </c>
      <c r="D1323" t="n">
        <v>13</v>
      </c>
      <c r="E1323" t="s">
        <v>1328</v>
      </c>
      <c r="F1323" t="s"/>
      <c r="G1323" t="s"/>
      <c r="H1323" t="s"/>
      <c r="I1323" t="s"/>
      <c r="J1323" t="n">
        <v>0</v>
      </c>
      <c r="K1323" t="n">
        <v>0</v>
      </c>
      <c r="L1323" t="n">
        <v>1</v>
      </c>
      <c r="M1323" t="n">
        <v>0</v>
      </c>
    </row>
    <row r="1324" spans="1:13">
      <c r="A1324" s="1">
        <f>HYPERLINK("http://www.twitter.com/NathanBLawrence/status/992854192996876289", "992854192996876289")</f>
        <v/>
      </c>
      <c r="B1324" s="2" t="n">
        <v>43225.82708333333</v>
      </c>
      <c r="C1324" t="n">
        <v>0</v>
      </c>
      <c r="D1324" t="n">
        <v>10</v>
      </c>
      <c r="E1324" t="s">
        <v>1329</v>
      </c>
      <c r="F1324" t="s"/>
      <c r="G1324" t="s"/>
      <c r="H1324" t="s"/>
      <c r="I1324" t="s"/>
      <c r="J1324" t="n">
        <v>-0.6597</v>
      </c>
      <c r="K1324" t="n">
        <v>0.275</v>
      </c>
      <c r="L1324" t="n">
        <v>0.629</v>
      </c>
      <c r="M1324" t="n">
        <v>0.096</v>
      </c>
    </row>
    <row r="1325" spans="1:13">
      <c r="A1325" s="1">
        <f>HYPERLINK("http://www.twitter.com/NathanBLawrence/status/992854169865342976", "992854169865342976")</f>
        <v/>
      </c>
      <c r="B1325" s="2" t="n">
        <v>43225.82702546296</v>
      </c>
      <c r="C1325" t="n">
        <v>0</v>
      </c>
      <c r="D1325" t="n">
        <v>8</v>
      </c>
      <c r="E1325" t="s">
        <v>1330</v>
      </c>
      <c r="F1325" t="s"/>
      <c r="G1325" t="s"/>
      <c r="H1325" t="s"/>
      <c r="I1325" t="s"/>
      <c r="J1325" t="n">
        <v>-0.4939</v>
      </c>
      <c r="K1325" t="n">
        <v>0.251</v>
      </c>
      <c r="L1325" t="n">
        <v>0.653</v>
      </c>
      <c r="M1325" t="n">
        <v>0.096</v>
      </c>
    </row>
    <row r="1326" spans="1:13">
      <c r="A1326" s="1">
        <f>HYPERLINK("http://www.twitter.com/NathanBLawrence/status/992854097811398657", "992854097811398657")</f>
        <v/>
      </c>
      <c r="B1326" s="2" t="n">
        <v>43225.82681712963</v>
      </c>
      <c r="C1326" t="n">
        <v>0</v>
      </c>
      <c r="D1326" t="n">
        <v>5</v>
      </c>
      <c r="E1326" t="s">
        <v>1331</v>
      </c>
      <c r="F1326" t="s"/>
      <c r="G1326" t="s"/>
      <c r="H1326" t="s"/>
      <c r="I1326" t="s"/>
      <c r="J1326" t="n">
        <v>-0.5574</v>
      </c>
      <c r="K1326" t="n">
        <v>0.18</v>
      </c>
      <c r="L1326" t="n">
        <v>0.82</v>
      </c>
      <c r="M1326" t="n">
        <v>0</v>
      </c>
    </row>
    <row r="1327" spans="1:13">
      <c r="A1327" s="1">
        <f>HYPERLINK("http://www.twitter.com/NathanBLawrence/status/992854083982823424", "992854083982823424")</f>
        <v/>
      </c>
      <c r="B1327" s="2" t="n">
        <v>43225.82678240741</v>
      </c>
      <c r="C1327" t="n">
        <v>0</v>
      </c>
      <c r="D1327" t="n">
        <v>10</v>
      </c>
      <c r="E1327" t="s">
        <v>1332</v>
      </c>
      <c r="F1327" t="s"/>
      <c r="G1327" t="s"/>
      <c r="H1327" t="s"/>
      <c r="I1327" t="s"/>
      <c r="J1327" t="n">
        <v>-0.8955</v>
      </c>
      <c r="K1327" t="n">
        <v>0.351</v>
      </c>
      <c r="L1327" t="n">
        <v>0.649</v>
      </c>
      <c r="M1327" t="n">
        <v>0</v>
      </c>
    </row>
    <row r="1328" spans="1:13">
      <c r="A1328" s="1">
        <f>HYPERLINK("http://www.twitter.com/NathanBLawrence/status/992854070636531718", "992854070636531718")</f>
        <v/>
      </c>
      <c r="B1328" s="2" t="n">
        <v>43225.82674768518</v>
      </c>
      <c r="C1328" t="n">
        <v>0</v>
      </c>
      <c r="D1328" t="n">
        <v>11</v>
      </c>
      <c r="E1328" t="s">
        <v>1333</v>
      </c>
      <c r="F1328" t="s"/>
      <c r="G1328" t="s"/>
      <c r="H1328" t="s"/>
      <c r="I1328" t="s"/>
      <c r="J1328" t="n">
        <v>0.3256</v>
      </c>
      <c r="K1328" t="n">
        <v>0.145</v>
      </c>
      <c r="L1328" t="n">
        <v>0.628</v>
      </c>
      <c r="M1328" t="n">
        <v>0.227</v>
      </c>
    </row>
    <row r="1329" spans="1:13">
      <c r="A1329" s="1">
        <f>HYPERLINK("http://www.twitter.com/NathanBLawrence/status/992854054375247872", "992854054375247872")</f>
        <v/>
      </c>
      <c r="B1329" s="2" t="n">
        <v>43225.82670138889</v>
      </c>
      <c r="C1329" t="n">
        <v>0</v>
      </c>
      <c r="D1329" t="n">
        <v>4</v>
      </c>
      <c r="E1329" t="s">
        <v>1334</v>
      </c>
      <c r="F1329" t="s"/>
      <c r="G1329" t="s"/>
      <c r="H1329" t="s"/>
      <c r="I1329" t="s"/>
      <c r="J1329" t="n">
        <v>0</v>
      </c>
      <c r="K1329" t="n">
        <v>0</v>
      </c>
      <c r="L1329" t="n">
        <v>1</v>
      </c>
      <c r="M1329" t="n">
        <v>0</v>
      </c>
    </row>
    <row r="1330" spans="1:13">
      <c r="A1330" s="1">
        <f>HYPERLINK("http://www.twitter.com/NathanBLawrence/status/992854039061782529", "992854039061782529")</f>
        <v/>
      </c>
      <c r="B1330" s="2" t="n">
        <v>43225.82665509259</v>
      </c>
      <c r="C1330" t="n">
        <v>0</v>
      </c>
      <c r="D1330" t="n">
        <v>8</v>
      </c>
      <c r="E1330" t="s">
        <v>1335</v>
      </c>
      <c r="F1330" t="s"/>
      <c r="G1330" t="s"/>
      <c r="H1330" t="s"/>
      <c r="I1330" t="s"/>
      <c r="J1330" t="n">
        <v>0</v>
      </c>
      <c r="K1330" t="n">
        <v>0</v>
      </c>
      <c r="L1330" t="n">
        <v>1</v>
      </c>
      <c r="M1330" t="n">
        <v>0</v>
      </c>
    </row>
    <row r="1331" spans="1:13">
      <c r="A1331" s="1">
        <f>HYPERLINK("http://www.twitter.com/NathanBLawrence/status/992854027871379459", "992854027871379459")</f>
        <v/>
      </c>
      <c r="B1331" s="2" t="n">
        <v>43225.82663194444</v>
      </c>
      <c r="C1331" t="n">
        <v>0</v>
      </c>
      <c r="D1331" t="n">
        <v>12</v>
      </c>
      <c r="E1331" t="s">
        <v>1336</v>
      </c>
      <c r="F1331" t="s"/>
      <c r="G1331" t="s"/>
      <c r="H1331" t="s"/>
      <c r="I1331" t="s"/>
      <c r="J1331" t="n">
        <v>0.3182</v>
      </c>
      <c r="K1331" t="n">
        <v>0</v>
      </c>
      <c r="L1331" t="n">
        <v>0.85</v>
      </c>
      <c r="M1331" t="n">
        <v>0.15</v>
      </c>
    </row>
    <row r="1332" spans="1:13">
      <c r="A1332" s="1">
        <f>HYPERLINK("http://www.twitter.com/NathanBLawrence/status/992854007206043649", "992854007206043649")</f>
        <v/>
      </c>
      <c r="B1332" s="2" t="n">
        <v>43225.82657407408</v>
      </c>
      <c r="C1332" t="n">
        <v>0</v>
      </c>
      <c r="D1332" t="n">
        <v>11</v>
      </c>
      <c r="E1332" t="s">
        <v>1337</v>
      </c>
      <c r="F1332" t="s"/>
      <c r="G1332" t="s"/>
      <c r="H1332" t="s"/>
      <c r="I1332" t="s"/>
      <c r="J1332" t="n">
        <v>0</v>
      </c>
      <c r="K1332" t="n">
        <v>0</v>
      </c>
      <c r="L1332" t="n">
        <v>1</v>
      </c>
      <c r="M1332" t="n">
        <v>0</v>
      </c>
    </row>
    <row r="1333" spans="1:13">
      <c r="A1333" s="1">
        <f>HYPERLINK("http://www.twitter.com/NathanBLawrence/status/992853993285210125", "992853993285210125")</f>
        <v/>
      </c>
      <c r="B1333" s="2" t="n">
        <v>43225.82652777778</v>
      </c>
      <c r="C1333" t="n">
        <v>0</v>
      </c>
      <c r="D1333" t="n">
        <v>6</v>
      </c>
      <c r="E1333" t="s">
        <v>1338</v>
      </c>
      <c r="F1333" t="s"/>
      <c r="G1333" t="s"/>
      <c r="H1333" t="s"/>
      <c r="I1333" t="s"/>
      <c r="J1333" t="n">
        <v>0</v>
      </c>
      <c r="K1333" t="n">
        <v>0</v>
      </c>
      <c r="L1333" t="n">
        <v>1</v>
      </c>
      <c r="M1333" t="n">
        <v>0</v>
      </c>
    </row>
    <row r="1334" spans="1:13">
      <c r="A1334" s="1">
        <f>HYPERLINK("http://www.twitter.com/NathanBLawrence/status/992853948615753728", "992853948615753728")</f>
        <v/>
      </c>
      <c r="B1334" s="2" t="n">
        <v>43225.82641203704</v>
      </c>
      <c r="C1334" t="n">
        <v>0</v>
      </c>
      <c r="D1334" t="n">
        <v>7</v>
      </c>
      <c r="E1334" t="s">
        <v>1339</v>
      </c>
      <c r="F1334" t="s"/>
      <c r="G1334" t="s"/>
      <c r="H1334" t="s"/>
      <c r="I1334" t="s"/>
      <c r="J1334" t="n">
        <v>0</v>
      </c>
      <c r="K1334" t="n">
        <v>0</v>
      </c>
      <c r="L1334" t="n">
        <v>1</v>
      </c>
      <c r="M1334" t="n">
        <v>0</v>
      </c>
    </row>
    <row r="1335" spans="1:13">
      <c r="A1335" s="1">
        <f>HYPERLINK("http://www.twitter.com/NathanBLawrence/status/992853918874046466", "992853918874046466")</f>
        <v/>
      </c>
      <c r="B1335" s="2" t="n">
        <v>43225.82633101852</v>
      </c>
      <c r="C1335" t="n">
        <v>0</v>
      </c>
      <c r="D1335" t="n">
        <v>8</v>
      </c>
      <c r="E1335" t="s">
        <v>1340</v>
      </c>
      <c r="F1335">
        <f>HYPERLINK("http://pbs.twimg.com/media/Dcc0jb6U8AUXyGr.jpg", "http://pbs.twimg.com/media/Dcc0jb6U8AUXyGr.jpg")</f>
        <v/>
      </c>
      <c r="G1335" t="s"/>
      <c r="H1335" t="s"/>
      <c r="I1335" t="s"/>
      <c r="J1335" t="n">
        <v>-0.7906</v>
      </c>
      <c r="K1335" t="n">
        <v>0.259</v>
      </c>
      <c r="L1335" t="n">
        <v>0.741</v>
      </c>
      <c r="M1335" t="n">
        <v>0</v>
      </c>
    </row>
    <row r="1336" spans="1:13">
      <c r="A1336" s="1">
        <f>HYPERLINK("http://www.twitter.com/NathanBLawrence/status/992853904869163008", "992853904869163008")</f>
        <v/>
      </c>
      <c r="B1336" s="2" t="n">
        <v>43225.82628472222</v>
      </c>
      <c r="C1336" t="n">
        <v>0</v>
      </c>
      <c r="D1336" t="n">
        <v>15</v>
      </c>
      <c r="E1336" t="s">
        <v>1341</v>
      </c>
      <c r="F1336">
        <f>HYPERLINK("http://pbs.twimg.com/media/Dcc5D3PVMAApE-A.jpg", "http://pbs.twimg.com/media/Dcc5D3PVMAApE-A.jpg")</f>
        <v/>
      </c>
      <c r="G1336" t="s"/>
      <c r="H1336" t="s"/>
      <c r="I1336" t="s"/>
      <c r="J1336" t="n">
        <v>0.4588</v>
      </c>
      <c r="K1336" t="n">
        <v>0.058</v>
      </c>
      <c r="L1336" t="n">
        <v>0.796</v>
      </c>
      <c r="M1336" t="n">
        <v>0.146</v>
      </c>
    </row>
    <row r="1337" spans="1:13">
      <c r="A1337" s="1">
        <f>HYPERLINK("http://www.twitter.com/NathanBLawrence/status/992853873583902726", "992853873583902726")</f>
        <v/>
      </c>
      <c r="B1337" s="2" t="n">
        <v>43225.82620370371</v>
      </c>
      <c r="C1337" t="n">
        <v>0</v>
      </c>
      <c r="D1337" t="n">
        <v>5</v>
      </c>
      <c r="E1337" t="s">
        <v>1342</v>
      </c>
      <c r="F1337">
        <f>HYPERLINK("http://pbs.twimg.com/media/DcdFsksX4AUZrow.jpg", "http://pbs.twimg.com/media/DcdFsksX4AUZrow.jpg")</f>
        <v/>
      </c>
      <c r="G1337" t="s"/>
      <c r="H1337" t="s"/>
      <c r="I1337" t="s"/>
      <c r="J1337" t="n">
        <v>0.4588</v>
      </c>
      <c r="K1337" t="n">
        <v>0.06</v>
      </c>
      <c r="L1337" t="n">
        <v>0.787</v>
      </c>
      <c r="M1337" t="n">
        <v>0.153</v>
      </c>
    </row>
    <row r="1338" spans="1:13">
      <c r="A1338" s="1">
        <f>HYPERLINK("http://www.twitter.com/NathanBLawrence/status/992853858731872257", "992853858731872257")</f>
        <v/>
      </c>
      <c r="B1338" s="2" t="n">
        <v>43225.82615740741</v>
      </c>
      <c r="C1338" t="n">
        <v>0</v>
      </c>
      <c r="D1338" t="n">
        <v>11</v>
      </c>
      <c r="E1338" t="s">
        <v>1343</v>
      </c>
      <c r="F1338" t="s"/>
      <c r="G1338" t="s"/>
      <c r="H1338" t="s"/>
      <c r="I1338" t="s"/>
      <c r="J1338" t="n">
        <v>-0.4731</v>
      </c>
      <c r="K1338" t="n">
        <v>0.234</v>
      </c>
      <c r="L1338" t="n">
        <v>0.659</v>
      </c>
      <c r="M1338" t="n">
        <v>0.107</v>
      </c>
    </row>
    <row r="1339" spans="1:13">
      <c r="A1339" s="1">
        <f>HYPERLINK("http://www.twitter.com/NathanBLawrence/status/992853845381451776", "992853845381451776")</f>
        <v/>
      </c>
      <c r="B1339" s="2" t="n">
        <v>43225.82612268518</v>
      </c>
      <c r="C1339" t="n">
        <v>0</v>
      </c>
      <c r="D1339" t="n">
        <v>4</v>
      </c>
      <c r="E1339" t="s">
        <v>1344</v>
      </c>
      <c r="F1339" t="s"/>
      <c r="G1339" t="s"/>
      <c r="H1339" t="s"/>
      <c r="I1339" t="s"/>
      <c r="J1339" t="n">
        <v>0.3595</v>
      </c>
      <c r="K1339" t="n">
        <v>0</v>
      </c>
      <c r="L1339" t="n">
        <v>0.894</v>
      </c>
      <c r="M1339" t="n">
        <v>0.106</v>
      </c>
    </row>
    <row r="1340" spans="1:13">
      <c r="A1340" s="1">
        <f>HYPERLINK("http://www.twitter.com/NathanBLawrence/status/992853728649793538", "992853728649793538")</f>
        <v/>
      </c>
      <c r="B1340" s="2" t="n">
        <v>43225.82579861111</v>
      </c>
      <c r="C1340" t="n">
        <v>0</v>
      </c>
      <c r="D1340" t="n">
        <v>17</v>
      </c>
      <c r="E1340" t="s">
        <v>1345</v>
      </c>
      <c r="F1340" t="s"/>
      <c r="G1340" t="s"/>
      <c r="H1340" t="s"/>
      <c r="I1340" t="s"/>
      <c r="J1340" t="n">
        <v>0</v>
      </c>
      <c r="K1340" t="n">
        <v>0</v>
      </c>
      <c r="L1340" t="n">
        <v>1</v>
      </c>
      <c r="M1340" t="n">
        <v>0</v>
      </c>
    </row>
    <row r="1341" spans="1:13">
      <c r="A1341" s="1">
        <f>HYPERLINK("http://www.twitter.com/NathanBLawrence/status/992853461036359682", "992853461036359682")</f>
        <v/>
      </c>
      <c r="B1341" s="2" t="n">
        <v>43225.82506944444</v>
      </c>
      <c r="C1341" t="n">
        <v>0</v>
      </c>
      <c r="D1341" t="n">
        <v>8</v>
      </c>
      <c r="E1341" t="s">
        <v>1346</v>
      </c>
      <c r="F1341">
        <f>HYPERLINK("http://pbs.twimg.com/media/Dccn15-X0AA-KXZ.jpg", "http://pbs.twimg.com/media/Dccn15-X0AA-KXZ.jpg")</f>
        <v/>
      </c>
      <c r="G1341" t="s"/>
      <c r="H1341" t="s"/>
      <c r="I1341" t="s"/>
      <c r="J1341" t="n">
        <v>0.8201000000000001</v>
      </c>
      <c r="K1341" t="n">
        <v>0</v>
      </c>
      <c r="L1341" t="n">
        <v>0.63</v>
      </c>
      <c r="M1341" t="n">
        <v>0.37</v>
      </c>
    </row>
    <row r="1342" spans="1:13">
      <c r="A1342" s="1">
        <f>HYPERLINK("http://www.twitter.com/NathanBLawrence/status/992781733622894592", "992781733622894592")</f>
        <v/>
      </c>
      <c r="B1342" s="2" t="n">
        <v>43225.62712962963</v>
      </c>
      <c r="C1342" t="n">
        <v>0</v>
      </c>
      <c r="D1342" t="n">
        <v>19</v>
      </c>
      <c r="E1342" t="s">
        <v>1347</v>
      </c>
      <c r="F1342">
        <f>HYPERLINK("http://pbs.twimg.com/media/DccL8dvXkAAY4G0.jpg", "http://pbs.twimg.com/media/DccL8dvXkAAY4G0.jpg")</f>
        <v/>
      </c>
      <c r="G1342" t="s"/>
      <c r="H1342" t="s"/>
      <c r="I1342" t="s"/>
      <c r="J1342" t="n">
        <v>-0.3853</v>
      </c>
      <c r="K1342" t="n">
        <v>0.116</v>
      </c>
      <c r="L1342" t="n">
        <v>0.884</v>
      </c>
      <c r="M1342" t="n">
        <v>0</v>
      </c>
    </row>
    <row r="1343" spans="1:13">
      <c r="A1343" s="1">
        <f>HYPERLINK("http://www.twitter.com/NathanBLawrence/status/992781693311504385", "992781693311504385")</f>
        <v/>
      </c>
      <c r="B1343" s="2" t="n">
        <v>43225.62702546296</v>
      </c>
      <c r="C1343" t="n">
        <v>0</v>
      </c>
      <c r="D1343" t="n">
        <v>11</v>
      </c>
      <c r="E1343" t="s">
        <v>1348</v>
      </c>
      <c r="F1343">
        <f>HYPERLINK("http://pbs.twimg.com/media/DccF0CTVAAAoBYL.jpg", "http://pbs.twimg.com/media/DccF0CTVAAAoBYL.jpg")</f>
        <v/>
      </c>
      <c r="G1343" t="s"/>
      <c r="H1343" t="s"/>
      <c r="I1343" t="s"/>
      <c r="J1343" t="n">
        <v>0.5622</v>
      </c>
      <c r="K1343" t="n">
        <v>0</v>
      </c>
      <c r="L1343" t="n">
        <v>0.768</v>
      </c>
      <c r="M1343" t="n">
        <v>0.232</v>
      </c>
    </row>
    <row r="1344" spans="1:13">
      <c r="A1344" s="1">
        <f>HYPERLINK("http://www.twitter.com/NathanBLawrence/status/992721483226066945", "992721483226066945")</f>
        <v/>
      </c>
      <c r="B1344" s="2" t="n">
        <v>43225.46087962963</v>
      </c>
      <c r="C1344" t="n">
        <v>0</v>
      </c>
      <c r="D1344" t="n">
        <v>10</v>
      </c>
      <c r="E1344" t="s">
        <v>1349</v>
      </c>
      <c r="F1344">
        <f>HYPERLINK("http://pbs.twimg.com/media/DcX67cVW0AEW3Iy.jpg", "http://pbs.twimg.com/media/DcX67cVW0AEW3Iy.jpg")</f>
        <v/>
      </c>
      <c r="G1344" t="s"/>
      <c r="H1344" t="s"/>
      <c r="I1344" t="s"/>
      <c r="J1344" t="n">
        <v>-0.3664</v>
      </c>
      <c r="K1344" t="n">
        <v>0.251</v>
      </c>
      <c r="L1344" t="n">
        <v>0.541</v>
      </c>
      <c r="M1344" t="n">
        <v>0.208</v>
      </c>
    </row>
    <row r="1345" spans="1:13">
      <c r="A1345" s="1">
        <f>HYPERLINK("http://www.twitter.com/NathanBLawrence/status/992721387839205376", "992721387839205376")</f>
        <v/>
      </c>
      <c r="B1345" s="2" t="n">
        <v>43225.46061342592</v>
      </c>
      <c r="C1345" t="n">
        <v>0</v>
      </c>
      <c r="D1345" t="n">
        <v>53</v>
      </c>
      <c r="E1345" t="s">
        <v>1350</v>
      </c>
      <c r="F1345" t="s"/>
      <c r="G1345" t="s"/>
      <c r="H1345" t="s"/>
      <c r="I1345" t="s"/>
      <c r="J1345" t="n">
        <v>0</v>
      </c>
      <c r="K1345" t="n">
        <v>0</v>
      </c>
      <c r="L1345" t="n">
        <v>1</v>
      </c>
      <c r="M1345" t="n">
        <v>0</v>
      </c>
    </row>
    <row r="1346" spans="1:13">
      <c r="A1346" s="1">
        <f>HYPERLINK("http://www.twitter.com/NathanBLawrence/status/992721336639410177", "992721336639410177")</f>
        <v/>
      </c>
      <c r="B1346" s="2" t="n">
        <v>43225.46047453704</v>
      </c>
      <c r="C1346" t="n">
        <v>0</v>
      </c>
      <c r="D1346" t="n">
        <v>14</v>
      </c>
      <c r="E1346" t="s">
        <v>1351</v>
      </c>
      <c r="F1346">
        <f>HYPERLINK("http://pbs.twimg.com/media/DcZ_pJzWkAAwxe9.jpg", "http://pbs.twimg.com/media/DcZ_pJzWkAAwxe9.jpg")</f>
        <v/>
      </c>
      <c r="G1346" t="s"/>
      <c r="H1346" t="s"/>
      <c r="I1346" t="s"/>
      <c r="J1346" t="n">
        <v>0.5766</v>
      </c>
      <c r="K1346" t="n">
        <v>0.061</v>
      </c>
      <c r="L1346" t="n">
        <v>0.719</v>
      </c>
      <c r="M1346" t="n">
        <v>0.219</v>
      </c>
    </row>
    <row r="1347" spans="1:13">
      <c r="A1347" s="1">
        <f>HYPERLINK("http://www.twitter.com/NathanBLawrence/status/992721238786281473", "992721238786281473")</f>
        <v/>
      </c>
      <c r="B1347" s="2" t="n">
        <v>43225.46019675926</v>
      </c>
      <c r="C1347" t="n">
        <v>0</v>
      </c>
      <c r="D1347" t="n">
        <v>1056</v>
      </c>
      <c r="E1347" t="s">
        <v>1352</v>
      </c>
      <c r="F1347">
        <f>HYPERLINK("https://video.twimg.com/ext_tw_video/989897119229100032/pu/vid/1280x720/b6K_Q-wGxoUq055G.mp4?tag=3", "https://video.twimg.com/ext_tw_video/989897119229100032/pu/vid/1280x720/b6K_Q-wGxoUq055G.mp4?tag=3")</f>
        <v/>
      </c>
      <c r="G1347" t="s"/>
      <c r="H1347" t="s"/>
      <c r="I1347" t="s"/>
      <c r="J1347" t="n">
        <v>-0.5266999999999999</v>
      </c>
      <c r="K1347" t="n">
        <v>0.12</v>
      </c>
      <c r="L1347" t="n">
        <v>0.88</v>
      </c>
      <c r="M1347" t="n">
        <v>0</v>
      </c>
    </row>
    <row r="1348" spans="1:13">
      <c r="A1348" s="1">
        <f>HYPERLINK("http://www.twitter.com/NathanBLawrence/status/992649358486237184", "992649358486237184")</f>
        <v/>
      </c>
      <c r="B1348" s="2" t="n">
        <v>43225.26185185185</v>
      </c>
      <c r="C1348" t="n">
        <v>0</v>
      </c>
      <c r="D1348" t="n">
        <v>119</v>
      </c>
      <c r="E1348" t="s">
        <v>1353</v>
      </c>
      <c r="F1348" t="s"/>
      <c r="G1348" t="s"/>
      <c r="H1348" t="s"/>
      <c r="I1348" t="s"/>
      <c r="J1348" t="n">
        <v>0.4404</v>
      </c>
      <c r="K1348" t="n">
        <v>0</v>
      </c>
      <c r="L1348" t="n">
        <v>0.508</v>
      </c>
      <c r="M1348" t="n">
        <v>0.492</v>
      </c>
    </row>
    <row r="1349" spans="1:13">
      <c r="A1349" s="1">
        <f>HYPERLINK("http://www.twitter.com/NathanBLawrence/status/992649321395847168", "992649321395847168")</f>
        <v/>
      </c>
      <c r="B1349" s="2" t="n">
        <v>43225.26174768519</v>
      </c>
      <c r="C1349" t="n">
        <v>0</v>
      </c>
      <c r="D1349" t="n">
        <v>531</v>
      </c>
      <c r="E1349" t="s">
        <v>1354</v>
      </c>
      <c r="F1349">
        <f>HYPERLINK("http://pbs.twimg.com/media/DcZ3HHfU8AAzYJx.jpg", "http://pbs.twimg.com/media/DcZ3HHfU8AAzYJx.jpg")</f>
        <v/>
      </c>
      <c r="G1349">
        <f>HYPERLINK("http://pbs.twimg.com/media/DcZ3HHdVwAAbRB1.jpg", "http://pbs.twimg.com/media/DcZ3HHdVwAAbRB1.jpg")</f>
        <v/>
      </c>
      <c r="H1349" t="s"/>
      <c r="I1349" t="s"/>
      <c r="J1349" t="n">
        <v>0</v>
      </c>
      <c r="K1349" t="n">
        <v>0</v>
      </c>
      <c r="L1349" t="n">
        <v>1</v>
      </c>
      <c r="M1349" t="n">
        <v>0</v>
      </c>
    </row>
    <row r="1350" spans="1:13">
      <c r="A1350" s="1">
        <f>HYPERLINK("http://www.twitter.com/NathanBLawrence/status/992649119830290432", "992649119830290432")</f>
        <v/>
      </c>
      <c r="B1350" s="2" t="n">
        <v>43225.26119212963</v>
      </c>
      <c r="C1350" t="n">
        <v>0</v>
      </c>
      <c r="D1350" t="n">
        <v>2086</v>
      </c>
      <c r="E1350" t="s">
        <v>1355</v>
      </c>
      <c r="F1350">
        <f>HYPERLINK("http://pbs.twimg.com/media/DcZHZEwX0AAhAK_.jpg", "http://pbs.twimg.com/media/DcZHZEwX0AAhAK_.jpg")</f>
        <v/>
      </c>
      <c r="G1350" t="s"/>
      <c r="H1350" t="s"/>
      <c r="I1350" t="s"/>
      <c r="J1350" t="n">
        <v>0.4448</v>
      </c>
      <c r="K1350" t="n">
        <v>0</v>
      </c>
      <c r="L1350" t="n">
        <v>0.867</v>
      </c>
      <c r="M1350" t="n">
        <v>0.133</v>
      </c>
    </row>
    <row r="1351" spans="1:13">
      <c r="A1351" s="1">
        <f>HYPERLINK("http://www.twitter.com/NathanBLawrence/status/992649081783758848", "992649081783758848")</f>
        <v/>
      </c>
      <c r="B1351" s="2" t="n">
        <v>43225.26108796296</v>
      </c>
      <c r="C1351" t="n">
        <v>0</v>
      </c>
      <c r="D1351" t="n">
        <v>4694</v>
      </c>
      <c r="E1351" t="s">
        <v>1356</v>
      </c>
      <c r="F1351" t="s"/>
      <c r="G1351" t="s"/>
      <c r="H1351" t="s"/>
      <c r="I1351" t="s"/>
      <c r="J1351" t="n">
        <v>-0.4767</v>
      </c>
      <c r="K1351" t="n">
        <v>0.232</v>
      </c>
      <c r="L1351" t="n">
        <v>0.656</v>
      </c>
      <c r="M1351" t="n">
        <v>0.112</v>
      </c>
    </row>
    <row r="1352" spans="1:13">
      <c r="A1352" s="1">
        <f>HYPERLINK("http://www.twitter.com/NathanBLawrence/status/992649053719711745", "992649053719711745")</f>
        <v/>
      </c>
      <c r="B1352" s="2" t="n">
        <v>43225.26100694444</v>
      </c>
      <c r="C1352" t="n">
        <v>0</v>
      </c>
      <c r="D1352" t="n">
        <v>941</v>
      </c>
      <c r="E1352" t="s">
        <v>1357</v>
      </c>
      <c r="F1352" t="s"/>
      <c r="G1352" t="s"/>
      <c r="H1352" t="s"/>
      <c r="I1352" t="s"/>
      <c r="J1352" t="n">
        <v>0</v>
      </c>
      <c r="K1352" t="n">
        <v>0</v>
      </c>
      <c r="L1352" t="n">
        <v>1</v>
      </c>
      <c r="M1352" t="n">
        <v>0</v>
      </c>
    </row>
    <row r="1353" spans="1:13">
      <c r="A1353" s="1">
        <f>HYPERLINK("http://www.twitter.com/NathanBLawrence/status/992649019489910786", "992649019489910786")</f>
        <v/>
      </c>
      <c r="B1353" s="2" t="n">
        <v>43225.26091435185</v>
      </c>
      <c r="C1353" t="n">
        <v>0</v>
      </c>
      <c r="D1353" t="n">
        <v>163</v>
      </c>
      <c r="E1353" t="s">
        <v>1358</v>
      </c>
      <c r="F1353" t="s"/>
      <c r="G1353" t="s"/>
      <c r="H1353" t="s"/>
      <c r="I1353" t="s"/>
      <c r="J1353" t="n">
        <v>0.4767</v>
      </c>
      <c r="K1353" t="n">
        <v>0</v>
      </c>
      <c r="L1353" t="n">
        <v>0.806</v>
      </c>
      <c r="M1353" t="n">
        <v>0.194</v>
      </c>
    </row>
    <row r="1354" spans="1:13">
      <c r="A1354" s="1">
        <f>HYPERLINK("http://www.twitter.com/NathanBLawrence/status/992648950288142336", "992648950288142336")</f>
        <v/>
      </c>
      <c r="B1354" s="2" t="n">
        <v>43225.2607175926</v>
      </c>
      <c r="C1354" t="n">
        <v>0</v>
      </c>
      <c r="D1354" t="n">
        <v>110</v>
      </c>
      <c r="E1354" t="s">
        <v>1359</v>
      </c>
      <c r="F1354" t="s"/>
      <c r="G1354" t="s"/>
      <c r="H1354" t="s"/>
      <c r="I1354" t="s"/>
      <c r="J1354" t="n">
        <v>-0.0772</v>
      </c>
      <c r="K1354" t="n">
        <v>0.112</v>
      </c>
      <c r="L1354" t="n">
        <v>0.787</v>
      </c>
      <c r="M1354" t="n">
        <v>0.101</v>
      </c>
    </row>
    <row r="1355" spans="1:13">
      <c r="A1355" s="1">
        <f>HYPERLINK("http://www.twitter.com/NathanBLawrence/status/992648930751078400", "992648930751078400")</f>
        <v/>
      </c>
      <c r="B1355" s="2" t="n">
        <v>43225.2606712963</v>
      </c>
      <c r="C1355" t="n">
        <v>0</v>
      </c>
      <c r="D1355" t="n">
        <v>1367</v>
      </c>
      <c r="E1355" t="s">
        <v>1360</v>
      </c>
      <c r="F1355">
        <f>HYPERLINK("https://video.twimg.com/ext_tw_video/992615317619822592/pu/vid/1280x720/bnRHqhqUr9UREe5d.mp4?tag=3", "https://video.twimg.com/ext_tw_video/992615317619822592/pu/vid/1280x720/bnRHqhqUr9UREe5d.mp4?tag=3")</f>
        <v/>
      </c>
      <c r="G1355" t="s"/>
      <c r="H1355" t="s"/>
      <c r="I1355" t="s"/>
      <c r="J1355" t="n">
        <v>0.2732</v>
      </c>
      <c r="K1355" t="n">
        <v>0</v>
      </c>
      <c r="L1355" t="n">
        <v>0.826</v>
      </c>
      <c r="M1355" t="n">
        <v>0.174</v>
      </c>
    </row>
    <row r="1356" spans="1:13">
      <c r="A1356" s="1">
        <f>HYPERLINK("http://www.twitter.com/NathanBLawrence/status/992648876728422400", "992648876728422400")</f>
        <v/>
      </c>
      <c r="B1356" s="2" t="n">
        <v>43225.26052083333</v>
      </c>
      <c r="C1356" t="n">
        <v>0</v>
      </c>
      <c r="D1356" t="n">
        <v>665</v>
      </c>
      <c r="E1356" t="s">
        <v>1361</v>
      </c>
      <c r="F1356" t="s"/>
      <c r="G1356" t="s"/>
      <c r="H1356" t="s"/>
      <c r="I1356" t="s"/>
      <c r="J1356" t="n">
        <v>-0.3477</v>
      </c>
      <c r="K1356" t="n">
        <v>0.206</v>
      </c>
      <c r="L1356" t="n">
        <v>0.665</v>
      </c>
      <c r="M1356" t="n">
        <v>0.129</v>
      </c>
    </row>
    <row r="1357" spans="1:13">
      <c r="A1357" s="1">
        <f>HYPERLINK("http://www.twitter.com/NathanBLawrence/status/992648863805857792", "992648863805857792")</f>
        <v/>
      </c>
      <c r="B1357" s="2" t="n">
        <v>43225.26048611111</v>
      </c>
      <c r="C1357" t="n">
        <v>0</v>
      </c>
      <c r="D1357" t="n">
        <v>249</v>
      </c>
      <c r="E1357" t="s">
        <v>1362</v>
      </c>
      <c r="F1357">
        <f>HYPERLINK("http://pbs.twimg.com/media/DcZeX4YV4AEssW8.jpg", "http://pbs.twimg.com/media/DcZeX4YV4AEssW8.jpg")</f>
        <v/>
      </c>
      <c r="G1357" t="s"/>
      <c r="H1357" t="s"/>
      <c r="I1357" t="s"/>
      <c r="J1357" t="n">
        <v>-0.4754</v>
      </c>
      <c r="K1357" t="n">
        <v>0.114</v>
      </c>
      <c r="L1357" t="n">
        <v>0.842</v>
      </c>
      <c r="M1357" t="n">
        <v>0.044</v>
      </c>
    </row>
    <row r="1358" spans="1:13">
      <c r="A1358" s="1">
        <f>HYPERLINK("http://www.twitter.com/NathanBLawrence/status/992648862618746880", "992648862618746880")</f>
        <v/>
      </c>
      <c r="B1358" s="2" t="n">
        <v>43225.26048611111</v>
      </c>
      <c r="C1358" t="n">
        <v>0</v>
      </c>
      <c r="D1358" t="n">
        <v>953</v>
      </c>
      <c r="E1358" t="s">
        <v>1363</v>
      </c>
      <c r="F1358" t="s"/>
      <c r="G1358" t="s"/>
      <c r="H1358" t="s"/>
      <c r="I1358" t="s"/>
      <c r="J1358" t="n">
        <v>-0.4767</v>
      </c>
      <c r="K1358" t="n">
        <v>0.129</v>
      </c>
      <c r="L1358" t="n">
        <v>0.871</v>
      </c>
      <c r="M1358" t="n">
        <v>0</v>
      </c>
    </row>
    <row r="1359" spans="1:13">
      <c r="A1359" s="1">
        <f>HYPERLINK("http://www.twitter.com/NathanBLawrence/status/992587381311197185", "992587381311197185")</f>
        <v/>
      </c>
      <c r="B1359" s="2" t="n">
        <v>43225.09082175926</v>
      </c>
      <c r="C1359" t="n">
        <v>0</v>
      </c>
      <c r="D1359" t="n">
        <v>58</v>
      </c>
      <c r="E1359" t="s">
        <v>1364</v>
      </c>
      <c r="F1359" t="s"/>
      <c r="G1359" t="s"/>
      <c r="H1359" t="s"/>
      <c r="I1359" t="s"/>
      <c r="J1359" t="n">
        <v>-0.2732</v>
      </c>
      <c r="K1359" t="n">
        <v>0.095</v>
      </c>
      <c r="L1359" t="n">
        <v>0.905</v>
      </c>
      <c r="M1359" t="n">
        <v>0</v>
      </c>
    </row>
    <row r="1360" spans="1:13">
      <c r="A1360" s="1">
        <f>HYPERLINK("http://www.twitter.com/NathanBLawrence/status/992587364739543040", "992587364739543040")</f>
        <v/>
      </c>
      <c r="B1360" s="2" t="n">
        <v>43225.09077546297</v>
      </c>
      <c r="C1360" t="n">
        <v>0</v>
      </c>
      <c r="D1360" t="n">
        <v>10</v>
      </c>
      <c r="E1360" t="s">
        <v>1365</v>
      </c>
      <c r="F1360" t="s"/>
      <c r="G1360" t="s"/>
      <c r="H1360" t="s"/>
      <c r="I1360" t="s"/>
      <c r="J1360" t="n">
        <v>0</v>
      </c>
      <c r="K1360" t="n">
        <v>0</v>
      </c>
      <c r="L1360" t="n">
        <v>1</v>
      </c>
      <c r="M1360" t="n">
        <v>0</v>
      </c>
    </row>
    <row r="1361" spans="1:13">
      <c r="A1361" s="1">
        <f>HYPERLINK("http://www.twitter.com/NathanBLawrence/status/992587338059575297", "992587338059575297")</f>
        <v/>
      </c>
      <c r="B1361" s="2" t="n">
        <v>43225.09070601852</v>
      </c>
      <c r="C1361" t="n">
        <v>0</v>
      </c>
      <c r="D1361" t="n">
        <v>82</v>
      </c>
      <c r="E1361" t="s">
        <v>1366</v>
      </c>
      <c r="F1361">
        <f>HYPERLINK("https://video.twimg.com/ext_tw_video/991707259704102912/pu/vid/1280x720/7Cd0j5jMpErGQI0p.mp4?tag=3", "https://video.twimg.com/ext_tw_video/991707259704102912/pu/vid/1280x720/7Cd0j5jMpErGQI0p.mp4?tag=3")</f>
        <v/>
      </c>
      <c r="G1361" t="s"/>
      <c r="H1361" t="s"/>
      <c r="I1361" t="s"/>
      <c r="J1361" t="n">
        <v>0.9201</v>
      </c>
      <c r="K1361" t="n">
        <v>0</v>
      </c>
      <c r="L1361" t="n">
        <v>0.554</v>
      </c>
      <c r="M1361" t="n">
        <v>0.446</v>
      </c>
    </row>
    <row r="1362" spans="1:13">
      <c r="A1362" s="1">
        <f>HYPERLINK("http://www.twitter.com/NathanBLawrence/status/992587288071766016", "992587288071766016")</f>
        <v/>
      </c>
      <c r="B1362" s="2" t="n">
        <v>43225.09056712963</v>
      </c>
      <c r="C1362" t="n">
        <v>0</v>
      </c>
      <c r="D1362" t="n">
        <v>14</v>
      </c>
      <c r="E1362" t="s">
        <v>1367</v>
      </c>
      <c r="F1362">
        <f>HYPERLINK("http://pbs.twimg.com/media/DcUJXOEXUAAuXKn.jpg", "http://pbs.twimg.com/media/DcUJXOEXUAAuXKn.jpg")</f>
        <v/>
      </c>
      <c r="G1362" t="s"/>
      <c r="H1362" t="s"/>
      <c r="I1362" t="s"/>
      <c r="J1362" t="n">
        <v>-0.7371</v>
      </c>
      <c r="K1362" t="n">
        <v>0.258</v>
      </c>
      <c r="L1362" t="n">
        <v>0.742</v>
      </c>
      <c r="M1362" t="n">
        <v>0</v>
      </c>
    </row>
    <row r="1363" spans="1:13">
      <c r="A1363" s="1">
        <f>HYPERLINK("http://www.twitter.com/NathanBLawrence/status/992587254878089216", "992587254878089216")</f>
        <v/>
      </c>
      <c r="B1363" s="2" t="n">
        <v>43225.09047453704</v>
      </c>
      <c r="C1363" t="n">
        <v>0</v>
      </c>
      <c r="D1363" t="n">
        <v>14</v>
      </c>
      <c r="E1363" t="s">
        <v>1368</v>
      </c>
      <c r="F1363" t="s"/>
      <c r="G1363" t="s"/>
      <c r="H1363" t="s"/>
      <c r="I1363" t="s"/>
      <c r="J1363" t="n">
        <v>0</v>
      </c>
      <c r="K1363" t="n">
        <v>0.174</v>
      </c>
      <c r="L1363" t="n">
        <v>0.652</v>
      </c>
      <c r="M1363" t="n">
        <v>0.174</v>
      </c>
    </row>
    <row r="1364" spans="1:13">
      <c r="A1364" s="1">
        <f>HYPERLINK("http://www.twitter.com/NathanBLawrence/status/992587136506519552", "992587136506519552")</f>
        <v/>
      </c>
      <c r="B1364" s="2" t="n">
        <v>43225.09015046297</v>
      </c>
      <c r="C1364" t="n">
        <v>0</v>
      </c>
      <c r="D1364" t="n">
        <v>15</v>
      </c>
      <c r="E1364" t="s">
        <v>1369</v>
      </c>
      <c r="F1364">
        <f>HYPERLINK("http://pbs.twimg.com/media/DcWtwbUXkAMjF-r.jpg", "http://pbs.twimg.com/media/DcWtwbUXkAMjF-r.jpg")</f>
        <v/>
      </c>
      <c r="G1364" t="s"/>
      <c r="H1364" t="s"/>
      <c r="I1364" t="s"/>
      <c r="J1364" t="n">
        <v>0.6588000000000001</v>
      </c>
      <c r="K1364" t="n">
        <v>0</v>
      </c>
      <c r="L1364" t="n">
        <v>0.715</v>
      </c>
      <c r="M1364" t="n">
        <v>0.285</v>
      </c>
    </row>
    <row r="1365" spans="1:13">
      <c r="A1365" s="1">
        <f>HYPERLINK("http://www.twitter.com/NathanBLawrence/status/992586986178465793", "992586986178465793")</f>
        <v/>
      </c>
      <c r="B1365" s="2" t="n">
        <v>43225.0897337963</v>
      </c>
      <c r="C1365" t="n">
        <v>0</v>
      </c>
      <c r="D1365" t="n">
        <v>8</v>
      </c>
      <c r="E1365" t="s">
        <v>1370</v>
      </c>
      <c r="F1365">
        <f>HYPERLINK("http://pbs.twimg.com/media/DcZW6aBWkAAVtvL.jpg", "http://pbs.twimg.com/media/DcZW6aBWkAAVtvL.jpg")</f>
        <v/>
      </c>
      <c r="G1365" t="s"/>
      <c r="H1365" t="s"/>
      <c r="I1365" t="s"/>
      <c r="J1365" t="n">
        <v>0.93</v>
      </c>
      <c r="K1365" t="n">
        <v>0</v>
      </c>
      <c r="L1365" t="n">
        <v>0.615</v>
      </c>
      <c r="M1365" t="n">
        <v>0.385</v>
      </c>
    </row>
    <row r="1366" spans="1:13">
      <c r="A1366" s="1">
        <f>HYPERLINK("http://www.twitter.com/NathanBLawrence/status/992586944684216320", "992586944684216320")</f>
        <v/>
      </c>
      <c r="B1366" s="2" t="n">
        <v>43225.08961805556</v>
      </c>
      <c r="C1366" t="n">
        <v>0</v>
      </c>
      <c r="D1366" t="n">
        <v>31</v>
      </c>
      <c r="E1366" t="s">
        <v>1371</v>
      </c>
      <c r="F1366">
        <f>HYPERLINK("http://pbs.twimg.com/media/DcPFC7YWkAALWdT.jpg", "http://pbs.twimg.com/media/DcPFC7YWkAALWdT.jpg")</f>
        <v/>
      </c>
      <c r="G1366" t="s"/>
      <c r="H1366" t="s"/>
      <c r="I1366" t="s"/>
      <c r="J1366" t="n">
        <v>-0.5266999999999999</v>
      </c>
      <c r="K1366" t="n">
        <v>0.18</v>
      </c>
      <c r="L1366" t="n">
        <v>0.82</v>
      </c>
      <c r="M1366" t="n">
        <v>0</v>
      </c>
    </row>
    <row r="1367" spans="1:13">
      <c r="A1367" s="1">
        <f>HYPERLINK("http://www.twitter.com/NathanBLawrence/status/992586904259481600", "992586904259481600")</f>
        <v/>
      </c>
      <c r="B1367" s="2" t="n">
        <v>43225.08951388889</v>
      </c>
      <c r="C1367" t="n">
        <v>0</v>
      </c>
      <c r="D1367" t="n">
        <v>188</v>
      </c>
      <c r="E1367" t="s">
        <v>1372</v>
      </c>
      <c r="F1367" t="s"/>
      <c r="G1367" t="s"/>
      <c r="H1367" t="s"/>
      <c r="I1367" t="s"/>
      <c r="J1367" t="n">
        <v>0</v>
      </c>
      <c r="K1367" t="n">
        <v>0</v>
      </c>
      <c r="L1367" t="n">
        <v>1</v>
      </c>
      <c r="M1367" t="n">
        <v>0</v>
      </c>
    </row>
    <row r="1368" spans="1:13">
      <c r="A1368" s="1">
        <f>HYPERLINK("http://www.twitter.com/NathanBLawrence/status/992586843605667841", "992586843605667841")</f>
        <v/>
      </c>
      <c r="B1368" s="2" t="n">
        <v>43225.08934027778</v>
      </c>
      <c r="C1368" t="n">
        <v>0</v>
      </c>
      <c r="D1368" t="n">
        <v>249</v>
      </c>
      <c r="E1368" t="s">
        <v>1373</v>
      </c>
      <c r="F1368" t="s"/>
      <c r="G1368" t="s"/>
      <c r="H1368" t="s"/>
      <c r="I1368" t="s"/>
      <c r="J1368" t="n">
        <v>-0.2878</v>
      </c>
      <c r="K1368" t="n">
        <v>0.152</v>
      </c>
      <c r="L1368" t="n">
        <v>0.791</v>
      </c>
      <c r="M1368" t="n">
        <v>0.057</v>
      </c>
    </row>
    <row r="1369" spans="1:13">
      <c r="A1369" s="1">
        <f>HYPERLINK("http://www.twitter.com/NathanBLawrence/status/992586812056064005", "992586812056064005")</f>
        <v/>
      </c>
      <c r="B1369" s="2" t="n">
        <v>43225.08925925926</v>
      </c>
      <c r="C1369" t="n">
        <v>0</v>
      </c>
      <c r="D1369" t="n">
        <v>1770</v>
      </c>
      <c r="E1369" t="s">
        <v>1374</v>
      </c>
      <c r="F1369" t="s"/>
      <c r="G1369" t="s"/>
      <c r="H1369" t="s"/>
      <c r="I1369" t="s"/>
      <c r="J1369" t="n">
        <v>-0.4341</v>
      </c>
      <c r="K1369" t="n">
        <v>0.12</v>
      </c>
      <c r="L1369" t="n">
        <v>0.88</v>
      </c>
      <c r="M1369" t="n">
        <v>0</v>
      </c>
    </row>
    <row r="1370" spans="1:13">
      <c r="A1370" s="1">
        <f>HYPERLINK("http://www.twitter.com/NathanBLawrence/status/992586792703610880", "992586792703610880")</f>
        <v/>
      </c>
      <c r="B1370" s="2" t="n">
        <v>43225.08920138889</v>
      </c>
      <c r="C1370" t="n">
        <v>0</v>
      </c>
      <c r="D1370" t="n">
        <v>17487</v>
      </c>
      <c r="E1370" t="s">
        <v>1375</v>
      </c>
      <c r="F1370" t="s"/>
      <c r="G1370" t="s"/>
      <c r="H1370" t="s"/>
      <c r="I1370" t="s"/>
      <c r="J1370" t="n">
        <v>0</v>
      </c>
      <c r="K1370" t="n">
        <v>0</v>
      </c>
      <c r="L1370" t="n">
        <v>1</v>
      </c>
      <c r="M1370" t="n">
        <v>0</v>
      </c>
    </row>
    <row r="1371" spans="1:13">
      <c r="A1371" s="1">
        <f>HYPERLINK("http://www.twitter.com/NathanBLawrence/status/992586471637954561", "992586471637954561")</f>
        <v/>
      </c>
      <c r="B1371" s="2" t="n">
        <v>43225.08831018519</v>
      </c>
      <c r="C1371" t="n">
        <v>0</v>
      </c>
      <c r="D1371" t="n">
        <v>8431</v>
      </c>
      <c r="E1371" t="s">
        <v>1376</v>
      </c>
      <c r="F1371" t="s"/>
      <c r="G1371" t="s"/>
      <c r="H1371" t="s"/>
      <c r="I1371" t="s"/>
      <c r="J1371" t="n">
        <v>-0.5514</v>
      </c>
      <c r="K1371" t="n">
        <v>0.201</v>
      </c>
      <c r="L1371" t="n">
        <v>0.731</v>
      </c>
      <c r="M1371" t="n">
        <v>0.068</v>
      </c>
    </row>
    <row r="1372" spans="1:13">
      <c r="A1372" s="1">
        <f>HYPERLINK("http://www.twitter.com/NathanBLawrence/status/992586309561737217", "992586309561737217")</f>
        <v/>
      </c>
      <c r="B1372" s="2" t="n">
        <v>43225.08787037037</v>
      </c>
      <c r="C1372" t="n">
        <v>0</v>
      </c>
      <c r="D1372" t="n">
        <v>13</v>
      </c>
      <c r="E1372" t="s">
        <v>1377</v>
      </c>
      <c r="F1372" t="s"/>
      <c r="G1372" t="s"/>
      <c r="H1372" t="s"/>
      <c r="I1372" t="s"/>
      <c r="J1372" t="n">
        <v>-0.4466</v>
      </c>
      <c r="K1372" t="n">
        <v>0.155</v>
      </c>
      <c r="L1372" t="n">
        <v>0.845</v>
      </c>
      <c r="M1372" t="n">
        <v>0</v>
      </c>
    </row>
    <row r="1373" spans="1:13">
      <c r="A1373" s="1">
        <f>HYPERLINK("http://www.twitter.com/NathanBLawrence/status/992586268767866880", "992586268767866880")</f>
        <v/>
      </c>
      <c r="B1373" s="2" t="n">
        <v>43225.08775462963</v>
      </c>
      <c r="C1373" t="n">
        <v>0</v>
      </c>
      <c r="D1373" t="n">
        <v>4</v>
      </c>
      <c r="E1373" t="s">
        <v>1378</v>
      </c>
      <c r="F1373" t="s"/>
      <c r="G1373" t="s"/>
      <c r="H1373" t="s"/>
      <c r="I1373" t="s"/>
      <c r="J1373" t="n">
        <v>0</v>
      </c>
      <c r="K1373" t="n">
        <v>0</v>
      </c>
      <c r="L1373" t="n">
        <v>1</v>
      </c>
      <c r="M1373" t="n">
        <v>0</v>
      </c>
    </row>
    <row r="1374" spans="1:13">
      <c r="A1374" s="1">
        <f>HYPERLINK("http://www.twitter.com/NathanBLawrence/status/992586225973383170", "992586225973383170")</f>
        <v/>
      </c>
      <c r="B1374" s="2" t="n">
        <v>43225.08763888889</v>
      </c>
      <c r="C1374" t="n">
        <v>0</v>
      </c>
      <c r="D1374" t="n">
        <v>6</v>
      </c>
      <c r="E1374" t="s">
        <v>1379</v>
      </c>
      <c r="F1374" t="s"/>
      <c r="G1374" t="s"/>
      <c r="H1374" t="s"/>
      <c r="I1374" t="s"/>
      <c r="J1374" t="n">
        <v>-0.34</v>
      </c>
      <c r="K1374" t="n">
        <v>0.118</v>
      </c>
      <c r="L1374" t="n">
        <v>0.882</v>
      </c>
      <c r="M1374" t="n">
        <v>0</v>
      </c>
    </row>
    <row r="1375" spans="1:13">
      <c r="A1375" s="1">
        <f>HYPERLINK("http://www.twitter.com/NathanBLawrence/status/992586202015502341", "992586202015502341")</f>
        <v/>
      </c>
      <c r="B1375" s="2" t="n">
        <v>43225.08756944445</v>
      </c>
      <c r="C1375" t="n">
        <v>0</v>
      </c>
      <c r="D1375" t="n">
        <v>6</v>
      </c>
      <c r="E1375" t="s">
        <v>1380</v>
      </c>
      <c r="F1375" t="s"/>
      <c r="G1375" t="s"/>
      <c r="H1375" t="s"/>
      <c r="I1375" t="s"/>
      <c r="J1375" t="n">
        <v>0.6597</v>
      </c>
      <c r="K1375" t="n">
        <v>0</v>
      </c>
      <c r="L1375" t="n">
        <v>0.795</v>
      </c>
      <c r="M1375" t="n">
        <v>0.205</v>
      </c>
    </row>
    <row r="1376" spans="1:13">
      <c r="A1376" s="1">
        <f>HYPERLINK("http://www.twitter.com/NathanBLawrence/status/992586140585807873", "992586140585807873")</f>
        <v/>
      </c>
      <c r="B1376" s="2" t="n">
        <v>43225.08739583333</v>
      </c>
      <c r="C1376" t="n">
        <v>0</v>
      </c>
      <c r="D1376" t="n">
        <v>6</v>
      </c>
      <c r="E1376" t="s">
        <v>1381</v>
      </c>
      <c r="F1376" t="s"/>
      <c r="G1376" t="s"/>
      <c r="H1376" t="s"/>
      <c r="I1376" t="s"/>
      <c r="J1376" t="n">
        <v>-0.0534</v>
      </c>
      <c r="K1376" t="n">
        <v>0.11</v>
      </c>
      <c r="L1376" t="n">
        <v>0.788</v>
      </c>
      <c r="M1376" t="n">
        <v>0.102</v>
      </c>
    </row>
    <row r="1377" spans="1:13">
      <c r="A1377" s="1">
        <f>HYPERLINK("http://www.twitter.com/NathanBLawrence/status/992586115214401536", "992586115214401536")</f>
        <v/>
      </c>
      <c r="B1377" s="2" t="n">
        <v>43225.08732638889</v>
      </c>
      <c r="C1377" t="n">
        <v>0</v>
      </c>
      <c r="D1377" t="n">
        <v>5</v>
      </c>
      <c r="E1377" t="s">
        <v>1382</v>
      </c>
      <c r="F1377" t="s"/>
      <c r="G1377" t="s"/>
      <c r="H1377" t="s"/>
      <c r="I1377" t="s"/>
      <c r="J1377" t="n">
        <v>0.0772</v>
      </c>
      <c r="K1377" t="n">
        <v>0.08599999999999999</v>
      </c>
      <c r="L1377" t="n">
        <v>0.8159999999999999</v>
      </c>
      <c r="M1377" t="n">
        <v>0.098</v>
      </c>
    </row>
    <row r="1378" spans="1:13">
      <c r="A1378" s="1">
        <f>HYPERLINK("http://www.twitter.com/NathanBLawrence/status/992586027318509573", "992586027318509573")</f>
        <v/>
      </c>
      <c r="B1378" s="2" t="n">
        <v>43225.08708333333</v>
      </c>
      <c r="C1378" t="n">
        <v>0</v>
      </c>
      <c r="D1378" t="n">
        <v>39</v>
      </c>
      <c r="E1378" t="s">
        <v>1383</v>
      </c>
      <c r="F1378" t="s"/>
      <c r="G1378" t="s"/>
      <c r="H1378" t="s"/>
      <c r="I1378" t="s"/>
      <c r="J1378" t="n">
        <v>0.25</v>
      </c>
      <c r="K1378" t="n">
        <v>0</v>
      </c>
      <c r="L1378" t="n">
        <v>0.87</v>
      </c>
      <c r="M1378" t="n">
        <v>0.13</v>
      </c>
    </row>
    <row r="1379" spans="1:13">
      <c r="A1379" s="1">
        <f>HYPERLINK("http://www.twitter.com/NathanBLawrence/status/992585756530094090", "992585756530094090")</f>
        <v/>
      </c>
      <c r="B1379" s="2" t="n">
        <v>43225.08634259259</v>
      </c>
      <c r="C1379" t="n">
        <v>0</v>
      </c>
      <c r="D1379" t="n">
        <v>4</v>
      </c>
      <c r="E1379" t="s">
        <v>1384</v>
      </c>
      <c r="F1379" t="s"/>
      <c r="G1379" t="s"/>
      <c r="H1379" t="s"/>
      <c r="I1379" t="s"/>
      <c r="J1379" t="n">
        <v>-0.5106000000000001</v>
      </c>
      <c r="K1379" t="n">
        <v>0.125</v>
      </c>
      <c r="L1379" t="n">
        <v>0.875</v>
      </c>
      <c r="M1379" t="n">
        <v>0</v>
      </c>
    </row>
    <row r="1380" spans="1:13">
      <c r="A1380" s="1">
        <f>HYPERLINK("http://www.twitter.com/NathanBLawrence/status/992585714511605761", "992585714511605761")</f>
        <v/>
      </c>
      <c r="B1380" s="2" t="n">
        <v>43225.08622685185</v>
      </c>
      <c r="C1380" t="n">
        <v>0</v>
      </c>
      <c r="D1380" t="n">
        <v>4</v>
      </c>
      <c r="E1380" t="s">
        <v>1385</v>
      </c>
      <c r="F1380" t="s"/>
      <c r="G1380" t="s"/>
      <c r="H1380" t="s"/>
      <c r="I1380" t="s"/>
      <c r="J1380" t="n">
        <v>0</v>
      </c>
      <c r="K1380" t="n">
        <v>0.125</v>
      </c>
      <c r="L1380" t="n">
        <v>0.75</v>
      </c>
      <c r="M1380" t="n">
        <v>0.125</v>
      </c>
    </row>
    <row r="1381" spans="1:13">
      <c r="A1381" s="1">
        <f>HYPERLINK("http://www.twitter.com/NathanBLawrence/status/992585682911744001", "992585682911744001")</f>
        <v/>
      </c>
      <c r="B1381" s="2" t="n">
        <v>43225.08613425926</v>
      </c>
      <c r="C1381" t="n">
        <v>0</v>
      </c>
      <c r="D1381" t="n">
        <v>14</v>
      </c>
      <c r="E1381" t="s">
        <v>1386</v>
      </c>
      <c r="F1381" t="s"/>
      <c r="G1381" t="s"/>
      <c r="H1381" t="s"/>
      <c r="I1381" t="s"/>
      <c r="J1381" t="n">
        <v>-0.5255</v>
      </c>
      <c r="K1381" t="n">
        <v>0.159</v>
      </c>
      <c r="L1381" t="n">
        <v>0.841</v>
      </c>
      <c r="M1381" t="n">
        <v>0</v>
      </c>
    </row>
    <row r="1382" spans="1:13">
      <c r="A1382" s="1">
        <f>HYPERLINK("http://www.twitter.com/NathanBLawrence/status/992585655564808197", "992585655564808197")</f>
        <v/>
      </c>
      <c r="B1382" s="2" t="n">
        <v>43225.08606481482</v>
      </c>
      <c r="C1382" t="n">
        <v>0</v>
      </c>
      <c r="D1382" t="n">
        <v>10</v>
      </c>
      <c r="E1382" t="s">
        <v>1387</v>
      </c>
      <c r="F1382">
        <f>HYPERLINK("http://pbs.twimg.com/media/DcZUsGmX0AAew3i.jpg", "http://pbs.twimg.com/media/DcZUsGmX0AAew3i.jpg")</f>
        <v/>
      </c>
      <c r="G1382" t="s"/>
      <c r="H1382" t="s"/>
      <c r="I1382" t="s"/>
      <c r="J1382" t="n">
        <v>0</v>
      </c>
      <c r="K1382" t="n">
        <v>0</v>
      </c>
      <c r="L1382" t="n">
        <v>1</v>
      </c>
      <c r="M1382" t="n">
        <v>0</v>
      </c>
    </row>
    <row r="1383" spans="1:13">
      <c r="A1383" s="1">
        <f>HYPERLINK("http://www.twitter.com/NathanBLawrence/status/992585546387087361", "992585546387087361")</f>
        <v/>
      </c>
      <c r="B1383" s="2" t="n">
        <v>43225.08576388889</v>
      </c>
      <c r="C1383" t="n">
        <v>0</v>
      </c>
      <c r="D1383" t="n">
        <v>18</v>
      </c>
      <c r="E1383" t="s">
        <v>1388</v>
      </c>
      <c r="F1383" t="s"/>
      <c r="G1383" t="s"/>
      <c r="H1383" t="s"/>
      <c r="I1383" t="s"/>
      <c r="J1383" t="n">
        <v>0.3182</v>
      </c>
      <c r="K1383" t="n">
        <v>0.093</v>
      </c>
      <c r="L1383" t="n">
        <v>0.711</v>
      </c>
      <c r="M1383" t="n">
        <v>0.196</v>
      </c>
    </row>
    <row r="1384" spans="1:13">
      <c r="A1384" s="1">
        <f>HYPERLINK("http://www.twitter.com/NathanBLawrence/status/992585396981764096", "992585396981764096")</f>
        <v/>
      </c>
      <c r="B1384" s="2" t="n">
        <v>43225.08534722222</v>
      </c>
      <c r="C1384" t="n">
        <v>0</v>
      </c>
      <c r="D1384" t="n">
        <v>5</v>
      </c>
      <c r="E1384" t="s">
        <v>1389</v>
      </c>
      <c r="F1384" t="s"/>
      <c r="G1384" t="s"/>
      <c r="H1384" t="s"/>
      <c r="I1384" t="s"/>
      <c r="J1384" t="n">
        <v>0.3182</v>
      </c>
      <c r="K1384" t="n">
        <v>0.093</v>
      </c>
      <c r="L1384" t="n">
        <v>0.711</v>
      </c>
      <c r="M1384" t="n">
        <v>0.196</v>
      </c>
    </row>
    <row r="1385" spans="1:13">
      <c r="A1385" s="1">
        <f>HYPERLINK("http://www.twitter.com/NathanBLawrence/status/992534354428678149", "992534354428678149")</f>
        <v/>
      </c>
      <c r="B1385" s="2" t="n">
        <v>43224.94450231481</v>
      </c>
      <c r="C1385" t="n">
        <v>0</v>
      </c>
      <c r="D1385" t="n">
        <v>24</v>
      </c>
      <c r="E1385" t="s">
        <v>1390</v>
      </c>
      <c r="F1385" t="s"/>
      <c r="G1385" t="s"/>
      <c r="H1385" t="s"/>
      <c r="I1385" t="s"/>
      <c r="J1385" t="n">
        <v>0.2023</v>
      </c>
      <c r="K1385" t="n">
        <v>0.081</v>
      </c>
      <c r="L1385" t="n">
        <v>0.769</v>
      </c>
      <c r="M1385" t="n">
        <v>0.15</v>
      </c>
    </row>
    <row r="1386" spans="1:13">
      <c r="A1386" s="1">
        <f>HYPERLINK("http://www.twitter.com/NathanBLawrence/status/992534292852039681", "992534292852039681")</f>
        <v/>
      </c>
      <c r="B1386" s="2" t="n">
        <v>43224.94432870371</v>
      </c>
      <c r="C1386" t="n">
        <v>0</v>
      </c>
      <c r="D1386" t="n">
        <v>4</v>
      </c>
      <c r="E1386" t="s">
        <v>1391</v>
      </c>
      <c r="F1386" t="s"/>
      <c r="G1386" t="s"/>
      <c r="H1386" t="s"/>
      <c r="I1386" t="s"/>
      <c r="J1386" t="n">
        <v>0</v>
      </c>
      <c r="K1386" t="n">
        <v>0</v>
      </c>
      <c r="L1386" t="n">
        <v>1</v>
      </c>
      <c r="M1386" t="n">
        <v>0</v>
      </c>
    </row>
    <row r="1387" spans="1:13">
      <c r="A1387" s="1">
        <f>HYPERLINK("http://www.twitter.com/NathanBLawrence/status/992534256709722112", "992534256709722112")</f>
        <v/>
      </c>
      <c r="B1387" s="2" t="n">
        <v>43224.94422453704</v>
      </c>
      <c r="C1387" t="n">
        <v>0</v>
      </c>
      <c r="D1387" t="n">
        <v>2</v>
      </c>
      <c r="E1387" t="s">
        <v>1392</v>
      </c>
      <c r="F1387" t="s"/>
      <c r="G1387" t="s"/>
      <c r="H1387" t="s"/>
      <c r="I1387" t="s"/>
      <c r="J1387" t="n">
        <v>0</v>
      </c>
      <c r="K1387" t="n">
        <v>0</v>
      </c>
      <c r="L1387" t="n">
        <v>1</v>
      </c>
      <c r="M1387" t="n">
        <v>0</v>
      </c>
    </row>
    <row r="1388" spans="1:13">
      <c r="A1388" s="1">
        <f>HYPERLINK("http://www.twitter.com/NathanBLawrence/status/992534200896147456", "992534200896147456")</f>
        <v/>
      </c>
      <c r="B1388" s="2" t="n">
        <v>43224.94407407408</v>
      </c>
      <c r="C1388" t="n">
        <v>0</v>
      </c>
      <c r="D1388" t="n">
        <v>4</v>
      </c>
      <c r="E1388" t="s">
        <v>1393</v>
      </c>
      <c r="F1388" t="s"/>
      <c r="G1388" t="s"/>
      <c r="H1388" t="s"/>
      <c r="I1388" t="s"/>
      <c r="J1388" t="n">
        <v>-0.4404</v>
      </c>
      <c r="K1388" t="n">
        <v>0.121</v>
      </c>
      <c r="L1388" t="n">
        <v>0.879</v>
      </c>
      <c r="M1388" t="n">
        <v>0</v>
      </c>
    </row>
    <row r="1389" spans="1:13">
      <c r="A1389" s="1">
        <f>HYPERLINK("http://www.twitter.com/NathanBLawrence/status/992534171955466241", "992534171955466241")</f>
        <v/>
      </c>
      <c r="B1389" s="2" t="n">
        <v>43224.94399305555</v>
      </c>
      <c r="C1389" t="n">
        <v>0</v>
      </c>
      <c r="D1389" t="n">
        <v>10</v>
      </c>
      <c r="E1389" t="s">
        <v>1394</v>
      </c>
      <c r="F1389" t="s"/>
      <c r="G1389" t="s"/>
      <c r="H1389" t="s"/>
      <c r="I1389" t="s"/>
      <c r="J1389" t="n">
        <v>0.5859</v>
      </c>
      <c r="K1389" t="n">
        <v>0.11</v>
      </c>
      <c r="L1389" t="n">
        <v>0.616</v>
      </c>
      <c r="M1389" t="n">
        <v>0.274</v>
      </c>
    </row>
    <row r="1390" spans="1:13">
      <c r="A1390" s="1">
        <f>HYPERLINK("http://www.twitter.com/NathanBLawrence/status/992534151466291201", "992534151466291201")</f>
        <v/>
      </c>
      <c r="B1390" s="2" t="n">
        <v>43224.94393518518</v>
      </c>
      <c r="C1390" t="n">
        <v>0</v>
      </c>
      <c r="D1390" t="n">
        <v>5</v>
      </c>
      <c r="E1390" t="s">
        <v>1395</v>
      </c>
      <c r="F1390" t="s"/>
      <c r="G1390" t="s"/>
      <c r="H1390" t="s"/>
      <c r="I1390" t="s"/>
      <c r="J1390" t="n">
        <v>0.3612</v>
      </c>
      <c r="K1390" t="n">
        <v>0.13</v>
      </c>
      <c r="L1390" t="n">
        <v>0.65</v>
      </c>
      <c r="M1390" t="n">
        <v>0.22</v>
      </c>
    </row>
    <row r="1391" spans="1:13">
      <c r="A1391" s="1">
        <f>HYPERLINK("http://www.twitter.com/NathanBLawrence/status/992534126103318529", "992534126103318529")</f>
        <v/>
      </c>
      <c r="B1391" s="2" t="n">
        <v>43224.94386574074</v>
      </c>
      <c r="C1391" t="n">
        <v>0</v>
      </c>
      <c r="D1391" t="n">
        <v>6</v>
      </c>
      <c r="E1391" t="s">
        <v>1396</v>
      </c>
      <c r="F1391" t="s"/>
      <c r="G1391" t="s"/>
      <c r="H1391" t="s"/>
      <c r="I1391" t="s"/>
      <c r="J1391" t="n">
        <v>0.5319</v>
      </c>
      <c r="K1391" t="n">
        <v>0</v>
      </c>
      <c r="L1391" t="n">
        <v>0.783</v>
      </c>
      <c r="M1391" t="n">
        <v>0.217</v>
      </c>
    </row>
    <row r="1392" spans="1:13">
      <c r="A1392" s="1">
        <f>HYPERLINK("http://www.twitter.com/NathanBLawrence/status/992534112903843840", "992534112903843840")</f>
        <v/>
      </c>
      <c r="B1392" s="2" t="n">
        <v>43224.94383101852</v>
      </c>
      <c r="C1392" t="n">
        <v>0</v>
      </c>
      <c r="D1392" t="n">
        <v>8</v>
      </c>
      <c r="E1392" t="s">
        <v>1397</v>
      </c>
      <c r="F1392" t="s"/>
      <c r="G1392" t="s"/>
      <c r="H1392" t="s"/>
      <c r="I1392" t="s"/>
      <c r="J1392" t="n">
        <v>0.2023</v>
      </c>
      <c r="K1392" t="n">
        <v>0.081</v>
      </c>
      <c r="L1392" t="n">
        <v>0.769</v>
      </c>
      <c r="M1392" t="n">
        <v>0.15</v>
      </c>
    </row>
    <row r="1393" spans="1:13">
      <c r="A1393" s="1">
        <f>HYPERLINK("http://www.twitter.com/NathanBLawrence/status/992534077545775105", "992534077545775105")</f>
        <v/>
      </c>
      <c r="B1393" s="2" t="n">
        <v>43224.94373842593</v>
      </c>
      <c r="C1393" t="n">
        <v>0</v>
      </c>
      <c r="D1393" t="n">
        <v>16</v>
      </c>
      <c r="E1393" t="s">
        <v>1398</v>
      </c>
      <c r="F1393">
        <f>HYPERLINK("http://pbs.twimg.com/media/DcYvVvjW0AE29zZ.jpg", "http://pbs.twimg.com/media/DcYvVvjW0AE29zZ.jpg")</f>
        <v/>
      </c>
      <c r="G1393" t="s"/>
      <c r="H1393" t="s"/>
      <c r="I1393" t="s"/>
      <c r="J1393" t="n">
        <v>-0.2617</v>
      </c>
      <c r="K1393" t="n">
        <v>0.076</v>
      </c>
      <c r="L1393" t="n">
        <v>0.924</v>
      </c>
      <c r="M1393" t="n">
        <v>0</v>
      </c>
    </row>
    <row r="1394" spans="1:13">
      <c r="A1394" s="1">
        <f>HYPERLINK("http://www.twitter.com/NathanBLawrence/status/992526514758537218", "992526514758537218")</f>
        <v/>
      </c>
      <c r="B1394" s="2" t="n">
        <v>43224.92287037037</v>
      </c>
      <c r="C1394" t="n">
        <v>0</v>
      </c>
      <c r="D1394" t="n">
        <v>11</v>
      </c>
      <c r="E1394" t="s">
        <v>1399</v>
      </c>
      <c r="F1394" t="s"/>
      <c r="G1394" t="s"/>
      <c r="H1394" t="s"/>
      <c r="I1394" t="s"/>
      <c r="J1394" t="n">
        <v>0</v>
      </c>
      <c r="K1394" t="n">
        <v>0</v>
      </c>
      <c r="L1394" t="n">
        <v>1</v>
      </c>
      <c r="M1394" t="n">
        <v>0</v>
      </c>
    </row>
    <row r="1395" spans="1:13">
      <c r="A1395" s="1">
        <f>HYPERLINK("http://www.twitter.com/NathanBLawrence/status/992526476493848576", "992526476493848576")</f>
        <v/>
      </c>
      <c r="B1395" s="2" t="n">
        <v>43224.92275462963</v>
      </c>
      <c r="C1395" t="n">
        <v>0</v>
      </c>
      <c r="D1395" t="n">
        <v>16</v>
      </c>
      <c r="E1395" t="s">
        <v>1400</v>
      </c>
      <c r="F1395">
        <f>HYPERLINK("http://pbs.twimg.com/media/DcX9yYnW4AAM1p7.jpg", "http://pbs.twimg.com/media/DcX9yYnW4AAM1p7.jpg")</f>
        <v/>
      </c>
      <c r="G1395" t="s"/>
      <c r="H1395" t="s"/>
      <c r="I1395" t="s"/>
      <c r="J1395" t="n">
        <v>0.2023</v>
      </c>
      <c r="K1395" t="n">
        <v>0</v>
      </c>
      <c r="L1395" t="n">
        <v>0.917</v>
      </c>
      <c r="M1395" t="n">
        <v>0.083</v>
      </c>
    </row>
    <row r="1396" spans="1:13">
      <c r="A1396" s="1">
        <f>HYPERLINK("http://www.twitter.com/NathanBLawrence/status/992526461335678976", "992526461335678976")</f>
        <v/>
      </c>
      <c r="B1396" s="2" t="n">
        <v>43224.92271990741</v>
      </c>
      <c r="C1396" t="n">
        <v>0</v>
      </c>
      <c r="D1396" t="n">
        <v>10</v>
      </c>
      <c r="E1396" t="s">
        <v>1401</v>
      </c>
      <c r="F1396">
        <f>HYPERLINK("http://pbs.twimg.com/media/DcYdFVDU0AEokT8.jpg", "http://pbs.twimg.com/media/DcYdFVDU0AEokT8.jpg")</f>
        <v/>
      </c>
      <c r="G1396" t="s"/>
      <c r="H1396" t="s"/>
      <c r="I1396" t="s"/>
      <c r="J1396" t="n">
        <v>0.8109</v>
      </c>
      <c r="K1396" t="n">
        <v>0</v>
      </c>
      <c r="L1396" t="n">
        <v>0.721</v>
      </c>
      <c r="M1396" t="n">
        <v>0.279</v>
      </c>
    </row>
    <row r="1397" spans="1:13">
      <c r="A1397" s="1">
        <f>HYPERLINK("http://www.twitter.com/NathanBLawrence/status/992526441366552581", "992526441366552581")</f>
        <v/>
      </c>
      <c r="B1397" s="2" t="n">
        <v>43224.92266203704</v>
      </c>
      <c r="C1397" t="n">
        <v>0</v>
      </c>
      <c r="D1397" t="n">
        <v>9</v>
      </c>
      <c r="E1397" t="s">
        <v>1402</v>
      </c>
      <c r="F1397" t="s"/>
      <c r="G1397" t="s"/>
      <c r="H1397" t="s"/>
      <c r="I1397" t="s"/>
      <c r="J1397" t="n">
        <v>0</v>
      </c>
      <c r="K1397" t="n">
        <v>0</v>
      </c>
      <c r="L1397" t="n">
        <v>1</v>
      </c>
      <c r="M1397" t="n">
        <v>0</v>
      </c>
    </row>
    <row r="1398" spans="1:13">
      <c r="A1398" s="1">
        <f>HYPERLINK("http://www.twitter.com/NathanBLawrence/status/992526434014031875", "992526434014031875")</f>
        <v/>
      </c>
      <c r="B1398" s="2" t="n">
        <v>43224.92263888889</v>
      </c>
      <c r="C1398" t="n">
        <v>0</v>
      </c>
      <c r="D1398" t="n">
        <v>9</v>
      </c>
      <c r="E1398" t="s">
        <v>1403</v>
      </c>
      <c r="F1398" t="s"/>
      <c r="G1398" t="s"/>
      <c r="H1398" t="s"/>
      <c r="I1398" t="s"/>
      <c r="J1398" t="n">
        <v>0</v>
      </c>
      <c r="K1398" t="n">
        <v>0</v>
      </c>
      <c r="L1398" t="n">
        <v>1</v>
      </c>
      <c r="M1398" t="n">
        <v>0</v>
      </c>
    </row>
    <row r="1399" spans="1:13">
      <c r="A1399" s="1">
        <f>HYPERLINK("http://www.twitter.com/NathanBLawrence/status/992526415257112576", "992526415257112576")</f>
        <v/>
      </c>
      <c r="B1399" s="2" t="n">
        <v>43224.92259259259</v>
      </c>
      <c r="C1399" t="n">
        <v>0</v>
      </c>
      <c r="D1399" t="n">
        <v>9</v>
      </c>
      <c r="E1399" t="s">
        <v>1404</v>
      </c>
      <c r="F1399" t="s"/>
      <c r="G1399" t="s"/>
      <c r="H1399" t="s"/>
      <c r="I1399" t="s"/>
      <c r="J1399" t="n">
        <v>0.1027</v>
      </c>
      <c r="K1399" t="n">
        <v>0.079</v>
      </c>
      <c r="L1399" t="n">
        <v>0.828</v>
      </c>
      <c r="M1399" t="n">
        <v>0.093</v>
      </c>
    </row>
    <row r="1400" spans="1:13">
      <c r="A1400" s="1">
        <f>HYPERLINK("http://www.twitter.com/NathanBLawrence/status/992526390187692033", "992526390187692033")</f>
        <v/>
      </c>
      <c r="B1400" s="2" t="n">
        <v>43224.92252314815</v>
      </c>
      <c r="C1400" t="n">
        <v>0</v>
      </c>
      <c r="D1400" t="n">
        <v>12</v>
      </c>
      <c r="E1400" t="s">
        <v>1405</v>
      </c>
      <c r="F1400" t="s"/>
      <c r="G1400" t="s"/>
      <c r="H1400" t="s"/>
      <c r="I1400" t="s"/>
      <c r="J1400" t="n">
        <v>-0.4404</v>
      </c>
      <c r="K1400" t="n">
        <v>0.168</v>
      </c>
      <c r="L1400" t="n">
        <v>0.733</v>
      </c>
      <c r="M1400" t="n">
        <v>0.099</v>
      </c>
    </row>
    <row r="1401" spans="1:13">
      <c r="A1401" s="1">
        <f>HYPERLINK("http://www.twitter.com/NathanBLawrence/status/992526374748459010", "992526374748459010")</f>
        <v/>
      </c>
      <c r="B1401" s="2" t="n">
        <v>43224.92247685185</v>
      </c>
      <c r="C1401" t="n">
        <v>0</v>
      </c>
      <c r="D1401" t="n">
        <v>6</v>
      </c>
      <c r="E1401" t="s">
        <v>1406</v>
      </c>
      <c r="F1401" t="s"/>
      <c r="G1401" t="s"/>
      <c r="H1401" t="s"/>
      <c r="I1401" t="s"/>
      <c r="J1401" t="n">
        <v>-0.8256</v>
      </c>
      <c r="K1401" t="n">
        <v>0.354</v>
      </c>
      <c r="L1401" t="n">
        <v>0.646</v>
      </c>
      <c r="M1401" t="n">
        <v>0</v>
      </c>
    </row>
    <row r="1402" spans="1:13">
      <c r="A1402" s="1">
        <f>HYPERLINK("http://www.twitter.com/NathanBLawrence/status/992526360672391168", "992526360672391168")</f>
        <v/>
      </c>
      <c r="B1402" s="2" t="n">
        <v>43224.92244212963</v>
      </c>
      <c r="C1402" t="n">
        <v>0</v>
      </c>
      <c r="D1402" t="n">
        <v>8</v>
      </c>
      <c r="E1402" t="s">
        <v>1407</v>
      </c>
      <c r="F1402" t="s"/>
      <c r="G1402" t="s"/>
      <c r="H1402" t="s"/>
      <c r="I1402" t="s"/>
      <c r="J1402" t="n">
        <v>0.6124000000000001</v>
      </c>
      <c r="K1402" t="n">
        <v>0.09</v>
      </c>
      <c r="L1402" t="n">
        <v>0.664</v>
      </c>
      <c r="M1402" t="n">
        <v>0.246</v>
      </c>
    </row>
    <row r="1403" spans="1:13">
      <c r="A1403" s="1">
        <f>HYPERLINK("http://www.twitter.com/NathanBLawrence/status/992526347607126016", "992526347607126016")</f>
        <v/>
      </c>
      <c r="B1403" s="2" t="n">
        <v>43224.92240740741</v>
      </c>
      <c r="C1403" t="n">
        <v>0</v>
      </c>
      <c r="D1403" t="n">
        <v>13</v>
      </c>
      <c r="E1403" t="s">
        <v>1408</v>
      </c>
      <c r="F1403" t="s"/>
      <c r="G1403" t="s"/>
      <c r="H1403" t="s"/>
      <c r="I1403" t="s"/>
      <c r="J1403" t="n">
        <v>0</v>
      </c>
      <c r="K1403" t="n">
        <v>0</v>
      </c>
      <c r="L1403" t="n">
        <v>1</v>
      </c>
      <c r="M1403" t="n">
        <v>0</v>
      </c>
    </row>
    <row r="1404" spans="1:13">
      <c r="A1404" s="1">
        <f>HYPERLINK("http://www.twitter.com/NathanBLawrence/status/992510448233787392", "992510448233787392")</f>
        <v/>
      </c>
      <c r="B1404" s="2" t="n">
        <v>43224.8785300926</v>
      </c>
      <c r="C1404" t="n">
        <v>0</v>
      </c>
      <c r="D1404" t="n">
        <v>4</v>
      </c>
      <c r="E1404" t="s">
        <v>1409</v>
      </c>
      <c r="F1404" t="s"/>
      <c r="G1404" t="s"/>
      <c r="H1404" t="s"/>
      <c r="I1404" t="s"/>
      <c r="J1404" t="n">
        <v>-0.4201</v>
      </c>
      <c r="K1404" t="n">
        <v>0.141</v>
      </c>
      <c r="L1404" t="n">
        <v>0.859</v>
      </c>
      <c r="M1404" t="n">
        <v>0</v>
      </c>
    </row>
    <row r="1405" spans="1:13">
      <c r="A1405" s="1">
        <f>HYPERLINK("http://www.twitter.com/NathanBLawrence/status/992510413467209729", "992510413467209729")</f>
        <v/>
      </c>
      <c r="B1405" s="2" t="n">
        <v>43224.8784375</v>
      </c>
      <c r="C1405" t="n">
        <v>0</v>
      </c>
      <c r="D1405" t="n">
        <v>9</v>
      </c>
      <c r="E1405" t="s">
        <v>1410</v>
      </c>
      <c r="F1405" t="s"/>
      <c r="G1405" t="s"/>
      <c r="H1405" t="s"/>
      <c r="I1405" t="s"/>
      <c r="J1405" t="n">
        <v>0</v>
      </c>
      <c r="K1405" t="n">
        <v>0</v>
      </c>
      <c r="L1405" t="n">
        <v>1</v>
      </c>
      <c r="M1405" t="n">
        <v>0</v>
      </c>
    </row>
    <row r="1406" spans="1:13">
      <c r="A1406" s="1">
        <f>HYPERLINK("http://www.twitter.com/NathanBLawrence/status/992510370890829824", "992510370890829824")</f>
        <v/>
      </c>
      <c r="B1406" s="2" t="n">
        <v>43224.87832175926</v>
      </c>
      <c r="C1406" t="n">
        <v>0</v>
      </c>
      <c r="D1406" t="n">
        <v>5</v>
      </c>
      <c r="E1406" t="s">
        <v>1411</v>
      </c>
      <c r="F1406" t="s"/>
      <c r="G1406" t="s"/>
      <c r="H1406" t="s"/>
      <c r="I1406" t="s"/>
      <c r="J1406" t="n">
        <v>0.4753</v>
      </c>
      <c r="K1406" t="n">
        <v>0</v>
      </c>
      <c r="L1406" t="n">
        <v>0.886</v>
      </c>
      <c r="M1406" t="n">
        <v>0.114</v>
      </c>
    </row>
    <row r="1407" spans="1:13">
      <c r="A1407" s="1">
        <f>HYPERLINK("http://www.twitter.com/NathanBLawrence/status/992510321616138246", "992510321616138246")</f>
        <v/>
      </c>
      <c r="B1407" s="2" t="n">
        <v>43224.87818287037</v>
      </c>
      <c r="C1407" t="n">
        <v>0</v>
      </c>
      <c r="D1407" t="n">
        <v>4</v>
      </c>
      <c r="E1407" t="s">
        <v>1412</v>
      </c>
      <c r="F1407" t="s"/>
      <c r="G1407" t="s"/>
      <c r="H1407" t="s"/>
      <c r="I1407" t="s"/>
      <c r="J1407" t="n">
        <v>-0.7148</v>
      </c>
      <c r="K1407" t="n">
        <v>0.166</v>
      </c>
      <c r="L1407" t="n">
        <v>0.834</v>
      </c>
      <c r="M1407" t="n">
        <v>0</v>
      </c>
    </row>
    <row r="1408" spans="1:13">
      <c r="A1408" s="1">
        <f>HYPERLINK("http://www.twitter.com/NathanBLawrence/status/992510259343380480", "992510259343380480")</f>
        <v/>
      </c>
      <c r="B1408" s="2" t="n">
        <v>43224.87800925926</v>
      </c>
      <c r="C1408" t="n">
        <v>0</v>
      </c>
      <c r="D1408" t="n">
        <v>7</v>
      </c>
      <c r="E1408" t="s">
        <v>1413</v>
      </c>
      <c r="F1408" t="s"/>
      <c r="G1408" t="s"/>
      <c r="H1408" t="s"/>
      <c r="I1408" t="s"/>
      <c r="J1408" t="n">
        <v>-0.4003</v>
      </c>
      <c r="K1408" t="n">
        <v>0.183</v>
      </c>
      <c r="L1408" t="n">
        <v>0.8169999999999999</v>
      </c>
      <c r="M1408" t="n">
        <v>0</v>
      </c>
    </row>
    <row r="1409" spans="1:13">
      <c r="A1409" s="1">
        <f>HYPERLINK("http://www.twitter.com/NathanBLawrence/status/992510213285646337", "992510213285646337")</f>
        <v/>
      </c>
      <c r="B1409" s="2" t="n">
        <v>43224.87788194444</v>
      </c>
      <c r="C1409" t="n">
        <v>0</v>
      </c>
      <c r="D1409" t="n">
        <v>3</v>
      </c>
      <c r="E1409" t="s">
        <v>1414</v>
      </c>
      <c r="F1409" t="s"/>
      <c r="G1409" t="s"/>
      <c r="H1409" t="s"/>
      <c r="I1409" t="s"/>
      <c r="J1409" t="n">
        <v>0</v>
      </c>
      <c r="K1409" t="n">
        <v>0</v>
      </c>
      <c r="L1409" t="n">
        <v>1</v>
      </c>
      <c r="M1409" t="n">
        <v>0</v>
      </c>
    </row>
    <row r="1410" spans="1:13">
      <c r="A1410" s="1">
        <f>HYPERLINK("http://www.twitter.com/NathanBLawrence/status/992510150790537216", "992510150790537216")</f>
        <v/>
      </c>
      <c r="B1410" s="2" t="n">
        <v>43224.87770833333</v>
      </c>
      <c r="C1410" t="n">
        <v>0</v>
      </c>
      <c r="D1410" t="n">
        <v>9</v>
      </c>
      <c r="E1410" t="s">
        <v>1415</v>
      </c>
      <c r="F1410" t="s"/>
      <c r="G1410" t="s"/>
      <c r="H1410" t="s"/>
      <c r="I1410" t="s"/>
      <c r="J1410" t="n">
        <v>-0.1027</v>
      </c>
      <c r="K1410" t="n">
        <v>0.065</v>
      </c>
      <c r="L1410" t="n">
        <v>0.9350000000000001</v>
      </c>
      <c r="M1410" t="n">
        <v>0</v>
      </c>
    </row>
    <row r="1411" spans="1:13">
      <c r="A1411" s="1">
        <f>HYPERLINK("http://www.twitter.com/NathanBLawrence/status/992510135678496770", "992510135678496770")</f>
        <v/>
      </c>
      <c r="B1411" s="2" t="n">
        <v>43224.87766203703</v>
      </c>
      <c r="C1411" t="n">
        <v>2</v>
      </c>
      <c r="D1411" t="n">
        <v>0</v>
      </c>
      <c r="E1411" t="s">
        <v>1416</v>
      </c>
      <c r="F1411" t="s"/>
      <c r="G1411" t="s"/>
      <c r="H1411" t="s"/>
      <c r="I1411" t="s"/>
      <c r="J1411" t="n">
        <v>-0.4404</v>
      </c>
      <c r="K1411" t="n">
        <v>0.293</v>
      </c>
      <c r="L1411" t="n">
        <v>0.707</v>
      </c>
      <c r="M1411" t="n">
        <v>0</v>
      </c>
    </row>
    <row r="1412" spans="1:13">
      <c r="A1412" s="1">
        <f>HYPERLINK("http://www.twitter.com/NathanBLawrence/status/992510014593163266", "992510014593163266")</f>
        <v/>
      </c>
      <c r="B1412" s="2" t="n">
        <v>43224.87733796296</v>
      </c>
      <c r="C1412" t="n">
        <v>0</v>
      </c>
      <c r="D1412" t="n">
        <v>3</v>
      </c>
      <c r="E1412" t="s">
        <v>1417</v>
      </c>
      <c r="F1412" t="s"/>
      <c r="G1412" t="s"/>
      <c r="H1412" t="s"/>
      <c r="I1412" t="s"/>
      <c r="J1412" t="n">
        <v>0</v>
      </c>
      <c r="K1412" t="n">
        <v>0</v>
      </c>
      <c r="L1412" t="n">
        <v>1</v>
      </c>
      <c r="M1412" t="n">
        <v>0</v>
      </c>
    </row>
    <row r="1413" spans="1:13">
      <c r="A1413" s="1">
        <f>HYPERLINK("http://www.twitter.com/NathanBLawrence/status/992509954375540736", "992509954375540736")</f>
        <v/>
      </c>
      <c r="B1413" s="2" t="n">
        <v>43224.87716435185</v>
      </c>
      <c r="C1413" t="n">
        <v>0</v>
      </c>
      <c r="D1413" t="n">
        <v>6</v>
      </c>
      <c r="E1413" t="s">
        <v>1418</v>
      </c>
      <c r="F1413" t="s"/>
      <c r="G1413" t="s"/>
      <c r="H1413" t="s"/>
      <c r="I1413" t="s"/>
      <c r="J1413" t="n">
        <v>0.5319</v>
      </c>
      <c r="K1413" t="n">
        <v>0.058</v>
      </c>
      <c r="L1413" t="n">
        <v>0.743</v>
      </c>
      <c r="M1413" t="n">
        <v>0.199</v>
      </c>
    </row>
    <row r="1414" spans="1:13">
      <c r="A1414" s="1">
        <f>HYPERLINK("http://www.twitter.com/NathanBLawrence/status/992509854043566087", "992509854043566087")</f>
        <v/>
      </c>
      <c r="B1414" s="2" t="n">
        <v>43224.87688657407</v>
      </c>
      <c r="C1414" t="n">
        <v>3</v>
      </c>
      <c r="D1414" t="n">
        <v>1</v>
      </c>
      <c r="E1414" t="s">
        <v>1419</v>
      </c>
      <c r="F1414" t="s"/>
      <c r="G1414" t="s"/>
      <c r="H1414" t="s"/>
      <c r="I1414" t="s"/>
      <c r="J1414" t="n">
        <v>0</v>
      </c>
      <c r="K1414" t="n">
        <v>0</v>
      </c>
      <c r="L1414" t="n">
        <v>1</v>
      </c>
      <c r="M1414" t="n">
        <v>0</v>
      </c>
    </row>
    <row r="1415" spans="1:13">
      <c r="A1415" s="1">
        <f>HYPERLINK("http://www.twitter.com/NathanBLawrence/status/992509759835312129", "992509759835312129")</f>
        <v/>
      </c>
      <c r="B1415" s="2" t="n">
        <v>43224.87663194445</v>
      </c>
      <c r="C1415" t="n">
        <v>0</v>
      </c>
      <c r="D1415" t="n">
        <v>5</v>
      </c>
      <c r="E1415" t="s">
        <v>1420</v>
      </c>
      <c r="F1415" t="s"/>
      <c r="G1415" t="s"/>
      <c r="H1415" t="s"/>
      <c r="I1415" t="s"/>
      <c r="J1415" t="n">
        <v>0.2263</v>
      </c>
      <c r="K1415" t="n">
        <v>0.11</v>
      </c>
      <c r="L1415" t="n">
        <v>0.709</v>
      </c>
      <c r="M1415" t="n">
        <v>0.181</v>
      </c>
    </row>
    <row r="1416" spans="1:13">
      <c r="A1416" s="1">
        <f>HYPERLINK("http://www.twitter.com/NathanBLawrence/status/992509725454585862", "992509725454585862")</f>
        <v/>
      </c>
      <c r="B1416" s="2" t="n">
        <v>43224.87653935186</v>
      </c>
      <c r="C1416" t="n">
        <v>0</v>
      </c>
      <c r="D1416" t="n">
        <v>5</v>
      </c>
      <c r="E1416" t="s">
        <v>1421</v>
      </c>
      <c r="F1416" t="s"/>
      <c r="G1416" t="s"/>
      <c r="H1416" t="s"/>
      <c r="I1416" t="s"/>
      <c r="J1416" t="n">
        <v>-0.2023</v>
      </c>
      <c r="K1416" t="n">
        <v>0.073</v>
      </c>
      <c r="L1416" t="n">
        <v>0.927</v>
      </c>
      <c r="M1416" t="n">
        <v>0</v>
      </c>
    </row>
    <row r="1417" spans="1:13">
      <c r="A1417" s="1">
        <f>HYPERLINK("http://www.twitter.com/NathanBLawrence/status/992272764416417793", "992272764416417793")</f>
        <v/>
      </c>
      <c r="B1417" s="2" t="n">
        <v>43224.22265046297</v>
      </c>
      <c r="C1417" t="n">
        <v>0</v>
      </c>
      <c r="D1417" t="n">
        <v>26323</v>
      </c>
      <c r="E1417" t="s">
        <v>1422</v>
      </c>
      <c r="F1417" t="s"/>
      <c r="G1417" t="s"/>
      <c r="H1417" t="s"/>
      <c r="I1417" t="s"/>
      <c r="J1417" t="n">
        <v>-0.5719</v>
      </c>
      <c r="K1417" t="n">
        <v>0.198</v>
      </c>
      <c r="L1417" t="n">
        <v>0.802</v>
      </c>
      <c r="M1417" t="n">
        <v>0</v>
      </c>
    </row>
    <row r="1418" spans="1:13">
      <c r="A1418" s="1">
        <f>HYPERLINK("http://www.twitter.com/NathanBLawrence/status/992272682459713536", "992272682459713536")</f>
        <v/>
      </c>
      <c r="B1418" s="2" t="n">
        <v>43224.22241898148</v>
      </c>
      <c r="C1418" t="n">
        <v>0</v>
      </c>
      <c r="D1418" t="n">
        <v>8</v>
      </c>
      <c r="E1418" t="s">
        <v>1423</v>
      </c>
      <c r="F1418" t="s"/>
      <c r="G1418" t="s"/>
      <c r="H1418" t="s"/>
      <c r="I1418" t="s"/>
      <c r="J1418" t="n">
        <v>-0.481</v>
      </c>
      <c r="K1418" t="n">
        <v>0.115</v>
      </c>
      <c r="L1418" t="n">
        <v>0.885</v>
      </c>
      <c r="M1418" t="n">
        <v>0</v>
      </c>
    </row>
    <row r="1419" spans="1:13">
      <c r="A1419" s="1">
        <f>HYPERLINK("http://www.twitter.com/NathanBLawrence/status/992272088399396864", "992272088399396864")</f>
        <v/>
      </c>
      <c r="B1419" s="2" t="n">
        <v>43224.22078703704</v>
      </c>
      <c r="C1419" t="n">
        <v>0</v>
      </c>
      <c r="D1419" t="n">
        <v>11</v>
      </c>
      <c r="E1419" t="s">
        <v>1424</v>
      </c>
      <c r="F1419" t="s"/>
      <c r="G1419" t="s"/>
      <c r="H1419" t="s"/>
      <c r="I1419" t="s"/>
      <c r="J1419" t="n">
        <v>0.1154</v>
      </c>
      <c r="K1419" t="n">
        <v>0</v>
      </c>
      <c r="L1419" t="n">
        <v>0.9379999999999999</v>
      </c>
      <c r="M1419" t="n">
        <v>0.062</v>
      </c>
    </row>
    <row r="1420" spans="1:13">
      <c r="A1420" s="1">
        <f>HYPERLINK("http://www.twitter.com/NathanBLawrence/status/992272057911013376", "992272057911013376")</f>
        <v/>
      </c>
      <c r="B1420" s="2" t="n">
        <v>43224.22069444445</v>
      </c>
      <c r="C1420" t="n">
        <v>0</v>
      </c>
      <c r="D1420" t="n">
        <v>27</v>
      </c>
      <c r="E1420" t="s">
        <v>1425</v>
      </c>
      <c r="F1420">
        <f>HYPERLINK("http://pbs.twimg.com/media/DcSodzBW0AAY02y.jpg", "http://pbs.twimg.com/media/DcSodzBW0AAY02y.jpg")</f>
        <v/>
      </c>
      <c r="G1420" t="s"/>
      <c r="H1420" t="s"/>
      <c r="I1420" t="s"/>
      <c r="J1420" t="n">
        <v>-0.6808</v>
      </c>
      <c r="K1420" t="n">
        <v>0.219</v>
      </c>
      <c r="L1420" t="n">
        <v>0.781</v>
      </c>
      <c r="M1420" t="n">
        <v>0</v>
      </c>
    </row>
    <row r="1421" spans="1:13">
      <c r="A1421" s="1">
        <f>HYPERLINK("http://www.twitter.com/NathanBLawrence/status/992271959936319498", "992271959936319498")</f>
        <v/>
      </c>
      <c r="B1421" s="2" t="n">
        <v>43224.22042824074</v>
      </c>
      <c r="C1421" t="n">
        <v>0</v>
      </c>
      <c r="D1421" t="n">
        <v>12</v>
      </c>
      <c r="E1421" t="s">
        <v>1426</v>
      </c>
      <c r="F1421" t="s"/>
      <c r="G1421" t="s"/>
      <c r="H1421" t="s"/>
      <c r="I1421" t="s"/>
      <c r="J1421" t="n">
        <v>0</v>
      </c>
      <c r="K1421" t="n">
        <v>0</v>
      </c>
      <c r="L1421" t="n">
        <v>1</v>
      </c>
      <c r="M1421" t="n">
        <v>0</v>
      </c>
    </row>
    <row r="1422" spans="1:13">
      <c r="A1422" s="1">
        <f>HYPERLINK("http://www.twitter.com/NathanBLawrence/status/992235757820612608", "992235757820612608")</f>
        <v/>
      </c>
      <c r="B1422" s="2" t="n">
        <v>43224.12053240741</v>
      </c>
      <c r="C1422" t="n">
        <v>0</v>
      </c>
      <c r="D1422" t="n">
        <v>0</v>
      </c>
      <c r="E1422" t="s">
        <v>1427</v>
      </c>
      <c r="F1422" t="s"/>
      <c r="G1422" t="s"/>
      <c r="H1422" t="s"/>
      <c r="I1422" t="s"/>
      <c r="J1422" t="n">
        <v>0</v>
      </c>
      <c r="K1422" t="n">
        <v>0</v>
      </c>
      <c r="L1422" t="n">
        <v>1</v>
      </c>
      <c r="M1422" t="n">
        <v>0</v>
      </c>
    </row>
    <row r="1423" spans="1:13">
      <c r="A1423" s="1">
        <f>HYPERLINK("http://www.twitter.com/NathanBLawrence/status/992199132822556672", "992199132822556672")</f>
        <v/>
      </c>
      <c r="B1423" s="2" t="n">
        <v>43224.0194675926</v>
      </c>
      <c r="C1423" t="n">
        <v>2</v>
      </c>
      <c r="D1423" t="n">
        <v>0</v>
      </c>
      <c r="E1423" t="s">
        <v>1428</v>
      </c>
      <c r="F1423" t="s"/>
      <c r="G1423" t="s"/>
      <c r="H1423" t="s"/>
      <c r="I1423" t="s"/>
      <c r="J1423" t="n">
        <v>0</v>
      </c>
      <c r="K1423" t="n">
        <v>0</v>
      </c>
      <c r="L1423" t="n">
        <v>1</v>
      </c>
      <c r="M1423" t="n">
        <v>0</v>
      </c>
    </row>
    <row r="1424" spans="1:13">
      <c r="A1424" s="1">
        <f>HYPERLINK("http://www.twitter.com/NathanBLawrence/status/992199011372294146", "992199011372294146")</f>
        <v/>
      </c>
      <c r="B1424" s="2" t="n">
        <v>43224.01913194444</v>
      </c>
      <c r="C1424" t="n">
        <v>0</v>
      </c>
      <c r="D1424" t="n">
        <v>48</v>
      </c>
      <c r="E1424" t="s">
        <v>1429</v>
      </c>
      <c r="F1424">
        <f>HYPERLINK("http://pbs.twimg.com/media/DcT1233XUAEvbnQ.jpg", "http://pbs.twimg.com/media/DcT1233XUAEvbnQ.jpg")</f>
        <v/>
      </c>
      <c r="G1424" t="s"/>
      <c r="H1424" t="s"/>
      <c r="I1424" t="s"/>
      <c r="J1424" t="n">
        <v>0.7783</v>
      </c>
      <c r="K1424" t="n">
        <v>0</v>
      </c>
      <c r="L1424" t="n">
        <v>0.673</v>
      </c>
      <c r="M1424" t="n">
        <v>0.327</v>
      </c>
    </row>
    <row r="1425" spans="1:13">
      <c r="A1425" s="1">
        <f>HYPERLINK("http://www.twitter.com/NathanBLawrence/status/992198992913207297", "992198992913207297")</f>
        <v/>
      </c>
      <c r="B1425" s="2" t="n">
        <v>43224.01907407407</v>
      </c>
      <c r="C1425" t="n">
        <v>0</v>
      </c>
      <c r="D1425" t="n">
        <v>42</v>
      </c>
      <c r="E1425" t="s">
        <v>1430</v>
      </c>
      <c r="F1425" t="s"/>
      <c r="G1425" t="s"/>
      <c r="H1425" t="s"/>
      <c r="I1425" t="s"/>
      <c r="J1425" t="n">
        <v>0.7579</v>
      </c>
      <c r="K1425" t="n">
        <v>0</v>
      </c>
      <c r="L1425" t="n">
        <v>0.698</v>
      </c>
      <c r="M1425" t="n">
        <v>0.302</v>
      </c>
    </row>
    <row r="1426" spans="1:13">
      <c r="A1426" s="1">
        <f>HYPERLINK("http://www.twitter.com/NathanBLawrence/status/992198858322083840", "992198858322083840")</f>
        <v/>
      </c>
      <c r="B1426" s="2" t="n">
        <v>43224.0187037037</v>
      </c>
      <c r="C1426" t="n">
        <v>0</v>
      </c>
      <c r="D1426" t="n">
        <v>11</v>
      </c>
      <c r="E1426" t="s">
        <v>1431</v>
      </c>
      <c r="F1426">
        <f>HYPERLINK("http://pbs.twimg.com/media/DcTIzzNW0AAlw3z.jpg", "http://pbs.twimg.com/media/DcTIzzNW0AAlw3z.jpg")</f>
        <v/>
      </c>
      <c r="G1426" t="s"/>
      <c r="H1426" t="s"/>
      <c r="I1426" t="s"/>
      <c r="J1426" t="n">
        <v>-0.3034</v>
      </c>
      <c r="K1426" t="n">
        <v>0.238</v>
      </c>
      <c r="L1426" t="n">
        <v>0.5580000000000001</v>
      </c>
      <c r="M1426" t="n">
        <v>0.204</v>
      </c>
    </row>
    <row r="1427" spans="1:13">
      <c r="A1427" s="1">
        <f>HYPERLINK("http://www.twitter.com/NathanBLawrence/status/992198777053249536", "992198777053249536")</f>
        <v/>
      </c>
      <c r="B1427" s="2" t="n">
        <v>43224.0184837963</v>
      </c>
      <c r="C1427" t="n">
        <v>0</v>
      </c>
      <c r="D1427" t="n">
        <v>5</v>
      </c>
      <c r="E1427" t="s">
        <v>1432</v>
      </c>
      <c r="F1427" t="s"/>
      <c r="G1427" t="s"/>
      <c r="H1427" t="s"/>
      <c r="I1427" t="s"/>
      <c r="J1427" t="n">
        <v>-0.2942</v>
      </c>
      <c r="K1427" t="n">
        <v>0.095</v>
      </c>
      <c r="L1427" t="n">
        <v>0.905</v>
      </c>
      <c r="M1427" t="n">
        <v>0</v>
      </c>
    </row>
    <row r="1428" spans="1:13">
      <c r="A1428" s="1">
        <f>HYPERLINK("http://www.twitter.com/NathanBLawrence/status/992198704185708544", "992198704185708544")</f>
        <v/>
      </c>
      <c r="B1428" s="2" t="n">
        <v>43224.01827546296</v>
      </c>
      <c r="C1428" t="n">
        <v>0</v>
      </c>
      <c r="D1428" t="n">
        <v>26</v>
      </c>
      <c r="E1428" t="s">
        <v>1400</v>
      </c>
      <c r="F1428">
        <f>HYPERLINK("http://pbs.twimg.com/media/DcT7gLkW0AAKtQB.jpg", "http://pbs.twimg.com/media/DcT7gLkW0AAKtQB.jpg")</f>
        <v/>
      </c>
      <c r="G1428" t="s"/>
      <c r="H1428" t="s"/>
      <c r="I1428" t="s"/>
      <c r="J1428" t="n">
        <v>0.2023</v>
      </c>
      <c r="K1428" t="n">
        <v>0</v>
      </c>
      <c r="L1428" t="n">
        <v>0.917</v>
      </c>
      <c r="M1428" t="n">
        <v>0.083</v>
      </c>
    </row>
    <row r="1429" spans="1:13">
      <c r="A1429" s="1">
        <f>HYPERLINK("http://www.twitter.com/NathanBLawrence/status/992132851687739392", "992132851687739392")</f>
        <v/>
      </c>
      <c r="B1429" s="2" t="n">
        <v>43223.8365625</v>
      </c>
      <c r="C1429" t="n">
        <v>0</v>
      </c>
      <c r="D1429" t="n">
        <v>14</v>
      </c>
      <c r="E1429" t="s">
        <v>1433</v>
      </c>
      <c r="F1429">
        <f>HYPERLINK("http://pbs.twimg.com/media/DcMjTqrUQAAkxoj.jpg", "http://pbs.twimg.com/media/DcMjTqrUQAAkxoj.jpg")</f>
        <v/>
      </c>
      <c r="G1429" t="s"/>
      <c r="H1429" t="s"/>
      <c r="I1429" t="s"/>
      <c r="J1429" t="n">
        <v>-0.1027</v>
      </c>
      <c r="K1429" t="n">
        <v>0.116</v>
      </c>
      <c r="L1429" t="n">
        <v>0.784</v>
      </c>
      <c r="M1429" t="n">
        <v>0.101</v>
      </c>
    </row>
    <row r="1430" spans="1:13">
      <c r="A1430" s="1">
        <f>HYPERLINK("http://www.twitter.com/NathanBLawrence/status/992132636809269248", "992132636809269248")</f>
        <v/>
      </c>
      <c r="B1430" s="2" t="n">
        <v>43223.83597222222</v>
      </c>
      <c r="C1430" t="n">
        <v>0</v>
      </c>
      <c r="D1430" t="n">
        <v>3</v>
      </c>
      <c r="E1430" t="s">
        <v>1434</v>
      </c>
      <c r="F1430" t="s"/>
      <c r="G1430" t="s"/>
      <c r="H1430" t="s"/>
      <c r="I1430" t="s"/>
      <c r="J1430" t="n">
        <v>0</v>
      </c>
      <c r="K1430" t="n">
        <v>0</v>
      </c>
      <c r="L1430" t="n">
        <v>1</v>
      </c>
      <c r="M1430" t="n">
        <v>0</v>
      </c>
    </row>
    <row r="1431" spans="1:13">
      <c r="A1431" s="1">
        <f>HYPERLINK("http://www.twitter.com/NathanBLawrence/status/992132609978363905", "992132609978363905")</f>
        <v/>
      </c>
      <c r="B1431" s="2" t="n">
        <v>43223.8358912037</v>
      </c>
      <c r="C1431" t="n">
        <v>0</v>
      </c>
      <c r="D1431" t="n">
        <v>5</v>
      </c>
      <c r="E1431" t="s">
        <v>1435</v>
      </c>
      <c r="F1431" t="s"/>
      <c r="G1431" t="s"/>
      <c r="H1431" t="s"/>
      <c r="I1431" t="s"/>
      <c r="J1431" t="n">
        <v>0</v>
      </c>
      <c r="K1431" t="n">
        <v>0</v>
      </c>
      <c r="L1431" t="n">
        <v>1</v>
      </c>
      <c r="M1431" t="n">
        <v>0</v>
      </c>
    </row>
    <row r="1432" spans="1:13">
      <c r="A1432" s="1">
        <f>HYPERLINK("http://www.twitter.com/NathanBLawrence/status/992130648197484545", "992130648197484545")</f>
        <v/>
      </c>
      <c r="B1432" s="2" t="n">
        <v>43223.83048611111</v>
      </c>
      <c r="C1432" t="n">
        <v>0</v>
      </c>
      <c r="D1432" t="n">
        <v>10</v>
      </c>
      <c r="E1432" t="s">
        <v>1436</v>
      </c>
      <c r="F1432">
        <f>HYPERLINK("http://pbs.twimg.com/media/DcS1hh5VQAAPLoc.jpg", "http://pbs.twimg.com/media/DcS1hh5VQAAPLoc.jpg")</f>
        <v/>
      </c>
      <c r="G1432" t="s"/>
      <c r="H1432" t="s"/>
      <c r="I1432" t="s"/>
      <c r="J1432" t="n">
        <v>0</v>
      </c>
      <c r="K1432" t="n">
        <v>0</v>
      </c>
      <c r="L1432" t="n">
        <v>1</v>
      </c>
      <c r="M1432" t="n">
        <v>0</v>
      </c>
    </row>
    <row r="1433" spans="1:13">
      <c r="A1433" s="1">
        <f>HYPERLINK("http://www.twitter.com/NathanBLawrence/status/992077354427125760", "992077354427125760")</f>
        <v/>
      </c>
      <c r="B1433" s="2" t="n">
        <v>43223.68341435185</v>
      </c>
      <c r="C1433" t="n">
        <v>0</v>
      </c>
      <c r="D1433" t="n">
        <v>8</v>
      </c>
      <c r="E1433" t="s">
        <v>1437</v>
      </c>
      <c r="F1433" t="s"/>
      <c r="G1433" t="s"/>
      <c r="H1433" t="s"/>
      <c r="I1433" t="s"/>
      <c r="J1433" t="n">
        <v>0.9199000000000001</v>
      </c>
      <c r="K1433" t="n">
        <v>0.081</v>
      </c>
      <c r="L1433" t="n">
        <v>0.448</v>
      </c>
      <c r="M1433" t="n">
        <v>0.471</v>
      </c>
    </row>
    <row r="1434" spans="1:13">
      <c r="A1434" s="1">
        <f>HYPERLINK("http://www.twitter.com/NathanBLawrence/status/992077324119085057", "992077324119085057")</f>
        <v/>
      </c>
      <c r="B1434" s="2" t="n">
        <v>43223.68333333333</v>
      </c>
      <c r="C1434" t="n">
        <v>0</v>
      </c>
      <c r="D1434" t="n">
        <v>1</v>
      </c>
      <c r="E1434" t="s">
        <v>1438</v>
      </c>
      <c r="F1434" t="s"/>
      <c r="G1434" t="s"/>
      <c r="H1434" t="s"/>
      <c r="I1434" t="s"/>
      <c r="J1434" t="n">
        <v>0.1655</v>
      </c>
      <c r="K1434" t="n">
        <v>0</v>
      </c>
      <c r="L1434" t="n">
        <v>0.93</v>
      </c>
      <c r="M1434" t="n">
        <v>0.07000000000000001</v>
      </c>
    </row>
    <row r="1435" spans="1:13">
      <c r="A1435" s="1">
        <f>HYPERLINK("http://www.twitter.com/NathanBLawrence/status/992077282461265926", "992077282461265926")</f>
        <v/>
      </c>
      <c r="B1435" s="2" t="n">
        <v>43223.6832175926</v>
      </c>
      <c r="C1435" t="n">
        <v>0</v>
      </c>
      <c r="D1435" t="n">
        <v>13</v>
      </c>
      <c r="E1435" t="s">
        <v>1439</v>
      </c>
      <c r="F1435" t="s"/>
      <c r="G1435" t="s"/>
      <c r="H1435" t="s"/>
      <c r="I1435" t="s"/>
      <c r="J1435" t="n">
        <v>0.7579</v>
      </c>
      <c r="K1435" t="n">
        <v>0.055</v>
      </c>
      <c r="L1435" t="n">
        <v>0.6909999999999999</v>
      </c>
      <c r="M1435" t="n">
        <v>0.255</v>
      </c>
    </row>
    <row r="1436" spans="1:13">
      <c r="A1436" s="1">
        <f>HYPERLINK("http://www.twitter.com/NathanBLawrence/status/992076635548667908", "992076635548667908")</f>
        <v/>
      </c>
      <c r="B1436" s="2" t="n">
        <v>43223.68143518519</v>
      </c>
      <c r="C1436" t="n">
        <v>0</v>
      </c>
      <c r="D1436" t="n">
        <v>10</v>
      </c>
      <c r="E1436" t="s">
        <v>1440</v>
      </c>
      <c r="F1436" t="s"/>
      <c r="G1436" t="s"/>
      <c r="H1436" t="s"/>
      <c r="I1436" t="s"/>
      <c r="J1436" t="n">
        <v>0.8074</v>
      </c>
      <c r="K1436" t="n">
        <v>0</v>
      </c>
      <c r="L1436" t="n">
        <v>0.742</v>
      </c>
      <c r="M1436" t="n">
        <v>0.258</v>
      </c>
    </row>
    <row r="1437" spans="1:13">
      <c r="A1437" s="1">
        <f>HYPERLINK("http://www.twitter.com/NathanBLawrence/status/992076471710699521", "992076471710699521")</f>
        <v/>
      </c>
      <c r="B1437" s="2" t="n">
        <v>43223.68098379629</v>
      </c>
      <c r="C1437" t="n">
        <v>0</v>
      </c>
      <c r="D1437" t="n">
        <v>8</v>
      </c>
      <c r="E1437" t="s">
        <v>1441</v>
      </c>
      <c r="F1437">
        <f>HYPERLINK("http://pbs.twimg.com/media/DcSBzJBUwAANLwC.jpg", "http://pbs.twimg.com/media/DcSBzJBUwAANLwC.jpg")</f>
        <v/>
      </c>
      <c r="G1437" t="s"/>
      <c r="H1437" t="s"/>
      <c r="I1437" t="s"/>
      <c r="J1437" t="n">
        <v>-0.7783</v>
      </c>
      <c r="K1437" t="n">
        <v>0.254</v>
      </c>
      <c r="L1437" t="n">
        <v>0.746</v>
      </c>
      <c r="M1437" t="n">
        <v>0</v>
      </c>
    </row>
    <row r="1438" spans="1:13">
      <c r="A1438" s="1">
        <f>HYPERLINK("http://www.twitter.com/NathanBLawrence/status/992076441151049728", "992076441151049728")</f>
        <v/>
      </c>
      <c r="B1438" s="2" t="n">
        <v>43223.68090277778</v>
      </c>
      <c r="C1438" t="n">
        <v>0</v>
      </c>
      <c r="D1438" t="n">
        <v>16</v>
      </c>
      <c r="E1438" t="s">
        <v>1442</v>
      </c>
      <c r="F1438">
        <f>HYPERLINK("http://pbs.twimg.com/media/DcSNIx0WAAAVRHm.jpg", "http://pbs.twimg.com/media/DcSNIx0WAAAVRHm.jpg")</f>
        <v/>
      </c>
      <c r="G1438" t="s"/>
      <c r="H1438" t="s"/>
      <c r="I1438" t="s"/>
      <c r="J1438" t="n">
        <v>-0.631</v>
      </c>
      <c r="K1438" t="n">
        <v>0.159</v>
      </c>
      <c r="L1438" t="n">
        <v>0.841</v>
      </c>
      <c r="M1438" t="n">
        <v>0</v>
      </c>
    </row>
    <row r="1439" spans="1:13">
      <c r="A1439" s="1">
        <f>HYPERLINK("http://www.twitter.com/NathanBLawrence/status/992076429201375232", "992076429201375232")</f>
        <v/>
      </c>
      <c r="B1439" s="2" t="n">
        <v>43223.68086805556</v>
      </c>
      <c r="C1439" t="n">
        <v>0</v>
      </c>
      <c r="D1439" t="n">
        <v>15</v>
      </c>
      <c r="E1439" t="s">
        <v>1443</v>
      </c>
      <c r="F1439" t="s"/>
      <c r="G1439" t="s"/>
      <c r="H1439" t="s"/>
      <c r="I1439" t="s"/>
      <c r="J1439" t="n">
        <v>0</v>
      </c>
      <c r="K1439" t="n">
        <v>0</v>
      </c>
      <c r="L1439" t="n">
        <v>1</v>
      </c>
      <c r="M1439" t="n">
        <v>0</v>
      </c>
    </row>
    <row r="1440" spans="1:13">
      <c r="A1440" s="1">
        <f>HYPERLINK("http://www.twitter.com/NathanBLawrence/status/992076381340258310", "992076381340258310")</f>
        <v/>
      </c>
      <c r="B1440" s="2" t="n">
        <v>43223.68072916667</v>
      </c>
      <c r="C1440" t="n">
        <v>0</v>
      </c>
      <c r="D1440" t="n">
        <v>4</v>
      </c>
      <c r="E1440" t="s">
        <v>1444</v>
      </c>
      <c r="F1440" t="s"/>
      <c r="G1440" t="s"/>
      <c r="H1440" t="s"/>
      <c r="I1440" t="s"/>
      <c r="J1440" t="n">
        <v>-0.296</v>
      </c>
      <c r="K1440" t="n">
        <v>0.099</v>
      </c>
      <c r="L1440" t="n">
        <v>0.901</v>
      </c>
      <c r="M1440" t="n">
        <v>0</v>
      </c>
    </row>
    <row r="1441" spans="1:13">
      <c r="A1441" s="1">
        <f>HYPERLINK("http://www.twitter.com/NathanBLawrence/status/992044409700143106", "992044409700143106")</f>
        <v/>
      </c>
      <c r="B1441" s="2" t="n">
        <v>43223.59251157408</v>
      </c>
      <c r="C1441" t="n">
        <v>0</v>
      </c>
      <c r="D1441" t="n">
        <v>9</v>
      </c>
      <c r="E1441" t="s">
        <v>1445</v>
      </c>
      <c r="F1441" t="s"/>
      <c r="G1441" t="s"/>
      <c r="H1441" t="s"/>
      <c r="I1441" t="s"/>
      <c r="J1441" t="n">
        <v>-0.5423</v>
      </c>
      <c r="K1441" t="n">
        <v>0.137</v>
      </c>
      <c r="L1441" t="n">
        <v>0.863</v>
      </c>
      <c r="M1441" t="n">
        <v>0</v>
      </c>
    </row>
    <row r="1442" spans="1:13">
      <c r="A1442" s="1">
        <f>HYPERLINK("http://www.twitter.com/NathanBLawrence/status/992044393388494848", "992044393388494848")</f>
        <v/>
      </c>
      <c r="B1442" s="2" t="n">
        <v>43223.59246527778</v>
      </c>
      <c r="C1442" t="n">
        <v>0</v>
      </c>
      <c r="D1442" t="n">
        <v>14</v>
      </c>
      <c r="E1442" t="s">
        <v>1446</v>
      </c>
      <c r="F1442" t="s"/>
      <c r="G1442" t="s"/>
      <c r="H1442" t="s"/>
      <c r="I1442" t="s"/>
      <c r="J1442" t="n">
        <v>-0.3818</v>
      </c>
      <c r="K1442" t="n">
        <v>0.115</v>
      </c>
      <c r="L1442" t="n">
        <v>0.885</v>
      </c>
      <c r="M1442" t="n">
        <v>0</v>
      </c>
    </row>
    <row r="1443" spans="1:13">
      <c r="A1443" s="1">
        <f>HYPERLINK("http://www.twitter.com/NathanBLawrence/status/992044109962645504", "992044109962645504")</f>
        <v/>
      </c>
      <c r="B1443" s="2" t="n">
        <v>43223.59167824074</v>
      </c>
      <c r="C1443" t="n">
        <v>7</v>
      </c>
      <c r="D1443" t="n">
        <v>5</v>
      </c>
      <c r="E1443" t="s">
        <v>1447</v>
      </c>
      <c r="F1443" t="s"/>
      <c r="G1443" t="s"/>
      <c r="H1443" t="s"/>
      <c r="I1443" t="s"/>
      <c r="J1443" t="n">
        <v>0.5775</v>
      </c>
      <c r="K1443" t="n">
        <v>0</v>
      </c>
      <c r="L1443" t="n">
        <v>0.918</v>
      </c>
      <c r="M1443" t="n">
        <v>0.082</v>
      </c>
    </row>
    <row r="1444" spans="1:13">
      <c r="A1444" s="1">
        <f>HYPERLINK("http://www.twitter.com/NathanBLawrence/status/991915291130068992", "991915291130068992")</f>
        <v/>
      </c>
      <c r="B1444" s="2" t="n">
        <v>43223.2362037037</v>
      </c>
      <c r="C1444" t="n">
        <v>0</v>
      </c>
      <c r="D1444" t="n">
        <v>5</v>
      </c>
      <c r="E1444" t="s">
        <v>1448</v>
      </c>
      <c r="F1444" t="s"/>
      <c r="G1444" t="s"/>
      <c r="H1444" t="s"/>
      <c r="I1444" t="s"/>
      <c r="J1444" t="n">
        <v>0</v>
      </c>
      <c r="K1444" t="n">
        <v>0</v>
      </c>
      <c r="L1444" t="n">
        <v>1</v>
      </c>
      <c r="M1444" t="n">
        <v>0</v>
      </c>
    </row>
    <row r="1445" spans="1:13">
      <c r="A1445" s="1">
        <f>HYPERLINK("http://www.twitter.com/NathanBLawrence/status/991915197265862657", "991915197265862657")</f>
        <v/>
      </c>
      <c r="B1445" s="2" t="n">
        <v>43223.23594907407</v>
      </c>
      <c r="C1445" t="n">
        <v>0</v>
      </c>
      <c r="D1445" t="n">
        <v>14</v>
      </c>
      <c r="E1445" t="s">
        <v>1449</v>
      </c>
      <c r="F1445">
        <f>HYPERLINK("http://pbs.twimg.com/media/DcPQIXRXcAAZS5-.jpg", "http://pbs.twimg.com/media/DcPQIXRXcAAZS5-.jpg")</f>
        <v/>
      </c>
      <c r="G1445" t="s"/>
      <c r="H1445" t="s"/>
      <c r="I1445" t="s"/>
      <c r="J1445" t="n">
        <v>0.6659</v>
      </c>
      <c r="K1445" t="n">
        <v>0.07199999999999999</v>
      </c>
      <c r="L1445" t="n">
        <v>0.7</v>
      </c>
      <c r="M1445" t="n">
        <v>0.228</v>
      </c>
    </row>
    <row r="1446" spans="1:13">
      <c r="A1446" s="1">
        <f>HYPERLINK("http://www.twitter.com/NathanBLawrence/status/991915144535035904", "991915144535035904")</f>
        <v/>
      </c>
      <c r="B1446" s="2" t="n">
        <v>43223.23581018519</v>
      </c>
      <c r="C1446" t="n">
        <v>0</v>
      </c>
      <c r="D1446" t="n">
        <v>3</v>
      </c>
      <c r="E1446" t="s">
        <v>1450</v>
      </c>
      <c r="F1446" t="s"/>
      <c r="G1446" t="s"/>
      <c r="H1446" t="s"/>
      <c r="I1446" t="s"/>
      <c r="J1446" t="n">
        <v>-0.5423</v>
      </c>
      <c r="K1446" t="n">
        <v>0.2</v>
      </c>
      <c r="L1446" t="n">
        <v>0.8</v>
      </c>
      <c r="M1446" t="n">
        <v>0</v>
      </c>
    </row>
    <row r="1447" spans="1:13">
      <c r="A1447" s="1">
        <f>HYPERLINK("http://www.twitter.com/NathanBLawrence/status/991915078256594944", "991915078256594944")</f>
        <v/>
      </c>
      <c r="B1447" s="2" t="n">
        <v>43223.235625</v>
      </c>
      <c r="C1447" t="n">
        <v>0</v>
      </c>
      <c r="D1447" t="n">
        <v>6</v>
      </c>
      <c r="E1447" t="s">
        <v>1451</v>
      </c>
      <c r="F1447" t="s"/>
      <c r="G1447" t="s"/>
      <c r="H1447" t="s"/>
      <c r="I1447" t="s"/>
      <c r="J1447" t="n">
        <v>-0.5266999999999999</v>
      </c>
      <c r="K1447" t="n">
        <v>0.139</v>
      </c>
      <c r="L1447" t="n">
        <v>0.861</v>
      </c>
      <c r="M1447" t="n">
        <v>0</v>
      </c>
    </row>
    <row r="1448" spans="1:13">
      <c r="A1448" s="1">
        <f>HYPERLINK("http://www.twitter.com/NathanBLawrence/status/991914857028050945", "991914857028050945")</f>
        <v/>
      </c>
      <c r="B1448" s="2" t="n">
        <v>43223.23501157408</v>
      </c>
      <c r="C1448" t="n">
        <v>0</v>
      </c>
      <c r="D1448" t="n">
        <v>1</v>
      </c>
      <c r="E1448" t="s">
        <v>1452</v>
      </c>
      <c r="F1448" t="s"/>
      <c r="G1448" t="s"/>
      <c r="H1448" t="s"/>
      <c r="I1448" t="s"/>
      <c r="J1448" t="n">
        <v>0.4588</v>
      </c>
      <c r="K1448" t="n">
        <v>0</v>
      </c>
      <c r="L1448" t="n">
        <v>0.667</v>
      </c>
      <c r="M1448" t="n">
        <v>0.333</v>
      </c>
    </row>
    <row r="1449" spans="1:13">
      <c r="A1449" s="1">
        <f>HYPERLINK("http://www.twitter.com/NathanBLawrence/status/991914509777465344", "991914509777465344")</f>
        <v/>
      </c>
      <c r="B1449" s="2" t="n">
        <v>43223.23405092592</v>
      </c>
      <c r="C1449" t="n">
        <v>9</v>
      </c>
      <c r="D1449" t="n">
        <v>4</v>
      </c>
      <c r="E1449" t="s">
        <v>1453</v>
      </c>
      <c r="F1449" t="s"/>
      <c r="G1449" t="s"/>
      <c r="H1449" t="s"/>
      <c r="I1449" t="s"/>
      <c r="J1449" t="n">
        <v>-0.9485</v>
      </c>
      <c r="K1449" t="n">
        <v>0.381</v>
      </c>
      <c r="L1449" t="n">
        <v>0.619</v>
      </c>
      <c r="M1449" t="n">
        <v>0</v>
      </c>
    </row>
    <row r="1450" spans="1:13">
      <c r="A1450" s="1">
        <f>HYPERLINK("http://www.twitter.com/NathanBLawrence/status/991914188946714625", "991914188946714625")</f>
        <v/>
      </c>
      <c r="B1450" s="2" t="n">
        <v>43223.2331712963</v>
      </c>
      <c r="C1450" t="n">
        <v>0</v>
      </c>
      <c r="D1450" t="n">
        <v>4</v>
      </c>
      <c r="E1450" t="s">
        <v>1454</v>
      </c>
      <c r="F1450" t="s"/>
      <c r="G1450" t="s"/>
      <c r="H1450" t="s"/>
      <c r="I1450" t="s"/>
      <c r="J1450" t="n">
        <v>0.1027</v>
      </c>
      <c r="K1450" t="n">
        <v>0</v>
      </c>
      <c r="L1450" t="n">
        <v>0.924</v>
      </c>
      <c r="M1450" t="n">
        <v>0.076</v>
      </c>
    </row>
    <row r="1451" spans="1:13">
      <c r="A1451" s="1">
        <f>HYPERLINK("http://www.twitter.com/NathanBLawrence/status/991914134211104774", "991914134211104774")</f>
        <v/>
      </c>
      <c r="B1451" s="2" t="n">
        <v>43223.23302083334</v>
      </c>
      <c r="C1451" t="n">
        <v>0</v>
      </c>
      <c r="D1451" t="n">
        <v>4</v>
      </c>
      <c r="E1451" t="s">
        <v>1455</v>
      </c>
      <c r="F1451" t="s"/>
      <c r="G1451" t="s"/>
      <c r="H1451" t="s"/>
      <c r="I1451" t="s"/>
      <c r="J1451" t="n">
        <v>0</v>
      </c>
      <c r="K1451" t="n">
        <v>0</v>
      </c>
      <c r="L1451" t="n">
        <v>1</v>
      </c>
      <c r="M1451" t="n">
        <v>0</v>
      </c>
    </row>
    <row r="1452" spans="1:13">
      <c r="A1452" s="1">
        <f>HYPERLINK("http://www.twitter.com/NathanBLawrence/status/991914061293113344", "991914061293113344")</f>
        <v/>
      </c>
      <c r="B1452" s="2" t="n">
        <v>43223.2328125</v>
      </c>
      <c r="C1452" t="n">
        <v>0</v>
      </c>
      <c r="D1452" t="n">
        <v>5</v>
      </c>
      <c r="E1452" t="s">
        <v>1456</v>
      </c>
      <c r="F1452" t="s"/>
      <c r="G1452" t="s"/>
      <c r="H1452" t="s"/>
      <c r="I1452" t="s"/>
      <c r="J1452" t="n">
        <v>-0.4482</v>
      </c>
      <c r="K1452" t="n">
        <v>0.128</v>
      </c>
      <c r="L1452" t="n">
        <v>0.872</v>
      </c>
      <c r="M1452" t="n">
        <v>0</v>
      </c>
    </row>
    <row r="1453" spans="1:13">
      <c r="A1453" s="1">
        <f>HYPERLINK("http://www.twitter.com/NathanBLawrence/status/991914046935924736", "991914046935924736")</f>
        <v/>
      </c>
      <c r="B1453" s="2" t="n">
        <v>43223.23277777778</v>
      </c>
      <c r="C1453" t="n">
        <v>0</v>
      </c>
      <c r="D1453" t="n">
        <v>4</v>
      </c>
      <c r="E1453" t="s">
        <v>1457</v>
      </c>
      <c r="F1453" t="s"/>
      <c r="G1453" t="s"/>
      <c r="H1453" t="s"/>
      <c r="I1453" t="s"/>
      <c r="J1453" t="n">
        <v>-0.5583</v>
      </c>
      <c r="K1453" t="n">
        <v>0.167</v>
      </c>
      <c r="L1453" t="n">
        <v>0.833</v>
      </c>
      <c r="M1453" t="n">
        <v>0</v>
      </c>
    </row>
    <row r="1454" spans="1:13">
      <c r="A1454" s="1">
        <f>HYPERLINK("http://www.twitter.com/NathanBLawrence/status/991913988169568256", "991913988169568256")</f>
        <v/>
      </c>
      <c r="B1454" s="2" t="n">
        <v>43223.23261574074</v>
      </c>
      <c r="C1454" t="n">
        <v>0</v>
      </c>
      <c r="D1454" t="n">
        <v>8</v>
      </c>
      <c r="E1454" t="s">
        <v>1458</v>
      </c>
      <c r="F1454" t="s"/>
      <c r="G1454" t="s"/>
      <c r="H1454" t="s"/>
      <c r="I1454" t="s"/>
      <c r="J1454" t="n">
        <v>0.3612</v>
      </c>
      <c r="K1454" t="n">
        <v>0</v>
      </c>
      <c r="L1454" t="n">
        <v>0.894</v>
      </c>
      <c r="M1454" t="n">
        <v>0.106</v>
      </c>
    </row>
    <row r="1455" spans="1:13">
      <c r="A1455" s="1">
        <f>HYPERLINK("http://www.twitter.com/NathanBLawrence/status/991913947409408000", "991913947409408000")</f>
        <v/>
      </c>
      <c r="B1455" s="2" t="n">
        <v>43223.2325</v>
      </c>
      <c r="C1455" t="n">
        <v>0</v>
      </c>
      <c r="D1455" t="n">
        <v>13</v>
      </c>
      <c r="E1455" t="s">
        <v>1459</v>
      </c>
      <c r="F1455" t="s"/>
      <c r="G1455" t="s"/>
      <c r="H1455" t="s"/>
      <c r="I1455" t="s"/>
      <c r="J1455" t="n">
        <v>-0.3182</v>
      </c>
      <c r="K1455" t="n">
        <v>0.272</v>
      </c>
      <c r="L1455" t="n">
        <v>0.553</v>
      </c>
      <c r="M1455" t="n">
        <v>0.174</v>
      </c>
    </row>
    <row r="1456" spans="1:13">
      <c r="A1456" s="1">
        <f>HYPERLINK("http://www.twitter.com/NathanBLawrence/status/991913861786800128", "991913861786800128")</f>
        <v/>
      </c>
      <c r="B1456" s="2" t="n">
        <v>43223.23226851852</v>
      </c>
      <c r="C1456" t="n">
        <v>0</v>
      </c>
      <c r="D1456" t="n">
        <v>11</v>
      </c>
      <c r="E1456" t="s">
        <v>1460</v>
      </c>
      <c r="F1456" t="s"/>
      <c r="G1456" t="s"/>
      <c r="H1456" t="s"/>
      <c r="I1456" t="s"/>
      <c r="J1456" t="n">
        <v>0</v>
      </c>
      <c r="K1456" t="n">
        <v>0</v>
      </c>
      <c r="L1456" t="n">
        <v>1</v>
      </c>
      <c r="M1456" t="n">
        <v>0</v>
      </c>
    </row>
    <row r="1457" spans="1:13">
      <c r="A1457" s="1">
        <f>HYPERLINK("http://www.twitter.com/NathanBLawrence/status/991913848868306944", "991913848868306944")</f>
        <v/>
      </c>
      <c r="B1457" s="2" t="n">
        <v>43223.2322337963</v>
      </c>
      <c r="C1457" t="n">
        <v>0</v>
      </c>
      <c r="D1457" t="n">
        <v>14</v>
      </c>
      <c r="E1457" t="s">
        <v>1461</v>
      </c>
      <c r="F1457">
        <f>HYPERLINK("http://pbs.twimg.com/media/DcOiO2AX4AIf9uB.jpg", "http://pbs.twimg.com/media/DcOiO2AX4AIf9uB.jpg")</f>
        <v/>
      </c>
      <c r="G1457" t="s"/>
      <c r="H1457" t="s"/>
      <c r="I1457" t="s"/>
      <c r="J1457" t="n">
        <v>-0.2103</v>
      </c>
      <c r="K1457" t="n">
        <v>0.233</v>
      </c>
      <c r="L1457" t="n">
        <v>0.5629999999999999</v>
      </c>
      <c r="M1457" t="n">
        <v>0.204</v>
      </c>
    </row>
    <row r="1458" spans="1:13">
      <c r="A1458" s="1">
        <f>HYPERLINK("http://www.twitter.com/NathanBLawrence/status/991913835891216384", "991913835891216384")</f>
        <v/>
      </c>
      <c r="B1458" s="2" t="n">
        <v>43223.23219907407</v>
      </c>
      <c r="C1458" t="n">
        <v>0</v>
      </c>
      <c r="D1458" t="n">
        <v>13</v>
      </c>
      <c r="E1458" t="s">
        <v>1462</v>
      </c>
      <c r="F1458" t="s"/>
      <c r="G1458" t="s"/>
      <c r="H1458" t="s"/>
      <c r="I1458" t="s"/>
      <c r="J1458" t="n">
        <v>0</v>
      </c>
      <c r="K1458" t="n">
        <v>0</v>
      </c>
      <c r="L1458" t="n">
        <v>1</v>
      </c>
      <c r="M1458" t="n">
        <v>0</v>
      </c>
    </row>
    <row r="1459" spans="1:13">
      <c r="A1459" s="1">
        <f>HYPERLINK("http://www.twitter.com/NathanBLawrence/status/991913689363238912", "991913689363238912")</f>
        <v/>
      </c>
      <c r="B1459" s="2" t="n">
        <v>43223.23179398148</v>
      </c>
      <c r="C1459" t="n">
        <v>0</v>
      </c>
      <c r="D1459" t="n">
        <v>5</v>
      </c>
      <c r="E1459" t="s">
        <v>1463</v>
      </c>
      <c r="F1459" t="s"/>
      <c r="G1459" t="s"/>
      <c r="H1459" t="s"/>
      <c r="I1459" t="s"/>
      <c r="J1459" t="n">
        <v>-0.4215</v>
      </c>
      <c r="K1459" t="n">
        <v>0.186</v>
      </c>
      <c r="L1459" t="n">
        <v>0.73</v>
      </c>
      <c r="M1459" t="n">
        <v>0.08400000000000001</v>
      </c>
    </row>
    <row r="1460" spans="1:13">
      <c r="A1460" s="1">
        <f>HYPERLINK("http://www.twitter.com/NathanBLawrence/status/991892168934473728", "991892168934473728")</f>
        <v/>
      </c>
      <c r="B1460" s="2" t="n">
        <v>43223.17240740741</v>
      </c>
      <c r="C1460" t="n">
        <v>0</v>
      </c>
      <c r="D1460" t="n">
        <v>19</v>
      </c>
      <c r="E1460" t="s">
        <v>1464</v>
      </c>
      <c r="F1460">
        <f>HYPERLINK("http://pbs.twimg.com/media/DcPevNVUwAIDIyV.jpg", "http://pbs.twimg.com/media/DcPevNVUwAIDIyV.jpg")</f>
        <v/>
      </c>
      <c r="G1460" t="s"/>
      <c r="H1460" t="s"/>
      <c r="I1460" t="s"/>
      <c r="J1460" t="n">
        <v>0</v>
      </c>
      <c r="K1460" t="n">
        <v>0</v>
      </c>
      <c r="L1460" t="n">
        <v>1</v>
      </c>
      <c r="M1460" t="n">
        <v>0</v>
      </c>
    </row>
    <row r="1461" spans="1:13">
      <c r="A1461" s="1">
        <f>HYPERLINK("http://www.twitter.com/NathanBLawrence/status/991834066998779904", "991834066998779904")</f>
        <v/>
      </c>
      <c r="B1461" s="2" t="n">
        <v>43223.01207175926</v>
      </c>
      <c r="C1461" t="n">
        <v>3</v>
      </c>
      <c r="D1461" t="n">
        <v>1</v>
      </c>
      <c r="E1461" t="s">
        <v>1465</v>
      </c>
      <c r="F1461" t="s"/>
      <c r="G1461" t="s"/>
      <c r="H1461" t="s"/>
      <c r="I1461" t="s"/>
      <c r="J1461" t="n">
        <v>0</v>
      </c>
      <c r="K1461" t="n">
        <v>0</v>
      </c>
      <c r="L1461" t="n">
        <v>1</v>
      </c>
      <c r="M1461" t="n">
        <v>0</v>
      </c>
    </row>
    <row r="1462" spans="1:13">
      <c r="A1462" s="1">
        <f>HYPERLINK("http://www.twitter.com/NathanBLawrence/status/991834030692855808", "991834030692855808")</f>
        <v/>
      </c>
      <c r="B1462" s="2" t="n">
        <v>43223.0119675926</v>
      </c>
      <c r="C1462" t="n">
        <v>0</v>
      </c>
      <c r="D1462" t="n">
        <v>41</v>
      </c>
      <c r="E1462" t="s">
        <v>1466</v>
      </c>
      <c r="F1462" t="s"/>
      <c r="G1462" t="s"/>
      <c r="H1462" t="s"/>
      <c r="I1462" t="s"/>
      <c r="J1462" t="n">
        <v>0.4754</v>
      </c>
      <c r="K1462" t="n">
        <v>0</v>
      </c>
      <c r="L1462" t="n">
        <v>0.86</v>
      </c>
      <c r="M1462" t="n">
        <v>0.14</v>
      </c>
    </row>
    <row r="1463" spans="1:13">
      <c r="A1463" s="1">
        <f>HYPERLINK("http://www.twitter.com/NathanBLawrence/status/991806658253918208", "991806658253918208")</f>
        <v/>
      </c>
      <c r="B1463" s="2" t="n">
        <v>43222.93643518518</v>
      </c>
      <c r="C1463" t="n">
        <v>0</v>
      </c>
      <c r="D1463" t="n">
        <v>9</v>
      </c>
      <c r="E1463" t="s">
        <v>1467</v>
      </c>
      <c r="F1463" t="s"/>
      <c r="G1463" t="s"/>
      <c r="H1463" t="s"/>
      <c r="I1463" t="s"/>
      <c r="J1463" t="n">
        <v>-0.8415</v>
      </c>
      <c r="K1463" t="n">
        <v>0.277</v>
      </c>
      <c r="L1463" t="n">
        <v>0.723</v>
      </c>
      <c r="M1463" t="n">
        <v>0</v>
      </c>
    </row>
    <row r="1464" spans="1:13">
      <c r="A1464" s="1">
        <f>HYPERLINK("http://www.twitter.com/NathanBLawrence/status/991806578205569026", "991806578205569026")</f>
        <v/>
      </c>
      <c r="B1464" s="2" t="n">
        <v>43222.93621527778</v>
      </c>
      <c r="C1464" t="n">
        <v>1</v>
      </c>
      <c r="D1464" t="n">
        <v>1</v>
      </c>
      <c r="E1464" t="s">
        <v>1468</v>
      </c>
      <c r="F1464" t="s"/>
      <c r="G1464" t="s"/>
      <c r="H1464" t="s"/>
      <c r="I1464" t="s"/>
      <c r="J1464" t="n">
        <v>0</v>
      </c>
      <c r="K1464" t="n">
        <v>0</v>
      </c>
      <c r="L1464" t="n">
        <v>1</v>
      </c>
      <c r="M1464" t="n">
        <v>0</v>
      </c>
    </row>
    <row r="1465" spans="1:13">
      <c r="A1465" s="1">
        <f>HYPERLINK("http://www.twitter.com/NathanBLawrence/status/991806460454678528", "991806460454678528")</f>
        <v/>
      </c>
      <c r="B1465" s="2" t="n">
        <v>43222.93589120371</v>
      </c>
      <c r="C1465" t="n">
        <v>0</v>
      </c>
      <c r="D1465" t="n">
        <v>11</v>
      </c>
      <c r="E1465" t="s">
        <v>1469</v>
      </c>
      <c r="F1465" t="s"/>
      <c r="G1465" t="s"/>
      <c r="H1465" t="s"/>
      <c r="I1465" t="s"/>
      <c r="J1465" t="n">
        <v>-0.0772</v>
      </c>
      <c r="K1465" t="n">
        <v>0.139</v>
      </c>
      <c r="L1465" t="n">
        <v>0.735</v>
      </c>
      <c r="M1465" t="n">
        <v>0.127</v>
      </c>
    </row>
    <row r="1466" spans="1:13">
      <c r="A1466" s="1">
        <f>HYPERLINK("http://www.twitter.com/NathanBLawrence/status/991806294788014080", "991806294788014080")</f>
        <v/>
      </c>
      <c r="B1466" s="2" t="n">
        <v>43222.93543981481</v>
      </c>
      <c r="C1466" t="n">
        <v>12</v>
      </c>
      <c r="D1466" t="n">
        <v>11</v>
      </c>
      <c r="E1466" t="s">
        <v>1470</v>
      </c>
      <c r="F1466" t="s"/>
      <c r="G1466" t="s"/>
      <c r="H1466" t="s"/>
      <c r="I1466" t="s"/>
      <c r="J1466" t="n">
        <v>-0.5603</v>
      </c>
      <c r="K1466" t="n">
        <v>0.201</v>
      </c>
      <c r="L1466" t="n">
        <v>0.678</v>
      </c>
      <c r="M1466" t="n">
        <v>0.121</v>
      </c>
    </row>
    <row r="1467" spans="1:13">
      <c r="A1467" s="1">
        <f>HYPERLINK("http://www.twitter.com/NathanBLawrence/status/991805732189343744", "991805732189343744")</f>
        <v/>
      </c>
      <c r="B1467" s="2" t="n">
        <v>43222.93388888889</v>
      </c>
      <c r="C1467" t="n">
        <v>0</v>
      </c>
      <c r="D1467" t="n">
        <v>3</v>
      </c>
      <c r="E1467" t="s">
        <v>1471</v>
      </c>
      <c r="F1467" t="s"/>
      <c r="G1467" t="s"/>
      <c r="H1467" t="s"/>
      <c r="I1467" t="s"/>
      <c r="J1467" t="n">
        <v>0</v>
      </c>
      <c r="K1467" t="n">
        <v>0</v>
      </c>
      <c r="L1467" t="n">
        <v>1</v>
      </c>
      <c r="M1467" t="n">
        <v>0</v>
      </c>
    </row>
    <row r="1468" spans="1:13">
      <c r="A1468" s="1">
        <f>HYPERLINK("http://www.twitter.com/NathanBLawrence/status/991805684735004678", "991805684735004678")</f>
        <v/>
      </c>
      <c r="B1468" s="2" t="n">
        <v>43222.93375</v>
      </c>
      <c r="C1468" t="n">
        <v>0</v>
      </c>
      <c r="D1468" t="n">
        <v>11</v>
      </c>
      <c r="E1468" t="s">
        <v>1472</v>
      </c>
      <c r="F1468" t="s"/>
      <c r="G1468" t="s"/>
      <c r="H1468" t="s"/>
      <c r="I1468" t="s"/>
      <c r="J1468" t="n">
        <v>0.128</v>
      </c>
      <c r="K1468" t="n">
        <v>0</v>
      </c>
      <c r="L1468" t="n">
        <v>0.914</v>
      </c>
      <c r="M1468" t="n">
        <v>0.08599999999999999</v>
      </c>
    </row>
    <row r="1469" spans="1:13">
      <c r="A1469" s="1">
        <f>HYPERLINK("http://www.twitter.com/NathanBLawrence/status/991805541478551552", "991805541478551552")</f>
        <v/>
      </c>
      <c r="B1469" s="2" t="n">
        <v>43222.93335648148</v>
      </c>
      <c r="C1469" t="n">
        <v>0</v>
      </c>
      <c r="D1469" t="n">
        <v>7</v>
      </c>
      <c r="E1469" t="s">
        <v>1473</v>
      </c>
      <c r="F1469" t="s"/>
      <c r="G1469" t="s"/>
      <c r="H1469" t="s"/>
      <c r="I1469" t="s"/>
      <c r="J1469" t="n">
        <v>-0.5266999999999999</v>
      </c>
      <c r="K1469" t="n">
        <v>0.25</v>
      </c>
      <c r="L1469" t="n">
        <v>0.577</v>
      </c>
      <c r="M1469" t="n">
        <v>0.173</v>
      </c>
    </row>
    <row r="1470" spans="1:13">
      <c r="A1470" s="1">
        <f>HYPERLINK("http://www.twitter.com/NathanBLawrence/status/991805503528464389", "991805503528464389")</f>
        <v/>
      </c>
      <c r="B1470" s="2" t="n">
        <v>43222.93325231481</v>
      </c>
      <c r="C1470" t="n">
        <v>11</v>
      </c>
      <c r="D1470" t="n">
        <v>9</v>
      </c>
      <c r="E1470" t="s">
        <v>1474</v>
      </c>
      <c r="F1470" t="s"/>
      <c r="G1470" t="s"/>
      <c r="H1470" t="s"/>
      <c r="I1470" t="s"/>
      <c r="J1470" t="n">
        <v>-0.9132</v>
      </c>
      <c r="K1470" t="n">
        <v>0.23</v>
      </c>
      <c r="L1470" t="n">
        <v>0.77</v>
      </c>
      <c r="M1470" t="n">
        <v>0</v>
      </c>
    </row>
    <row r="1471" spans="1:13">
      <c r="A1471" s="1">
        <f>HYPERLINK("http://www.twitter.com/NathanBLawrence/status/991804993484283907", "991804993484283907")</f>
        <v/>
      </c>
      <c r="B1471" s="2" t="n">
        <v>43222.93184027778</v>
      </c>
      <c r="C1471" t="n">
        <v>10</v>
      </c>
      <c r="D1471" t="n">
        <v>7</v>
      </c>
      <c r="E1471" t="s">
        <v>1475</v>
      </c>
      <c r="F1471" t="s"/>
      <c r="G1471" t="s"/>
      <c r="H1471" t="s"/>
      <c r="I1471" t="s"/>
      <c r="J1471" t="n">
        <v>0.1779</v>
      </c>
      <c r="K1471" t="n">
        <v>0.141</v>
      </c>
      <c r="L1471" t="n">
        <v>0.669</v>
      </c>
      <c r="M1471" t="n">
        <v>0.19</v>
      </c>
    </row>
    <row r="1472" spans="1:13">
      <c r="A1472" s="1">
        <f>HYPERLINK("http://www.twitter.com/NathanBLawrence/status/991804355782365184", "991804355782365184")</f>
        <v/>
      </c>
      <c r="B1472" s="2" t="n">
        <v>43222.93008101852</v>
      </c>
      <c r="C1472" t="n">
        <v>0</v>
      </c>
      <c r="D1472" t="n">
        <v>4</v>
      </c>
      <c r="E1472" t="s">
        <v>1476</v>
      </c>
      <c r="F1472">
        <f>HYPERLINK("http://pbs.twimg.com/media/DcOYXIIVMAAvbeO.jpg", "http://pbs.twimg.com/media/DcOYXIIVMAAvbeO.jpg")</f>
        <v/>
      </c>
      <c r="G1472" t="s"/>
      <c r="H1472" t="s"/>
      <c r="I1472" t="s"/>
      <c r="J1472" t="n">
        <v>0.4199</v>
      </c>
      <c r="K1472" t="n">
        <v>0</v>
      </c>
      <c r="L1472" t="n">
        <v>0.872</v>
      </c>
      <c r="M1472" t="n">
        <v>0.128</v>
      </c>
    </row>
    <row r="1473" spans="1:13">
      <c r="A1473" s="1">
        <f>HYPERLINK("http://www.twitter.com/NathanBLawrence/status/991804300098711553", "991804300098711553")</f>
        <v/>
      </c>
      <c r="B1473" s="2" t="n">
        <v>43222.92993055555</v>
      </c>
      <c r="C1473" t="n">
        <v>0</v>
      </c>
      <c r="D1473" t="n">
        <v>9</v>
      </c>
      <c r="E1473" t="s">
        <v>1477</v>
      </c>
      <c r="F1473" t="s"/>
      <c r="G1473" t="s"/>
      <c r="H1473" t="s"/>
      <c r="I1473" t="s"/>
      <c r="J1473" t="n">
        <v>0</v>
      </c>
      <c r="K1473" t="n">
        <v>0</v>
      </c>
      <c r="L1473" t="n">
        <v>1</v>
      </c>
      <c r="M1473" t="n">
        <v>0</v>
      </c>
    </row>
    <row r="1474" spans="1:13">
      <c r="A1474" s="1">
        <f>HYPERLINK("http://www.twitter.com/NathanBLawrence/status/991804244893339648", "991804244893339648")</f>
        <v/>
      </c>
      <c r="B1474" s="2" t="n">
        <v>43222.92978009259</v>
      </c>
      <c r="C1474" t="n">
        <v>0</v>
      </c>
      <c r="D1474" t="n">
        <v>9</v>
      </c>
      <c r="E1474" t="s">
        <v>1478</v>
      </c>
      <c r="F1474" t="s"/>
      <c r="G1474" t="s"/>
      <c r="H1474" t="s"/>
      <c r="I1474" t="s"/>
      <c r="J1474" t="n">
        <v>0.3612</v>
      </c>
      <c r="K1474" t="n">
        <v>0</v>
      </c>
      <c r="L1474" t="n">
        <v>0.889</v>
      </c>
      <c r="M1474" t="n">
        <v>0.111</v>
      </c>
    </row>
    <row r="1475" spans="1:13">
      <c r="A1475" s="1">
        <f>HYPERLINK("http://www.twitter.com/NathanBLawrence/status/991804217470996480", "991804217470996480")</f>
        <v/>
      </c>
      <c r="B1475" s="2" t="n">
        <v>43222.92969907408</v>
      </c>
      <c r="C1475" t="n">
        <v>0</v>
      </c>
      <c r="D1475" t="n">
        <v>2</v>
      </c>
      <c r="E1475" t="s">
        <v>1479</v>
      </c>
      <c r="F1475" t="s"/>
      <c r="G1475" t="s"/>
      <c r="H1475" t="s"/>
      <c r="I1475" t="s"/>
      <c r="J1475" t="n">
        <v>0.049</v>
      </c>
      <c r="K1475" t="n">
        <v>0.083</v>
      </c>
      <c r="L1475" t="n">
        <v>0.826</v>
      </c>
      <c r="M1475" t="n">
        <v>0.091</v>
      </c>
    </row>
    <row r="1476" spans="1:13">
      <c r="A1476" s="1">
        <f>HYPERLINK("http://www.twitter.com/NathanBLawrence/status/991804193018187778", "991804193018187778")</f>
        <v/>
      </c>
      <c r="B1476" s="2" t="n">
        <v>43222.9296412037</v>
      </c>
      <c r="C1476" t="n">
        <v>0</v>
      </c>
      <c r="D1476" t="n">
        <v>9</v>
      </c>
      <c r="E1476" t="s">
        <v>1480</v>
      </c>
      <c r="F1476" t="s"/>
      <c r="G1476" t="s"/>
      <c r="H1476" t="s"/>
      <c r="I1476" t="s"/>
      <c r="J1476" t="n">
        <v>0.4019</v>
      </c>
      <c r="K1476" t="n">
        <v>0.056</v>
      </c>
      <c r="L1476" t="n">
        <v>0.8149999999999999</v>
      </c>
      <c r="M1476" t="n">
        <v>0.129</v>
      </c>
    </row>
    <row r="1477" spans="1:13">
      <c r="A1477" s="1">
        <f>HYPERLINK("http://www.twitter.com/NathanBLawrence/status/991804006392573953", "991804006392573953")</f>
        <v/>
      </c>
      <c r="B1477" s="2" t="n">
        <v>43222.92912037037</v>
      </c>
      <c r="C1477" t="n">
        <v>0</v>
      </c>
      <c r="D1477" t="n">
        <v>13</v>
      </c>
      <c r="E1477" t="s">
        <v>1481</v>
      </c>
      <c r="F1477">
        <f>HYPERLINK("http://pbs.twimg.com/media/DcOR9D8WsAAB9ax.jpg", "http://pbs.twimg.com/media/DcOR9D8WsAAB9ax.jpg")</f>
        <v/>
      </c>
      <c r="G1477">
        <f>HYPERLINK("http://pbs.twimg.com/media/DcOR9HHWsAAmxLn.jpg", "http://pbs.twimg.com/media/DcOR9HHWsAAmxLn.jpg")</f>
        <v/>
      </c>
      <c r="H1477" t="s"/>
      <c r="I1477" t="s"/>
      <c r="J1477" t="n">
        <v>-0.34</v>
      </c>
      <c r="K1477" t="n">
        <v>0.112</v>
      </c>
      <c r="L1477" t="n">
        <v>0.888</v>
      </c>
      <c r="M1477" t="n">
        <v>0</v>
      </c>
    </row>
    <row r="1478" spans="1:13">
      <c r="A1478" s="1">
        <f>HYPERLINK("http://www.twitter.com/NathanBLawrence/status/991803953410138112", "991803953410138112")</f>
        <v/>
      </c>
      <c r="B1478" s="2" t="n">
        <v>43222.92896990741</v>
      </c>
      <c r="C1478" t="n">
        <v>11</v>
      </c>
      <c r="D1478" t="n">
        <v>9</v>
      </c>
      <c r="E1478" t="s">
        <v>1482</v>
      </c>
      <c r="F1478" t="s"/>
      <c r="G1478" t="s"/>
      <c r="H1478" t="s"/>
      <c r="I1478" t="s"/>
      <c r="J1478" t="n">
        <v>-0.3182</v>
      </c>
      <c r="K1478" t="n">
        <v>0.049</v>
      </c>
      <c r="L1478" t="n">
        <v>0.951</v>
      </c>
      <c r="M1478" t="n">
        <v>0</v>
      </c>
    </row>
    <row r="1479" spans="1:13">
      <c r="A1479" s="1">
        <f>HYPERLINK("http://www.twitter.com/NathanBLawrence/status/991803114595471360", "991803114595471360")</f>
        <v/>
      </c>
      <c r="B1479" s="2" t="n">
        <v>43222.92665509259</v>
      </c>
      <c r="C1479" t="n">
        <v>0</v>
      </c>
      <c r="D1479" t="n">
        <v>6</v>
      </c>
      <c r="E1479" t="s">
        <v>1483</v>
      </c>
      <c r="F1479">
        <f>HYPERLINK("http://pbs.twimg.com/media/DcOPOAJX4AY_duj.jpg", "http://pbs.twimg.com/media/DcOPOAJX4AY_duj.jpg")</f>
        <v/>
      </c>
      <c r="G1479" t="s"/>
      <c r="H1479" t="s"/>
      <c r="I1479" t="s"/>
      <c r="J1479" t="n">
        <v>0.128</v>
      </c>
      <c r="K1479" t="n">
        <v>0</v>
      </c>
      <c r="L1479" t="n">
        <v>0.919</v>
      </c>
      <c r="M1479" t="n">
        <v>0.081</v>
      </c>
    </row>
    <row r="1480" spans="1:13">
      <c r="A1480" s="1">
        <f>HYPERLINK("http://www.twitter.com/NathanBLawrence/status/991793889089605638", "991793889089605638")</f>
        <v/>
      </c>
      <c r="B1480" s="2" t="n">
        <v>43222.9012037037</v>
      </c>
      <c r="C1480" t="n">
        <v>0</v>
      </c>
      <c r="D1480" t="n">
        <v>21</v>
      </c>
      <c r="E1480" t="s">
        <v>1484</v>
      </c>
      <c r="F1480">
        <f>HYPERLINK("http://pbs.twimg.com/media/DcOFjXvX0AcP-kZ.jpg", "http://pbs.twimg.com/media/DcOFjXvX0AcP-kZ.jpg")</f>
        <v/>
      </c>
      <c r="G1480" t="s"/>
      <c r="H1480" t="s"/>
      <c r="I1480" t="s"/>
      <c r="J1480" t="n">
        <v>0</v>
      </c>
      <c r="K1480" t="n">
        <v>0</v>
      </c>
      <c r="L1480" t="n">
        <v>1</v>
      </c>
      <c r="M1480" t="n">
        <v>0</v>
      </c>
    </row>
    <row r="1481" spans="1:13">
      <c r="A1481" s="1">
        <f>HYPERLINK("http://www.twitter.com/NathanBLawrence/status/991793858446012417", "991793858446012417")</f>
        <v/>
      </c>
      <c r="B1481" s="2" t="n">
        <v>43222.90112268519</v>
      </c>
      <c r="C1481" t="n">
        <v>0</v>
      </c>
      <c r="D1481" t="n">
        <v>10</v>
      </c>
      <c r="E1481" t="s">
        <v>1485</v>
      </c>
      <c r="F1481" t="s"/>
      <c r="G1481" t="s"/>
      <c r="H1481" t="s"/>
      <c r="I1481" t="s"/>
      <c r="J1481" t="n">
        <v>0.5789</v>
      </c>
      <c r="K1481" t="n">
        <v>0</v>
      </c>
      <c r="L1481" t="n">
        <v>0.842</v>
      </c>
      <c r="M1481" t="n">
        <v>0.158</v>
      </c>
    </row>
    <row r="1482" spans="1:13">
      <c r="A1482" s="1">
        <f>HYPERLINK("http://www.twitter.com/NathanBLawrence/status/991793844562944001", "991793844562944001")</f>
        <v/>
      </c>
      <c r="B1482" s="2" t="n">
        <v>43222.90107638889</v>
      </c>
      <c r="C1482" t="n">
        <v>0</v>
      </c>
      <c r="D1482" t="n">
        <v>11</v>
      </c>
      <c r="E1482" t="s">
        <v>1486</v>
      </c>
      <c r="F1482" t="s"/>
      <c r="G1482" t="s"/>
      <c r="H1482" t="s"/>
      <c r="I1482" t="s"/>
      <c r="J1482" t="n">
        <v>0</v>
      </c>
      <c r="K1482" t="n">
        <v>0</v>
      </c>
      <c r="L1482" t="n">
        <v>1</v>
      </c>
      <c r="M1482" t="n">
        <v>0</v>
      </c>
    </row>
    <row r="1483" spans="1:13">
      <c r="A1483" s="1">
        <f>HYPERLINK("http://www.twitter.com/NathanBLawrence/status/991793807174848519", "991793807174848519")</f>
        <v/>
      </c>
      <c r="B1483" s="2" t="n">
        <v>43222.90097222223</v>
      </c>
      <c r="C1483" t="n">
        <v>0</v>
      </c>
      <c r="D1483" t="n">
        <v>12</v>
      </c>
      <c r="E1483" t="s">
        <v>1487</v>
      </c>
      <c r="F1483">
        <f>HYPERLINK("http://pbs.twimg.com/media/DcOH4yJW0AAUj-_.jpg", "http://pbs.twimg.com/media/DcOH4yJW0AAUj-_.jpg")</f>
        <v/>
      </c>
      <c r="G1483" t="s"/>
      <c r="H1483" t="s"/>
      <c r="I1483" t="s"/>
      <c r="J1483" t="n">
        <v>0</v>
      </c>
      <c r="K1483" t="n">
        <v>0</v>
      </c>
      <c r="L1483" t="n">
        <v>1</v>
      </c>
      <c r="M1483" t="n">
        <v>0</v>
      </c>
    </row>
    <row r="1484" spans="1:13">
      <c r="A1484" s="1">
        <f>HYPERLINK("http://www.twitter.com/NathanBLawrence/status/991793786249531394", "991793786249531394")</f>
        <v/>
      </c>
      <c r="B1484" s="2" t="n">
        <v>43222.90091435185</v>
      </c>
      <c r="C1484" t="n">
        <v>0</v>
      </c>
      <c r="D1484" t="n">
        <v>13</v>
      </c>
      <c r="E1484" t="s">
        <v>1488</v>
      </c>
      <c r="F1484">
        <f>HYPERLINK("http://pbs.twimg.com/media/DcOJY_wXkAYiiLj.jpg", "http://pbs.twimg.com/media/DcOJY_wXkAYiiLj.jpg")</f>
        <v/>
      </c>
      <c r="G1484" t="s"/>
      <c r="H1484" t="s"/>
      <c r="I1484" t="s"/>
      <c r="J1484" t="n">
        <v>0</v>
      </c>
      <c r="K1484" t="n">
        <v>0</v>
      </c>
      <c r="L1484" t="n">
        <v>1</v>
      </c>
      <c r="M1484" t="n">
        <v>0</v>
      </c>
    </row>
    <row r="1485" spans="1:13">
      <c r="A1485" s="1">
        <f>HYPERLINK("http://www.twitter.com/NathanBLawrence/status/991793739327852552", "991793739327852552")</f>
        <v/>
      </c>
      <c r="B1485" s="2" t="n">
        <v>43222.90078703704</v>
      </c>
      <c r="C1485" t="n">
        <v>0</v>
      </c>
      <c r="D1485" t="n">
        <v>11</v>
      </c>
      <c r="E1485" t="s">
        <v>1489</v>
      </c>
      <c r="F1485">
        <f>HYPERLINK("http://pbs.twimg.com/media/DcOLL2iWsAEF6hQ.jpg", "http://pbs.twimg.com/media/DcOLL2iWsAEF6hQ.jpg")</f>
        <v/>
      </c>
      <c r="G1485" t="s"/>
      <c r="H1485" t="s"/>
      <c r="I1485" t="s"/>
      <c r="J1485" t="n">
        <v>0.2263</v>
      </c>
      <c r="K1485" t="n">
        <v>0</v>
      </c>
      <c r="L1485" t="n">
        <v>0.917</v>
      </c>
      <c r="M1485" t="n">
        <v>0.083</v>
      </c>
    </row>
    <row r="1486" spans="1:13">
      <c r="A1486" s="1">
        <f>HYPERLINK("http://www.twitter.com/NathanBLawrence/status/991793711100162049", "991793711100162049")</f>
        <v/>
      </c>
      <c r="B1486" s="2" t="n">
        <v>43222.90071759259</v>
      </c>
      <c r="C1486" t="n">
        <v>0</v>
      </c>
      <c r="D1486" t="n">
        <v>5</v>
      </c>
      <c r="E1486" t="s">
        <v>1490</v>
      </c>
      <c r="F1486" t="s"/>
      <c r="G1486" t="s"/>
      <c r="H1486" t="s"/>
      <c r="I1486" t="s"/>
      <c r="J1486" t="n">
        <v>-0.7096</v>
      </c>
      <c r="K1486" t="n">
        <v>0.182</v>
      </c>
      <c r="L1486" t="n">
        <v>0.8179999999999999</v>
      </c>
      <c r="M1486" t="n">
        <v>0</v>
      </c>
    </row>
    <row r="1487" spans="1:13">
      <c r="A1487" s="1">
        <f>HYPERLINK("http://www.twitter.com/NathanBLawrence/status/991793652077879298", "991793652077879298")</f>
        <v/>
      </c>
      <c r="B1487" s="2" t="n">
        <v>43222.90054398148</v>
      </c>
      <c r="C1487" t="n">
        <v>0</v>
      </c>
      <c r="D1487" t="n">
        <v>2</v>
      </c>
      <c r="E1487" t="s">
        <v>1491</v>
      </c>
      <c r="F1487">
        <f>HYPERLINK("http://pbs.twimg.com/media/DcOMNTkU0AAzosF.jpg", "http://pbs.twimg.com/media/DcOMNTkU0AAzosF.jpg")</f>
        <v/>
      </c>
      <c r="G1487" t="s"/>
      <c r="H1487" t="s"/>
      <c r="I1487" t="s"/>
      <c r="J1487" t="n">
        <v>0</v>
      </c>
      <c r="K1487" t="n">
        <v>0</v>
      </c>
      <c r="L1487" t="n">
        <v>1</v>
      </c>
      <c r="M1487" t="n">
        <v>0</v>
      </c>
    </row>
    <row r="1488" spans="1:13">
      <c r="A1488" s="1">
        <f>HYPERLINK("http://www.twitter.com/NathanBLawrence/status/991793575326371840", "991793575326371840")</f>
        <v/>
      </c>
      <c r="B1488" s="2" t="n">
        <v>43222.90033564815</v>
      </c>
      <c r="C1488" t="n">
        <v>0</v>
      </c>
      <c r="D1488" t="n">
        <v>12</v>
      </c>
      <c r="E1488" t="s">
        <v>1492</v>
      </c>
      <c r="F1488">
        <f>HYPERLINK("http://pbs.twimg.com/media/DcOOikbXcAIW1Eb.jpg", "http://pbs.twimg.com/media/DcOOikbXcAIW1Eb.jpg")</f>
        <v/>
      </c>
      <c r="G1488" t="s"/>
      <c r="H1488" t="s"/>
      <c r="I1488" t="s"/>
      <c r="J1488" t="n">
        <v>0.296</v>
      </c>
      <c r="K1488" t="n">
        <v>0.077</v>
      </c>
      <c r="L1488" t="n">
        <v>0.804</v>
      </c>
      <c r="M1488" t="n">
        <v>0.119</v>
      </c>
    </row>
    <row r="1489" spans="1:13">
      <c r="A1489" s="1">
        <f>HYPERLINK("http://www.twitter.com/NathanBLawrence/status/991775133793685510", "991775133793685510")</f>
        <v/>
      </c>
      <c r="B1489" s="2" t="n">
        <v>43222.84944444444</v>
      </c>
      <c r="C1489" t="n">
        <v>0</v>
      </c>
      <c r="D1489" t="n">
        <v>0</v>
      </c>
      <c r="E1489" t="s">
        <v>1493</v>
      </c>
      <c r="F1489" t="s"/>
      <c r="G1489" t="s"/>
      <c r="H1489" t="s"/>
      <c r="I1489" t="s"/>
      <c r="J1489" t="n">
        <v>0.4215</v>
      </c>
      <c r="K1489" t="n">
        <v>0</v>
      </c>
      <c r="L1489" t="n">
        <v>0.881</v>
      </c>
      <c r="M1489" t="n">
        <v>0.119</v>
      </c>
    </row>
    <row r="1490" spans="1:13">
      <c r="A1490" s="1">
        <f>HYPERLINK("http://www.twitter.com/NathanBLawrence/status/991774134886715392", "991774134886715392")</f>
        <v/>
      </c>
      <c r="B1490" s="2" t="n">
        <v>43222.84668981482</v>
      </c>
      <c r="C1490" t="n">
        <v>5</v>
      </c>
      <c r="D1490" t="n">
        <v>4</v>
      </c>
      <c r="E1490" t="s">
        <v>1494</v>
      </c>
      <c r="F1490" t="s"/>
      <c r="G1490" t="s"/>
      <c r="H1490" t="s"/>
      <c r="I1490" t="s"/>
      <c r="J1490" t="n">
        <v>-0.9042</v>
      </c>
      <c r="K1490" t="n">
        <v>0.319</v>
      </c>
      <c r="L1490" t="n">
        <v>0.681</v>
      </c>
      <c r="M1490" t="n">
        <v>0</v>
      </c>
    </row>
    <row r="1491" spans="1:13">
      <c r="A1491" s="1">
        <f>HYPERLINK("http://www.twitter.com/NathanBLawrence/status/991772869402284032", "991772869402284032")</f>
        <v/>
      </c>
      <c r="B1491" s="2" t="n">
        <v>43222.84319444445</v>
      </c>
      <c r="C1491" t="n">
        <v>0</v>
      </c>
      <c r="D1491" t="n">
        <v>0</v>
      </c>
      <c r="E1491" t="s">
        <v>1495</v>
      </c>
      <c r="F1491" t="s"/>
      <c r="G1491" t="s"/>
      <c r="H1491" t="s"/>
      <c r="I1491" t="s"/>
      <c r="J1491" t="n">
        <v>-0.6249</v>
      </c>
      <c r="K1491" t="n">
        <v>0.294</v>
      </c>
      <c r="L1491" t="n">
        <v>0.534</v>
      </c>
      <c r="M1491" t="n">
        <v>0.172</v>
      </c>
    </row>
    <row r="1492" spans="1:13">
      <c r="A1492" s="1">
        <f>HYPERLINK("http://www.twitter.com/NathanBLawrence/status/991772623796428804", "991772623796428804")</f>
        <v/>
      </c>
      <c r="B1492" s="2" t="n">
        <v>43222.84252314815</v>
      </c>
      <c r="C1492" t="n">
        <v>0</v>
      </c>
      <c r="D1492" t="n">
        <v>0</v>
      </c>
      <c r="E1492" t="s">
        <v>1496</v>
      </c>
      <c r="F1492" t="s"/>
      <c r="G1492" t="s"/>
      <c r="H1492" t="s"/>
      <c r="I1492" t="s"/>
      <c r="J1492" t="n">
        <v>-0.9169</v>
      </c>
      <c r="K1492" t="n">
        <v>0.27</v>
      </c>
      <c r="L1492" t="n">
        <v>0.679</v>
      </c>
      <c r="M1492" t="n">
        <v>0.051</v>
      </c>
    </row>
    <row r="1493" spans="1:13">
      <c r="A1493" s="1">
        <f>HYPERLINK("http://www.twitter.com/NathanBLawrence/status/991771996034879489", "991771996034879489")</f>
        <v/>
      </c>
      <c r="B1493" s="2" t="n">
        <v>43222.84078703704</v>
      </c>
      <c r="C1493" t="n">
        <v>0</v>
      </c>
      <c r="D1493" t="n">
        <v>0</v>
      </c>
      <c r="E1493" t="s">
        <v>1497</v>
      </c>
      <c r="F1493" t="s"/>
      <c r="G1493" t="s"/>
      <c r="H1493" t="s"/>
      <c r="I1493" t="s"/>
      <c r="J1493" t="n">
        <v>0.1921</v>
      </c>
      <c r="K1493" t="n">
        <v>0.054</v>
      </c>
      <c r="L1493" t="n">
        <v>0.877</v>
      </c>
      <c r="M1493" t="n">
        <v>0.06900000000000001</v>
      </c>
    </row>
    <row r="1494" spans="1:13">
      <c r="A1494" s="1">
        <f>HYPERLINK("http://www.twitter.com/NathanBLawrence/status/991771687694880768", "991771687694880768")</f>
        <v/>
      </c>
      <c r="B1494" s="2" t="n">
        <v>43222.83994212963</v>
      </c>
      <c r="C1494" t="n">
        <v>0</v>
      </c>
      <c r="D1494" t="n">
        <v>0</v>
      </c>
      <c r="E1494" t="s">
        <v>1498</v>
      </c>
      <c r="F1494" t="s"/>
      <c r="G1494" t="s"/>
      <c r="H1494" t="s"/>
      <c r="I1494" t="s"/>
      <c r="J1494" t="n">
        <v>-0.8934</v>
      </c>
      <c r="K1494" t="n">
        <v>0.605</v>
      </c>
      <c r="L1494" t="n">
        <v>0.395</v>
      </c>
      <c r="M1494" t="n">
        <v>0</v>
      </c>
    </row>
    <row r="1495" spans="1:13">
      <c r="A1495" s="1">
        <f>HYPERLINK("http://www.twitter.com/NathanBLawrence/status/991771619663269890", "991771619663269890")</f>
        <v/>
      </c>
      <c r="B1495" s="2" t="n">
        <v>43222.83975694444</v>
      </c>
      <c r="C1495" t="n">
        <v>0</v>
      </c>
      <c r="D1495" t="n">
        <v>0</v>
      </c>
      <c r="E1495" t="s">
        <v>1499</v>
      </c>
      <c r="F1495">
        <f>HYPERLINK("http://pbs.twimg.com/media/DcN7ByvXcAse6bh.jpg", "http://pbs.twimg.com/media/DcN7ByvXcAse6bh.jpg")</f>
        <v/>
      </c>
      <c r="G1495" t="s"/>
      <c r="H1495" t="s"/>
      <c r="I1495" t="s"/>
      <c r="J1495" t="n">
        <v>0</v>
      </c>
      <c r="K1495" t="n">
        <v>0</v>
      </c>
      <c r="L1495" t="n">
        <v>1</v>
      </c>
      <c r="M1495" t="n">
        <v>0</v>
      </c>
    </row>
    <row r="1496" spans="1:13">
      <c r="A1496" s="1">
        <f>HYPERLINK("http://www.twitter.com/NathanBLawrence/status/991771124156583936", "991771124156583936")</f>
        <v/>
      </c>
      <c r="B1496" s="2" t="n">
        <v>43222.83837962963</v>
      </c>
      <c r="C1496" t="n">
        <v>0</v>
      </c>
      <c r="D1496" t="n">
        <v>0</v>
      </c>
      <c r="E1496" t="s">
        <v>1500</v>
      </c>
      <c r="F1496">
        <f>HYPERLINK("http://pbs.twimg.com/media/DcN6k1MW4AYGczA.jpg", "http://pbs.twimg.com/media/DcN6k1MW4AYGczA.jpg")</f>
        <v/>
      </c>
      <c r="G1496" t="s"/>
      <c r="H1496" t="s"/>
      <c r="I1496" t="s"/>
      <c r="J1496" t="n">
        <v>-0.4515</v>
      </c>
      <c r="K1496" t="n">
        <v>0.149</v>
      </c>
      <c r="L1496" t="n">
        <v>0.761</v>
      </c>
      <c r="M1496" t="n">
        <v>0.09</v>
      </c>
    </row>
    <row r="1497" spans="1:13">
      <c r="A1497" s="1">
        <f>HYPERLINK("http://www.twitter.com/NathanBLawrence/status/991770518230654976", "991770518230654976")</f>
        <v/>
      </c>
      <c r="B1497" s="2" t="n">
        <v>43222.83671296296</v>
      </c>
      <c r="C1497" t="n">
        <v>0</v>
      </c>
      <c r="D1497" t="n">
        <v>0</v>
      </c>
      <c r="E1497" t="s">
        <v>1501</v>
      </c>
      <c r="F1497" t="s"/>
      <c r="G1497" t="s"/>
      <c r="H1497" t="s"/>
      <c r="I1497" t="s"/>
      <c r="J1497" t="n">
        <v>0.0638</v>
      </c>
      <c r="K1497" t="n">
        <v>0.173</v>
      </c>
      <c r="L1497" t="n">
        <v>0.649</v>
      </c>
      <c r="M1497" t="n">
        <v>0.178</v>
      </c>
    </row>
    <row r="1498" spans="1:13">
      <c r="A1498" s="1">
        <f>HYPERLINK("http://www.twitter.com/NathanBLawrence/status/991768144715964417", "991768144715964417")</f>
        <v/>
      </c>
      <c r="B1498" s="2" t="n">
        <v>43222.83016203704</v>
      </c>
      <c r="C1498" t="n">
        <v>0</v>
      </c>
      <c r="D1498" t="n">
        <v>4</v>
      </c>
      <c r="E1498" t="s">
        <v>1502</v>
      </c>
      <c r="F1498">
        <f>HYPERLINK("http://pbs.twimg.com/media/DcN2la0XcAAmzrD.jpg", "http://pbs.twimg.com/media/DcN2la0XcAAmzrD.jpg")</f>
        <v/>
      </c>
      <c r="G1498" t="s"/>
      <c r="H1498" t="s"/>
      <c r="I1498" t="s"/>
      <c r="J1498" t="n">
        <v>0</v>
      </c>
      <c r="K1498" t="n">
        <v>0</v>
      </c>
      <c r="L1498" t="n">
        <v>1</v>
      </c>
      <c r="M1498" t="n">
        <v>0</v>
      </c>
    </row>
    <row r="1499" spans="1:13">
      <c r="A1499" s="1">
        <f>HYPERLINK("http://www.twitter.com/NathanBLawrence/status/991768102286319622", "991768102286319622")</f>
        <v/>
      </c>
      <c r="B1499" s="2" t="n">
        <v>43222.83004629629</v>
      </c>
      <c r="C1499" t="n">
        <v>0</v>
      </c>
      <c r="D1499" t="n">
        <v>15</v>
      </c>
      <c r="E1499" t="s">
        <v>1503</v>
      </c>
      <c r="F1499">
        <f>HYPERLINK("http://pbs.twimg.com/media/DcN1JPTW4AAcYeF.jpg", "http://pbs.twimg.com/media/DcN1JPTW4AAcYeF.jpg")</f>
        <v/>
      </c>
      <c r="G1499" t="s"/>
      <c r="H1499" t="s"/>
      <c r="I1499" t="s"/>
      <c r="J1499" t="n">
        <v>-0.1027</v>
      </c>
      <c r="K1499" t="n">
        <v>0.062</v>
      </c>
      <c r="L1499" t="n">
        <v>0.9379999999999999</v>
      </c>
      <c r="M1499" t="n">
        <v>0</v>
      </c>
    </row>
    <row r="1500" spans="1:13">
      <c r="A1500" s="1">
        <f>HYPERLINK("http://www.twitter.com/NathanBLawrence/status/991732962315198465", "991732962315198465")</f>
        <v/>
      </c>
      <c r="B1500" s="2" t="n">
        <v>43222.73307870371</v>
      </c>
      <c r="C1500" t="n">
        <v>0</v>
      </c>
      <c r="D1500" t="n">
        <v>4</v>
      </c>
      <c r="E1500" t="s">
        <v>1504</v>
      </c>
      <c r="F1500" t="s"/>
      <c r="G1500" t="s"/>
      <c r="H1500" t="s"/>
      <c r="I1500" t="s"/>
      <c r="J1500" t="n">
        <v>0</v>
      </c>
      <c r="K1500" t="n">
        <v>0</v>
      </c>
      <c r="L1500" t="n">
        <v>1</v>
      </c>
      <c r="M1500" t="n">
        <v>0</v>
      </c>
    </row>
    <row r="1501" spans="1:13">
      <c r="A1501" s="1">
        <f>HYPERLINK("http://www.twitter.com/NathanBLawrence/status/991732954966757377", "991732954966757377")</f>
        <v/>
      </c>
      <c r="B1501" s="2" t="n">
        <v>43222.73305555555</v>
      </c>
      <c r="C1501" t="n">
        <v>0</v>
      </c>
      <c r="D1501" t="n">
        <v>4</v>
      </c>
      <c r="E1501" t="s">
        <v>1505</v>
      </c>
      <c r="F1501" t="s"/>
      <c r="G1501" t="s"/>
      <c r="H1501" t="s"/>
      <c r="I1501" t="s"/>
      <c r="J1501" t="n">
        <v>-0.4215</v>
      </c>
      <c r="K1501" t="n">
        <v>0.21</v>
      </c>
      <c r="L1501" t="n">
        <v>0.6870000000000001</v>
      </c>
      <c r="M1501" t="n">
        <v>0.103</v>
      </c>
    </row>
    <row r="1502" spans="1:13">
      <c r="A1502" s="1">
        <f>HYPERLINK("http://www.twitter.com/NathanBLawrence/status/991732741904400384", "991732741904400384")</f>
        <v/>
      </c>
      <c r="B1502" s="2" t="n">
        <v>43222.73246527778</v>
      </c>
      <c r="C1502" t="n">
        <v>0</v>
      </c>
      <c r="D1502" t="n">
        <v>17</v>
      </c>
      <c r="E1502" t="s">
        <v>1506</v>
      </c>
      <c r="F1502" t="s"/>
      <c r="G1502" t="s"/>
      <c r="H1502" t="s"/>
      <c r="I1502" t="s"/>
      <c r="J1502" t="n">
        <v>0</v>
      </c>
      <c r="K1502" t="n">
        <v>0.121</v>
      </c>
      <c r="L1502" t="n">
        <v>0.759</v>
      </c>
      <c r="M1502" t="n">
        <v>0.121</v>
      </c>
    </row>
    <row r="1503" spans="1:13">
      <c r="A1503" s="1">
        <f>HYPERLINK("http://www.twitter.com/NathanBLawrence/status/991724184509304832", "991724184509304832")</f>
        <v/>
      </c>
      <c r="B1503" s="2" t="n">
        <v>43222.70885416667</v>
      </c>
      <c r="C1503" t="n">
        <v>8</v>
      </c>
      <c r="D1503" t="n">
        <v>4</v>
      </c>
      <c r="E1503" t="s">
        <v>1507</v>
      </c>
      <c r="F1503" t="s"/>
      <c r="G1503" t="s"/>
      <c r="H1503" t="s"/>
      <c r="I1503" t="s"/>
      <c r="J1503" t="n">
        <v>0.3612</v>
      </c>
      <c r="K1503" t="n">
        <v>0</v>
      </c>
      <c r="L1503" t="n">
        <v>0.951</v>
      </c>
      <c r="M1503" t="n">
        <v>0.049</v>
      </c>
    </row>
    <row r="1504" spans="1:13">
      <c r="A1504" s="1">
        <f>HYPERLINK("http://www.twitter.com/NathanBLawrence/status/991723221773946880", "991723221773946880")</f>
        <v/>
      </c>
      <c r="B1504" s="2" t="n">
        <v>43222.7062037037</v>
      </c>
      <c r="C1504" t="n">
        <v>10</v>
      </c>
      <c r="D1504" t="n">
        <v>4</v>
      </c>
      <c r="E1504" t="s">
        <v>1508</v>
      </c>
      <c r="F1504" t="s"/>
      <c r="G1504" t="s"/>
      <c r="H1504" t="s"/>
      <c r="I1504" t="s"/>
      <c r="J1504" t="n">
        <v>-0.4215</v>
      </c>
      <c r="K1504" t="n">
        <v>0.151</v>
      </c>
      <c r="L1504" t="n">
        <v>0.746</v>
      </c>
      <c r="M1504" t="n">
        <v>0.103</v>
      </c>
    </row>
    <row r="1505" spans="1:13">
      <c r="A1505" s="1">
        <f>HYPERLINK("http://www.twitter.com/NathanBLawrence/status/991720141980422145", "991720141980422145")</f>
        <v/>
      </c>
      <c r="B1505" s="2" t="n">
        <v>43222.69769675926</v>
      </c>
      <c r="C1505" t="n">
        <v>0</v>
      </c>
      <c r="D1505" t="n">
        <v>3</v>
      </c>
      <c r="E1505" t="s">
        <v>1509</v>
      </c>
      <c r="F1505" t="s"/>
      <c r="G1505" t="s"/>
      <c r="H1505" t="s"/>
      <c r="I1505" t="s"/>
      <c r="J1505" t="n">
        <v>0.8264</v>
      </c>
      <c r="K1505" t="n">
        <v>0</v>
      </c>
      <c r="L1505" t="n">
        <v>0.707</v>
      </c>
      <c r="M1505" t="n">
        <v>0.293</v>
      </c>
    </row>
    <row r="1506" spans="1:13">
      <c r="A1506" s="1">
        <f>HYPERLINK("http://www.twitter.com/NathanBLawrence/status/991720086322008066", "991720086322008066")</f>
        <v/>
      </c>
      <c r="B1506" s="2" t="n">
        <v>43222.69754629629</v>
      </c>
      <c r="C1506" t="n">
        <v>0</v>
      </c>
      <c r="D1506" t="n">
        <v>4</v>
      </c>
      <c r="E1506" t="s">
        <v>1510</v>
      </c>
      <c r="F1506" t="s"/>
      <c r="G1506" t="s"/>
      <c r="H1506" t="s"/>
      <c r="I1506" t="s"/>
      <c r="J1506" t="n">
        <v>-0.0772</v>
      </c>
      <c r="K1506" t="n">
        <v>0.106</v>
      </c>
      <c r="L1506" t="n">
        <v>0.798</v>
      </c>
      <c r="M1506" t="n">
        <v>0.095</v>
      </c>
    </row>
    <row r="1507" spans="1:13">
      <c r="A1507" s="1">
        <f>HYPERLINK("http://www.twitter.com/NathanBLawrence/status/991719999948681216", "991719999948681216")</f>
        <v/>
      </c>
      <c r="B1507" s="2" t="n">
        <v>43222.69730324074</v>
      </c>
      <c r="C1507" t="n">
        <v>0</v>
      </c>
      <c r="D1507" t="n">
        <v>7</v>
      </c>
      <c r="E1507" t="s">
        <v>1511</v>
      </c>
      <c r="F1507" t="s"/>
      <c r="G1507" t="s"/>
      <c r="H1507" t="s"/>
      <c r="I1507" t="s"/>
      <c r="J1507" t="n">
        <v>0</v>
      </c>
      <c r="K1507" t="n">
        <v>0</v>
      </c>
      <c r="L1507" t="n">
        <v>1</v>
      </c>
      <c r="M1507" t="n">
        <v>0</v>
      </c>
    </row>
    <row r="1508" spans="1:13">
      <c r="A1508" s="1">
        <f>HYPERLINK("http://www.twitter.com/NathanBLawrence/status/991719925537492992", "991719925537492992")</f>
        <v/>
      </c>
      <c r="B1508" s="2" t="n">
        <v>43222.69710648148</v>
      </c>
      <c r="C1508" t="n">
        <v>1</v>
      </c>
      <c r="D1508" t="n">
        <v>1</v>
      </c>
      <c r="E1508" t="s">
        <v>1512</v>
      </c>
      <c r="F1508" t="s"/>
      <c r="G1508" t="s"/>
      <c r="H1508" t="s"/>
      <c r="I1508" t="s"/>
      <c r="J1508" t="n">
        <v>-0.8270999999999999</v>
      </c>
      <c r="K1508" t="n">
        <v>0.461</v>
      </c>
      <c r="L1508" t="n">
        <v>0.539</v>
      </c>
      <c r="M1508" t="n">
        <v>0</v>
      </c>
    </row>
    <row r="1509" spans="1:13">
      <c r="A1509" s="1">
        <f>HYPERLINK("http://www.twitter.com/NathanBLawrence/status/991719743148130305", "991719743148130305")</f>
        <v/>
      </c>
      <c r="B1509" s="2" t="n">
        <v>43222.69659722222</v>
      </c>
      <c r="C1509" t="n">
        <v>0</v>
      </c>
      <c r="D1509" t="n">
        <v>8</v>
      </c>
      <c r="E1509" t="s">
        <v>1513</v>
      </c>
      <c r="F1509" t="s"/>
      <c r="G1509" t="s"/>
      <c r="H1509" t="s"/>
      <c r="I1509" t="s"/>
      <c r="J1509" t="n">
        <v>-0.8892</v>
      </c>
      <c r="K1509" t="n">
        <v>0.429</v>
      </c>
      <c r="L1509" t="n">
        <v>0.571</v>
      </c>
      <c r="M1509" t="n">
        <v>0</v>
      </c>
    </row>
    <row r="1510" spans="1:13">
      <c r="A1510" s="1">
        <f>HYPERLINK("http://www.twitter.com/NathanBLawrence/status/991719528169164805", "991719528169164805")</f>
        <v/>
      </c>
      <c r="B1510" s="2" t="n">
        <v>43222.69600694445</v>
      </c>
      <c r="C1510" t="n">
        <v>0</v>
      </c>
      <c r="D1510" t="n">
        <v>0</v>
      </c>
      <c r="E1510" t="s">
        <v>1514</v>
      </c>
      <c r="F1510" t="s"/>
      <c r="G1510" t="s"/>
      <c r="H1510" t="s"/>
      <c r="I1510" t="s"/>
      <c r="J1510" t="n">
        <v>0.765</v>
      </c>
      <c r="K1510" t="n">
        <v>0</v>
      </c>
      <c r="L1510" t="n">
        <v>0.708</v>
      </c>
      <c r="M1510" t="n">
        <v>0.292</v>
      </c>
    </row>
    <row r="1511" spans="1:13">
      <c r="A1511" s="1">
        <f>HYPERLINK("http://www.twitter.com/NathanBLawrence/status/991719181665128448", "991719181665128448")</f>
        <v/>
      </c>
      <c r="B1511" s="2" t="n">
        <v>43222.6950462963</v>
      </c>
      <c r="C1511" t="n">
        <v>12</v>
      </c>
      <c r="D1511" t="n">
        <v>8</v>
      </c>
      <c r="E1511" t="s">
        <v>1515</v>
      </c>
      <c r="F1511" t="s"/>
      <c r="G1511" t="s"/>
      <c r="H1511" t="s"/>
      <c r="I1511" t="s"/>
      <c r="J1511" t="n">
        <v>-0.9044</v>
      </c>
      <c r="K1511" t="n">
        <v>0.275</v>
      </c>
      <c r="L1511" t="n">
        <v>0.644</v>
      </c>
      <c r="M1511" t="n">
        <v>0.08</v>
      </c>
    </row>
    <row r="1512" spans="1:13">
      <c r="A1512" s="1">
        <f>HYPERLINK("http://www.twitter.com/NathanBLawrence/status/991717630196187136", "991717630196187136")</f>
        <v/>
      </c>
      <c r="B1512" s="2" t="n">
        <v>43222.69076388889</v>
      </c>
      <c r="C1512" t="n">
        <v>0</v>
      </c>
      <c r="D1512" t="n">
        <v>0</v>
      </c>
      <c r="E1512" t="s">
        <v>1516</v>
      </c>
      <c r="F1512" t="s"/>
      <c r="G1512" t="s"/>
      <c r="H1512" t="s"/>
      <c r="I1512" t="s"/>
      <c r="J1512" t="n">
        <v>0.6867</v>
      </c>
      <c r="K1512" t="n">
        <v>0</v>
      </c>
      <c r="L1512" t="n">
        <v>0.6</v>
      </c>
      <c r="M1512" t="n">
        <v>0.4</v>
      </c>
    </row>
    <row r="1513" spans="1:13">
      <c r="A1513" s="1">
        <f>HYPERLINK("http://www.twitter.com/NathanBLawrence/status/991717571132055552", "991717571132055552")</f>
        <v/>
      </c>
      <c r="B1513" s="2" t="n">
        <v>43222.69060185185</v>
      </c>
      <c r="C1513" t="n">
        <v>0</v>
      </c>
      <c r="D1513" t="n">
        <v>3</v>
      </c>
      <c r="E1513" t="s">
        <v>1517</v>
      </c>
      <c r="F1513" t="s"/>
      <c r="G1513" t="s"/>
      <c r="H1513" t="s"/>
      <c r="I1513" t="s"/>
      <c r="J1513" t="n">
        <v>0.4588</v>
      </c>
      <c r="K1513" t="n">
        <v>0</v>
      </c>
      <c r="L1513" t="n">
        <v>0.85</v>
      </c>
      <c r="M1513" t="n">
        <v>0.15</v>
      </c>
    </row>
    <row r="1514" spans="1:13">
      <c r="A1514" s="1">
        <f>HYPERLINK("http://www.twitter.com/NathanBLawrence/status/991717454673055747", "991717454673055747")</f>
        <v/>
      </c>
      <c r="B1514" s="2" t="n">
        <v>43222.69028935185</v>
      </c>
      <c r="C1514" t="n">
        <v>0</v>
      </c>
      <c r="D1514" t="n">
        <v>7</v>
      </c>
      <c r="E1514" t="s">
        <v>1518</v>
      </c>
      <c r="F1514" t="s"/>
      <c r="G1514" t="s"/>
      <c r="H1514" t="s"/>
      <c r="I1514" t="s"/>
      <c r="J1514" t="n">
        <v>-0.6369</v>
      </c>
      <c r="K1514" t="n">
        <v>0.16</v>
      </c>
      <c r="L1514" t="n">
        <v>0.84</v>
      </c>
      <c r="M1514" t="n">
        <v>0</v>
      </c>
    </row>
    <row r="1515" spans="1:13">
      <c r="A1515" s="1">
        <f>HYPERLINK("http://www.twitter.com/NathanBLawrence/status/991717367926444038", "991717367926444038")</f>
        <v/>
      </c>
      <c r="B1515" s="2" t="n">
        <v>43222.69004629629</v>
      </c>
      <c r="C1515" t="n">
        <v>0</v>
      </c>
      <c r="D1515" t="n">
        <v>11</v>
      </c>
      <c r="E1515" t="s">
        <v>1519</v>
      </c>
      <c r="F1515" t="s"/>
      <c r="G1515" t="s"/>
      <c r="H1515" t="s"/>
      <c r="I1515" t="s"/>
      <c r="J1515" t="n">
        <v>0</v>
      </c>
      <c r="K1515" t="n">
        <v>0</v>
      </c>
      <c r="L1515" t="n">
        <v>1</v>
      </c>
      <c r="M1515" t="n">
        <v>0</v>
      </c>
    </row>
    <row r="1516" spans="1:13">
      <c r="A1516" s="1">
        <f>HYPERLINK("http://www.twitter.com/NathanBLawrence/status/991717353955250181", "991717353955250181")</f>
        <v/>
      </c>
      <c r="B1516" s="2" t="n">
        <v>43222.69001157407</v>
      </c>
      <c r="C1516" t="n">
        <v>0</v>
      </c>
      <c r="D1516" t="n">
        <v>16</v>
      </c>
      <c r="E1516" t="s">
        <v>1519</v>
      </c>
      <c r="F1516" t="s"/>
      <c r="G1516" t="s"/>
      <c r="H1516" t="s"/>
      <c r="I1516" t="s"/>
      <c r="J1516" t="n">
        <v>0</v>
      </c>
      <c r="K1516" t="n">
        <v>0</v>
      </c>
      <c r="L1516" t="n">
        <v>1</v>
      </c>
      <c r="M1516" t="n">
        <v>0</v>
      </c>
    </row>
    <row r="1517" spans="1:13">
      <c r="A1517" s="1">
        <f>HYPERLINK("http://www.twitter.com/NathanBLawrence/status/991717341405876224", "991717341405876224")</f>
        <v/>
      </c>
      <c r="B1517" s="2" t="n">
        <v>43222.68997685185</v>
      </c>
      <c r="C1517" t="n">
        <v>0</v>
      </c>
      <c r="D1517" t="n">
        <v>12</v>
      </c>
      <c r="E1517" t="s">
        <v>1519</v>
      </c>
      <c r="F1517" t="s"/>
      <c r="G1517" t="s"/>
      <c r="H1517" t="s"/>
      <c r="I1517" t="s"/>
      <c r="J1517" t="n">
        <v>0</v>
      </c>
      <c r="K1517" t="n">
        <v>0</v>
      </c>
      <c r="L1517" t="n">
        <v>1</v>
      </c>
      <c r="M1517" t="n">
        <v>0</v>
      </c>
    </row>
    <row r="1518" spans="1:13">
      <c r="A1518" s="1">
        <f>HYPERLINK("http://www.twitter.com/NathanBLawrence/status/991717330416791552", "991717330416791552")</f>
        <v/>
      </c>
      <c r="B1518" s="2" t="n">
        <v>43222.68994212963</v>
      </c>
      <c r="C1518" t="n">
        <v>0</v>
      </c>
      <c r="D1518" t="n">
        <v>14</v>
      </c>
      <c r="E1518" t="s">
        <v>1520</v>
      </c>
      <c r="F1518">
        <f>HYPERLINK("http://pbs.twimg.com/media/DcM6E7fV4AAHmBA.jpg", "http://pbs.twimg.com/media/DcM6E7fV4AAHmBA.jpg")</f>
        <v/>
      </c>
      <c r="G1518">
        <f>HYPERLINK("http://pbs.twimg.com/media/DcM6E7hVAAA_Pvj.jpg", "http://pbs.twimg.com/media/DcM6E7hVAAA_Pvj.jpg")</f>
        <v/>
      </c>
      <c r="H1518">
        <f>HYPERLINK("http://pbs.twimg.com/media/DcM6E7gU0AASsJ3.jpg", "http://pbs.twimg.com/media/DcM6E7gU0AASsJ3.jpg")</f>
        <v/>
      </c>
      <c r="I1518">
        <f>HYPERLINK("http://pbs.twimg.com/media/DcM6E7iVMAAj9vu.jpg", "http://pbs.twimg.com/media/DcM6E7iVMAAj9vu.jpg")</f>
        <v/>
      </c>
      <c r="J1518" t="n">
        <v>-0.8038</v>
      </c>
      <c r="K1518" t="n">
        <v>0.256</v>
      </c>
      <c r="L1518" t="n">
        <v>0.744</v>
      </c>
      <c r="M1518" t="n">
        <v>0</v>
      </c>
    </row>
    <row r="1519" spans="1:13">
      <c r="A1519" s="1">
        <f>HYPERLINK("http://www.twitter.com/NathanBLawrence/status/991717312679079938", "991717312679079938")</f>
        <v/>
      </c>
      <c r="B1519" s="2" t="n">
        <v>43222.68989583333</v>
      </c>
      <c r="C1519" t="n">
        <v>0</v>
      </c>
      <c r="D1519" t="n">
        <v>10</v>
      </c>
      <c r="E1519" t="s">
        <v>1521</v>
      </c>
      <c r="F1519" t="s"/>
      <c r="G1519" t="s"/>
      <c r="H1519" t="s"/>
      <c r="I1519" t="s"/>
      <c r="J1519" t="n">
        <v>0</v>
      </c>
      <c r="K1519" t="n">
        <v>0</v>
      </c>
      <c r="L1519" t="n">
        <v>1</v>
      </c>
      <c r="M1519" t="n">
        <v>0</v>
      </c>
    </row>
    <row r="1520" spans="1:13">
      <c r="A1520" s="1">
        <f>HYPERLINK("http://www.twitter.com/NathanBLawrence/status/991717294026960896", "991717294026960896")</f>
        <v/>
      </c>
      <c r="B1520" s="2" t="n">
        <v>43222.68983796296</v>
      </c>
      <c r="C1520" t="n">
        <v>0</v>
      </c>
      <c r="D1520" t="n">
        <v>14</v>
      </c>
      <c r="E1520" t="s">
        <v>1522</v>
      </c>
      <c r="F1520" t="s"/>
      <c r="G1520" t="s"/>
      <c r="H1520" t="s"/>
      <c r="I1520" t="s"/>
      <c r="J1520" t="n">
        <v>0</v>
      </c>
      <c r="K1520" t="n">
        <v>0</v>
      </c>
      <c r="L1520" t="n">
        <v>1</v>
      </c>
      <c r="M1520" t="n">
        <v>0</v>
      </c>
    </row>
    <row r="1521" spans="1:13">
      <c r="A1521" s="1">
        <f>HYPERLINK("http://www.twitter.com/NathanBLawrence/status/991717268752162816", "991717268752162816")</f>
        <v/>
      </c>
      <c r="B1521" s="2" t="n">
        <v>43222.68976851852</v>
      </c>
      <c r="C1521" t="n">
        <v>0</v>
      </c>
      <c r="D1521" t="n">
        <v>7</v>
      </c>
      <c r="E1521" t="s">
        <v>1523</v>
      </c>
      <c r="F1521" t="s"/>
      <c r="G1521" t="s"/>
      <c r="H1521" t="s"/>
      <c r="I1521" t="s"/>
      <c r="J1521" t="n">
        <v>0.1531</v>
      </c>
      <c r="K1521" t="n">
        <v>0</v>
      </c>
      <c r="L1521" t="n">
        <v>0.926</v>
      </c>
      <c r="M1521" t="n">
        <v>0.074</v>
      </c>
    </row>
    <row r="1522" spans="1:13">
      <c r="A1522" s="1">
        <f>HYPERLINK("http://www.twitter.com/NathanBLawrence/status/991717254709547008", "991717254709547008")</f>
        <v/>
      </c>
      <c r="B1522" s="2" t="n">
        <v>43222.68973379629</v>
      </c>
      <c r="C1522" t="n">
        <v>0</v>
      </c>
      <c r="D1522" t="n">
        <v>6</v>
      </c>
      <c r="E1522" t="s">
        <v>1524</v>
      </c>
      <c r="F1522" t="s"/>
      <c r="G1522" t="s"/>
      <c r="H1522" t="s"/>
      <c r="I1522" t="s"/>
      <c r="J1522" t="n">
        <v>-0.4939</v>
      </c>
      <c r="K1522" t="n">
        <v>0.13</v>
      </c>
      <c r="L1522" t="n">
        <v>0.827</v>
      </c>
      <c r="M1522" t="n">
        <v>0.043</v>
      </c>
    </row>
    <row r="1523" spans="1:13">
      <c r="A1523" s="1">
        <f>HYPERLINK("http://www.twitter.com/NathanBLawrence/status/991717229455650817", "991717229455650817")</f>
        <v/>
      </c>
      <c r="B1523" s="2" t="n">
        <v>43222.68966435185</v>
      </c>
      <c r="C1523" t="n">
        <v>0</v>
      </c>
      <c r="D1523" t="n">
        <v>5</v>
      </c>
      <c r="E1523" t="s">
        <v>1525</v>
      </c>
      <c r="F1523" t="s"/>
      <c r="G1523" t="s"/>
      <c r="H1523" t="s"/>
      <c r="I1523" t="s"/>
      <c r="J1523" t="n">
        <v>0.2263</v>
      </c>
      <c r="K1523" t="n">
        <v>0</v>
      </c>
      <c r="L1523" t="n">
        <v>0.905</v>
      </c>
      <c r="M1523" t="n">
        <v>0.095</v>
      </c>
    </row>
    <row r="1524" spans="1:13">
      <c r="A1524" s="1">
        <f>HYPERLINK("http://www.twitter.com/NathanBLawrence/status/991717215744479232", "991717215744479232")</f>
        <v/>
      </c>
      <c r="B1524" s="2" t="n">
        <v>43222.68962962963</v>
      </c>
      <c r="C1524" t="n">
        <v>0</v>
      </c>
      <c r="D1524" t="n">
        <v>5</v>
      </c>
      <c r="E1524" t="s">
        <v>1526</v>
      </c>
      <c r="F1524" t="s"/>
      <c r="G1524" t="s"/>
      <c r="H1524" t="s"/>
      <c r="I1524" t="s"/>
      <c r="J1524" t="n">
        <v>0.25</v>
      </c>
      <c r="K1524" t="n">
        <v>0</v>
      </c>
      <c r="L1524" t="n">
        <v>0.917</v>
      </c>
      <c r="M1524" t="n">
        <v>0.083</v>
      </c>
    </row>
    <row r="1525" spans="1:13">
      <c r="A1525" s="1">
        <f>HYPERLINK("http://www.twitter.com/NathanBLawrence/status/991717204260458497", "991717204260458497")</f>
        <v/>
      </c>
      <c r="B1525" s="2" t="n">
        <v>43222.68959490741</v>
      </c>
      <c r="C1525" t="n">
        <v>0</v>
      </c>
      <c r="D1525" t="n">
        <v>4</v>
      </c>
      <c r="E1525" t="s">
        <v>1527</v>
      </c>
      <c r="F1525" t="s"/>
      <c r="G1525" t="s"/>
      <c r="H1525" t="s"/>
      <c r="I1525" t="s"/>
      <c r="J1525" t="n">
        <v>-0.296</v>
      </c>
      <c r="K1525" t="n">
        <v>0.099</v>
      </c>
      <c r="L1525" t="n">
        <v>0.901</v>
      </c>
      <c r="M1525" t="n">
        <v>0</v>
      </c>
    </row>
    <row r="1526" spans="1:13">
      <c r="A1526" s="1">
        <f>HYPERLINK("http://www.twitter.com/NathanBLawrence/status/991717189093937152", "991717189093937152")</f>
        <v/>
      </c>
      <c r="B1526" s="2" t="n">
        <v>43222.68954861111</v>
      </c>
      <c r="C1526" t="n">
        <v>0</v>
      </c>
      <c r="D1526" t="n">
        <v>6</v>
      </c>
      <c r="E1526" t="s">
        <v>1528</v>
      </c>
      <c r="F1526" t="s"/>
      <c r="G1526" t="s"/>
      <c r="H1526" t="s"/>
      <c r="I1526" t="s"/>
      <c r="J1526" t="n">
        <v>0.5719</v>
      </c>
      <c r="K1526" t="n">
        <v>0</v>
      </c>
      <c r="L1526" t="n">
        <v>0.821</v>
      </c>
      <c r="M1526" t="n">
        <v>0.179</v>
      </c>
    </row>
    <row r="1527" spans="1:13">
      <c r="A1527" s="1">
        <f>HYPERLINK("http://www.twitter.com/NathanBLawrence/status/991717146219642880", "991717146219642880")</f>
        <v/>
      </c>
      <c r="B1527" s="2" t="n">
        <v>43222.68943287037</v>
      </c>
      <c r="C1527" t="n">
        <v>0</v>
      </c>
      <c r="D1527" t="n">
        <v>0</v>
      </c>
      <c r="E1527" t="s">
        <v>1529</v>
      </c>
      <c r="F1527" t="s"/>
      <c r="G1527" t="s"/>
      <c r="H1527" t="s"/>
      <c r="I1527" t="s"/>
      <c r="J1527" t="n">
        <v>0</v>
      </c>
      <c r="K1527" t="n">
        <v>0</v>
      </c>
      <c r="L1527" t="n">
        <v>1</v>
      </c>
      <c r="M1527" t="n">
        <v>0</v>
      </c>
    </row>
    <row r="1528" spans="1:13">
      <c r="A1528" s="1">
        <f>HYPERLINK("http://www.twitter.com/NathanBLawrence/status/991717086442459137", "991717086442459137")</f>
        <v/>
      </c>
      <c r="B1528" s="2" t="n">
        <v>43222.68927083333</v>
      </c>
      <c r="C1528" t="n">
        <v>0</v>
      </c>
      <c r="D1528" t="n">
        <v>6</v>
      </c>
      <c r="E1528" t="s">
        <v>1530</v>
      </c>
      <c r="F1528" t="s"/>
      <c r="G1528" t="s"/>
      <c r="H1528" t="s"/>
      <c r="I1528" t="s"/>
      <c r="J1528" t="n">
        <v>0</v>
      </c>
      <c r="K1528" t="n">
        <v>0</v>
      </c>
      <c r="L1528" t="n">
        <v>1</v>
      </c>
      <c r="M1528" t="n">
        <v>0</v>
      </c>
    </row>
    <row r="1529" spans="1:13">
      <c r="A1529" s="1">
        <f>HYPERLINK("http://www.twitter.com/NathanBLawrence/status/991717074501238785", "991717074501238785")</f>
        <v/>
      </c>
      <c r="B1529" s="2" t="n">
        <v>43222.68923611111</v>
      </c>
      <c r="C1529" t="n">
        <v>0</v>
      </c>
      <c r="D1529" t="n">
        <v>11</v>
      </c>
      <c r="E1529" t="s">
        <v>1531</v>
      </c>
      <c r="F1529">
        <f>HYPERLINK("http://pbs.twimg.com/media/DcM_2T4X0AUgIt4.jpg", "http://pbs.twimg.com/media/DcM_2T4X0AUgIt4.jpg")</f>
        <v/>
      </c>
      <c r="G1529" t="s"/>
      <c r="H1529" t="s"/>
      <c r="I1529" t="s"/>
      <c r="J1529" t="n">
        <v>0.3182</v>
      </c>
      <c r="K1529" t="n">
        <v>0</v>
      </c>
      <c r="L1529" t="n">
        <v>0.887</v>
      </c>
      <c r="M1529" t="n">
        <v>0.113</v>
      </c>
    </row>
    <row r="1530" spans="1:13">
      <c r="A1530" s="1">
        <f>HYPERLINK("http://www.twitter.com/NathanBLawrence/status/991717044054843392", "991717044054843392")</f>
        <v/>
      </c>
      <c r="B1530" s="2" t="n">
        <v>43222.68915509259</v>
      </c>
      <c r="C1530" t="n">
        <v>0</v>
      </c>
      <c r="D1530" t="n">
        <v>6</v>
      </c>
      <c r="E1530" t="s">
        <v>1532</v>
      </c>
      <c r="F1530" t="s"/>
      <c r="G1530" t="s"/>
      <c r="H1530" t="s"/>
      <c r="I1530" t="s"/>
      <c r="J1530" t="n">
        <v>0</v>
      </c>
      <c r="K1530" t="n">
        <v>0</v>
      </c>
      <c r="L1530" t="n">
        <v>1</v>
      </c>
      <c r="M1530" t="n">
        <v>0</v>
      </c>
    </row>
    <row r="1531" spans="1:13">
      <c r="A1531" s="1">
        <f>HYPERLINK("http://www.twitter.com/NathanBLawrence/status/991717013386153984", "991717013386153984")</f>
        <v/>
      </c>
      <c r="B1531" s="2" t="n">
        <v>43222.6890625</v>
      </c>
      <c r="C1531" t="n">
        <v>0</v>
      </c>
      <c r="D1531" t="n">
        <v>11</v>
      </c>
      <c r="E1531" t="s">
        <v>1533</v>
      </c>
      <c r="F1531">
        <f>HYPERLINK("http://pbs.twimg.com/media/DcM81TZW4A0X0eZ.jpg", "http://pbs.twimg.com/media/DcM81TZW4A0X0eZ.jpg")</f>
        <v/>
      </c>
      <c r="G1531">
        <f>HYPERLINK("http://pbs.twimg.com/media/DcM82eGX4AA8JZD.jpg", "http://pbs.twimg.com/media/DcM82eGX4AA8JZD.jpg")</f>
        <v/>
      </c>
      <c r="H1531" t="s"/>
      <c r="I1531" t="s"/>
      <c r="J1531" t="n">
        <v>-0.3818</v>
      </c>
      <c r="K1531" t="n">
        <v>0.178</v>
      </c>
      <c r="L1531" t="n">
        <v>0.822</v>
      </c>
      <c r="M1531" t="n">
        <v>0</v>
      </c>
    </row>
    <row r="1532" spans="1:13">
      <c r="A1532" s="1">
        <f>HYPERLINK("http://www.twitter.com/NathanBLawrence/status/991716985426898945", "991716985426898945")</f>
        <v/>
      </c>
      <c r="B1532" s="2" t="n">
        <v>43222.68899305556</v>
      </c>
      <c r="C1532" t="n">
        <v>0</v>
      </c>
      <c r="D1532" t="n">
        <v>12</v>
      </c>
      <c r="E1532" t="s">
        <v>1534</v>
      </c>
      <c r="F1532">
        <f>HYPERLINK("http://pbs.twimg.com/media/DcNE05wVMAEwScK.jpg", "http://pbs.twimg.com/media/DcNE05wVMAEwScK.jpg")</f>
        <v/>
      </c>
      <c r="G1532" t="s"/>
      <c r="H1532" t="s"/>
      <c r="I1532" t="s"/>
      <c r="J1532" t="n">
        <v>0</v>
      </c>
      <c r="K1532" t="n">
        <v>0</v>
      </c>
      <c r="L1532" t="n">
        <v>1</v>
      </c>
      <c r="M1532" t="n">
        <v>0</v>
      </c>
    </row>
    <row r="1533" spans="1:13">
      <c r="A1533" s="1">
        <f>HYPERLINK("http://www.twitter.com/NathanBLawrence/status/991661828659908608", "991661828659908608")</f>
        <v/>
      </c>
      <c r="B1533" s="2" t="n">
        <v>43222.53678240741</v>
      </c>
      <c r="C1533" t="n">
        <v>0</v>
      </c>
      <c r="D1533" t="n">
        <v>3</v>
      </c>
      <c r="E1533" t="s">
        <v>1535</v>
      </c>
      <c r="F1533" t="s"/>
      <c r="G1533" t="s"/>
      <c r="H1533" t="s"/>
      <c r="I1533" t="s"/>
      <c r="J1533" t="n">
        <v>0.4449</v>
      </c>
      <c r="K1533" t="n">
        <v>0</v>
      </c>
      <c r="L1533" t="n">
        <v>0.887</v>
      </c>
      <c r="M1533" t="n">
        <v>0.113</v>
      </c>
    </row>
    <row r="1534" spans="1:13">
      <c r="A1534" s="1">
        <f>HYPERLINK("http://www.twitter.com/NathanBLawrence/status/991661808028176384", "991661808028176384")</f>
        <v/>
      </c>
      <c r="B1534" s="2" t="n">
        <v>43222.53672453704</v>
      </c>
      <c r="C1534" t="n">
        <v>0</v>
      </c>
      <c r="D1534" t="n">
        <v>5</v>
      </c>
      <c r="E1534" t="s">
        <v>1536</v>
      </c>
      <c r="F1534" t="s"/>
      <c r="G1534" t="s"/>
      <c r="H1534" t="s"/>
      <c r="I1534" t="s"/>
      <c r="J1534" t="n">
        <v>-0.2732</v>
      </c>
      <c r="K1534" t="n">
        <v>0.13</v>
      </c>
      <c r="L1534" t="n">
        <v>0.87</v>
      </c>
      <c r="M1534" t="n">
        <v>0</v>
      </c>
    </row>
    <row r="1535" spans="1:13">
      <c r="A1535" s="1">
        <f>HYPERLINK("http://www.twitter.com/NathanBLawrence/status/991661698565238784", "991661698565238784")</f>
        <v/>
      </c>
      <c r="B1535" s="2" t="n">
        <v>43222.53642361111</v>
      </c>
      <c r="C1535" t="n">
        <v>0</v>
      </c>
      <c r="D1535" t="n">
        <v>3</v>
      </c>
      <c r="E1535" t="s">
        <v>1537</v>
      </c>
      <c r="F1535" t="s"/>
      <c r="G1535" t="s"/>
      <c r="H1535" t="s"/>
      <c r="I1535" t="s"/>
      <c r="J1535" t="n">
        <v>0</v>
      </c>
      <c r="K1535" t="n">
        <v>0</v>
      </c>
      <c r="L1535" t="n">
        <v>1</v>
      </c>
      <c r="M1535" t="n">
        <v>0</v>
      </c>
    </row>
    <row r="1536" spans="1:13">
      <c r="A1536" s="1">
        <f>HYPERLINK("http://www.twitter.com/NathanBLawrence/status/991661398550818816", "991661398550818816")</f>
        <v/>
      </c>
      <c r="B1536" s="2" t="n">
        <v>43222.53560185185</v>
      </c>
      <c r="C1536" t="n">
        <v>0</v>
      </c>
      <c r="D1536" t="n">
        <v>10</v>
      </c>
      <c r="E1536" t="s">
        <v>1538</v>
      </c>
      <c r="F1536" t="s"/>
      <c r="G1536" t="s"/>
      <c r="H1536" t="s"/>
      <c r="I1536" t="s"/>
      <c r="J1536" t="n">
        <v>0</v>
      </c>
      <c r="K1536" t="n">
        <v>0</v>
      </c>
      <c r="L1536" t="n">
        <v>1</v>
      </c>
      <c r="M1536" t="n">
        <v>0</v>
      </c>
    </row>
    <row r="1537" spans="1:13">
      <c r="A1537" s="1">
        <f>HYPERLINK("http://www.twitter.com/NathanBLawrence/status/991661379835842562", "991661379835842562")</f>
        <v/>
      </c>
      <c r="B1537" s="2" t="n">
        <v>43222.53554398148</v>
      </c>
      <c r="C1537" t="n">
        <v>0</v>
      </c>
      <c r="D1537" t="n">
        <v>3</v>
      </c>
      <c r="E1537" t="s">
        <v>1539</v>
      </c>
      <c r="F1537" t="s"/>
      <c r="G1537" t="s"/>
      <c r="H1537" t="s"/>
      <c r="I1537" t="s"/>
      <c r="J1537" t="n">
        <v>0.5574</v>
      </c>
      <c r="K1537" t="n">
        <v>0</v>
      </c>
      <c r="L1537" t="n">
        <v>0.805</v>
      </c>
      <c r="M1537" t="n">
        <v>0.195</v>
      </c>
    </row>
    <row r="1538" spans="1:13">
      <c r="A1538" s="1">
        <f>HYPERLINK("http://www.twitter.com/NathanBLawrence/status/991661362555301888", "991661362555301888")</f>
        <v/>
      </c>
      <c r="B1538" s="2" t="n">
        <v>43222.53549768519</v>
      </c>
      <c r="C1538" t="n">
        <v>0</v>
      </c>
      <c r="D1538" t="n">
        <v>10</v>
      </c>
      <c r="E1538" t="s">
        <v>1540</v>
      </c>
      <c r="F1538">
        <f>HYPERLINK("http://pbs.twimg.com/media/DcMAnIGU0AAGaLM.jpg", "http://pbs.twimg.com/media/DcMAnIGU0AAGaLM.jpg")</f>
        <v/>
      </c>
      <c r="G1538" t="s"/>
      <c r="H1538" t="s"/>
      <c r="I1538" t="s"/>
      <c r="J1538" t="n">
        <v>0.5106000000000001</v>
      </c>
      <c r="K1538" t="n">
        <v>0</v>
      </c>
      <c r="L1538" t="n">
        <v>0.845</v>
      </c>
      <c r="M1538" t="n">
        <v>0.155</v>
      </c>
    </row>
    <row r="1539" spans="1:13">
      <c r="A1539" s="1">
        <f>HYPERLINK("http://www.twitter.com/NathanBLawrence/status/991661327545524224", "991661327545524224")</f>
        <v/>
      </c>
      <c r="B1539" s="2" t="n">
        <v>43222.5354050926</v>
      </c>
      <c r="C1539" t="n">
        <v>0</v>
      </c>
      <c r="D1539" t="n">
        <v>3</v>
      </c>
      <c r="E1539" t="s">
        <v>1541</v>
      </c>
      <c r="F1539" t="s"/>
      <c r="G1539" t="s"/>
      <c r="H1539" t="s"/>
      <c r="I1539" t="s"/>
      <c r="J1539" t="n">
        <v>0</v>
      </c>
      <c r="K1539" t="n">
        <v>0</v>
      </c>
      <c r="L1539" t="n">
        <v>1</v>
      </c>
      <c r="M1539" t="n">
        <v>0</v>
      </c>
    </row>
    <row r="1540" spans="1:13">
      <c r="A1540" s="1">
        <f>HYPERLINK("http://www.twitter.com/NathanBLawrence/status/991661281458483200", "991661281458483200")</f>
        <v/>
      </c>
      <c r="B1540" s="2" t="n">
        <v>43222.53527777778</v>
      </c>
      <c r="C1540" t="n">
        <v>0</v>
      </c>
      <c r="D1540" t="n">
        <v>6</v>
      </c>
      <c r="E1540" t="s">
        <v>1542</v>
      </c>
      <c r="F1540">
        <f>HYPERLINK("http://pbs.twimg.com/media/DcMLFl3V0AE1yFb.jpg", "http://pbs.twimg.com/media/DcMLFl3V0AE1yFb.jpg")</f>
        <v/>
      </c>
      <c r="G1540" t="s"/>
      <c r="H1540" t="s"/>
      <c r="I1540" t="s"/>
      <c r="J1540" t="n">
        <v>-0.6124000000000001</v>
      </c>
      <c r="K1540" t="n">
        <v>0.268</v>
      </c>
      <c r="L1540" t="n">
        <v>0.643</v>
      </c>
      <c r="M1540" t="n">
        <v>0.089</v>
      </c>
    </row>
    <row r="1541" spans="1:13">
      <c r="A1541" s="1">
        <f>HYPERLINK("http://www.twitter.com/NathanBLawrence/status/991661254140989441", "991661254140989441")</f>
        <v/>
      </c>
      <c r="B1541" s="2" t="n">
        <v>43222.53519675926</v>
      </c>
      <c r="C1541" t="n">
        <v>0</v>
      </c>
      <c r="D1541" t="n">
        <v>4</v>
      </c>
      <c r="E1541" t="s">
        <v>1543</v>
      </c>
      <c r="F1541" t="s"/>
      <c r="G1541" t="s"/>
      <c r="H1541" t="s"/>
      <c r="I1541" t="s"/>
      <c r="J1541" t="n">
        <v>-0.4404</v>
      </c>
      <c r="K1541" t="n">
        <v>0.132</v>
      </c>
      <c r="L1541" t="n">
        <v>0.868</v>
      </c>
      <c r="M1541" t="n">
        <v>0</v>
      </c>
    </row>
    <row r="1542" spans="1:13">
      <c r="A1542" s="1">
        <f>HYPERLINK("http://www.twitter.com/NathanBLawrence/status/991661236663308289", "991661236663308289")</f>
        <v/>
      </c>
      <c r="B1542" s="2" t="n">
        <v>43222.53515046297</v>
      </c>
      <c r="C1542" t="n">
        <v>0</v>
      </c>
      <c r="D1542" t="n">
        <v>9</v>
      </c>
      <c r="E1542" t="s">
        <v>1544</v>
      </c>
      <c r="F1542" t="s"/>
      <c r="G1542" t="s"/>
      <c r="H1542" t="s"/>
      <c r="I1542" t="s"/>
      <c r="J1542" t="n">
        <v>-0.4767</v>
      </c>
      <c r="K1542" t="n">
        <v>0.129</v>
      </c>
      <c r="L1542" t="n">
        <v>0.871</v>
      </c>
      <c r="M1542" t="n">
        <v>0</v>
      </c>
    </row>
    <row r="1543" spans="1:13">
      <c r="A1543" s="1">
        <f>HYPERLINK("http://www.twitter.com/NathanBLawrence/status/991661198222520320", "991661198222520320")</f>
        <v/>
      </c>
      <c r="B1543" s="2" t="n">
        <v>43222.5350462963</v>
      </c>
      <c r="C1543" t="n">
        <v>0</v>
      </c>
      <c r="D1543" t="n">
        <v>7</v>
      </c>
      <c r="E1543" t="s">
        <v>1545</v>
      </c>
      <c r="F1543" t="s"/>
      <c r="G1543" t="s"/>
      <c r="H1543" t="s"/>
      <c r="I1543" t="s"/>
      <c r="J1543" t="n">
        <v>0.875</v>
      </c>
      <c r="K1543" t="n">
        <v>0</v>
      </c>
      <c r="L1543" t="n">
        <v>0.656</v>
      </c>
      <c r="M1543" t="n">
        <v>0.344</v>
      </c>
    </row>
    <row r="1544" spans="1:13">
      <c r="A1544" s="1">
        <f>HYPERLINK("http://www.twitter.com/NathanBLawrence/status/991661179587133440", "991661179587133440")</f>
        <v/>
      </c>
      <c r="B1544" s="2" t="n">
        <v>43222.535</v>
      </c>
      <c r="C1544" t="n">
        <v>0</v>
      </c>
      <c r="D1544" t="n">
        <v>7</v>
      </c>
      <c r="E1544" t="s">
        <v>1546</v>
      </c>
      <c r="F1544" t="s"/>
      <c r="G1544" t="s"/>
      <c r="H1544" t="s"/>
      <c r="I1544" t="s"/>
      <c r="J1544" t="n">
        <v>0.546</v>
      </c>
      <c r="K1544" t="n">
        <v>0.08500000000000001</v>
      </c>
      <c r="L1544" t="n">
        <v>0.6840000000000001</v>
      </c>
      <c r="M1544" t="n">
        <v>0.232</v>
      </c>
    </row>
    <row r="1545" spans="1:13">
      <c r="A1545" s="1">
        <f>HYPERLINK("http://www.twitter.com/NathanBLawrence/status/991661116165099521", "991661116165099521")</f>
        <v/>
      </c>
      <c r="B1545" s="2" t="n">
        <v>43222.53481481481</v>
      </c>
      <c r="C1545" t="n">
        <v>0</v>
      </c>
      <c r="D1545" t="n">
        <v>3</v>
      </c>
      <c r="E1545" t="s">
        <v>1547</v>
      </c>
      <c r="F1545" t="s"/>
      <c r="G1545" t="s"/>
      <c r="H1545" t="s"/>
      <c r="I1545" t="s"/>
      <c r="J1545" t="n">
        <v>0</v>
      </c>
      <c r="K1545" t="n">
        <v>0</v>
      </c>
      <c r="L1545" t="n">
        <v>1</v>
      </c>
      <c r="M1545" t="n">
        <v>0</v>
      </c>
    </row>
    <row r="1546" spans="1:13">
      <c r="A1546" s="1">
        <f>HYPERLINK("http://www.twitter.com/NathanBLawrence/status/991650955690151936", "991650955690151936")</f>
        <v/>
      </c>
      <c r="B1546" s="2" t="n">
        <v>43222.50678240741</v>
      </c>
      <c r="C1546" t="n">
        <v>0</v>
      </c>
      <c r="D1546" t="n">
        <v>221</v>
      </c>
      <c r="E1546" t="s">
        <v>1548</v>
      </c>
      <c r="F1546" t="s"/>
      <c r="G1546" t="s"/>
      <c r="H1546" t="s"/>
      <c r="I1546" t="s"/>
      <c r="J1546" t="n">
        <v>-0.7003</v>
      </c>
      <c r="K1546" t="n">
        <v>0.244</v>
      </c>
      <c r="L1546" t="n">
        <v>0.756</v>
      </c>
      <c r="M1546" t="n">
        <v>0</v>
      </c>
    </row>
    <row r="1547" spans="1:13">
      <c r="A1547" s="1">
        <f>HYPERLINK("http://www.twitter.com/NathanBLawrence/status/991548283255427072", "991548283255427072")</f>
        <v/>
      </c>
      <c r="B1547" s="2" t="n">
        <v>43222.22346064815</v>
      </c>
      <c r="C1547" t="n">
        <v>0</v>
      </c>
      <c r="D1547" t="n">
        <v>40</v>
      </c>
      <c r="E1547" t="s">
        <v>1549</v>
      </c>
      <c r="F1547">
        <f>HYPERLINK("http://pbs.twimg.com/media/DcEP1EyVAAAAJtl.jpg", "http://pbs.twimg.com/media/DcEP1EyVAAAAJtl.jpg")</f>
        <v/>
      </c>
      <c r="G1547" t="s"/>
      <c r="H1547" t="s"/>
      <c r="I1547" t="s"/>
      <c r="J1547" t="n">
        <v>0</v>
      </c>
      <c r="K1547" t="n">
        <v>0</v>
      </c>
      <c r="L1547" t="n">
        <v>1</v>
      </c>
      <c r="M1547" t="n">
        <v>0</v>
      </c>
    </row>
    <row r="1548" spans="1:13">
      <c r="A1548" s="1">
        <f>HYPERLINK("http://www.twitter.com/NathanBLawrence/status/991548175499583489", "991548175499583489")</f>
        <v/>
      </c>
      <c r="B1548" s="2" t="n">
        <v>43222.22315972222</v>
      </c>
      <c r="C1548" t="n">
        <v>0</v>
      </c>
      <c r="D1548" t="n">
        <v>5</v>
      </c>
      <c r="E1548" t="s">
        <v>1550</v>
      </c>
      <c r="F1548" t="s"/>
      <c r="G1548" t="s"/>
      <c r="H1548" t="s"/>
      <c r="I1548" t="s"/>
      <c r="J1548" t="n">
        <v>-0.2263</v>
      </c>
      <c r="K1548" t="n">
        <v>0.083</v>
      </c>
      <c r="L1548" t="n">
        <v>0.917</v>
      </c>
      <c r="M1548" t="n">
        <v>0</v>
      </c>
    </row>
    <row r="1549" spans="1:13">
      <c r="A1549" s="1">
        <f>HYPERLINK("http://www.twitter.com/NathanBLawrence/status/991548150761639936", "991548150761639936")</f>
        <v/>
      </c>
      <c r="B1549" s="2" t="n">
        <v>43222.22309027778</v>
      </c>
      <c r="C1549" t="n">
        <v>0</v>
      </c>
      <c r="D1549" t="n">
        <v>4</v>
      </c>
      <c r="E1549" t="s">
        <v>1551</v>
      </c>
      <c r="F1549" t="s"/>
      <c r="G1549" t="s"/>
      <c r="H1549" t="s"/>
      <c r="I1549" t="s"/>
      <c r="J1549" t="n">
        <v>0.5106000000000001</v>
      </c>
      <c r="K1549" t="n">
        <v>0</v>
      </c>
      <c r="L1549" t="n">
        <v>0.864</v>
      </c>
      <c r="M1549" t="n">
        <v>0.136</v>
      </c>
    </row>
    <row r="1550" spans="1:13">
      <c r="A1550" s="1">
        <f>HYPERLINK("http://www.twitter.com/NathanBLawrence/status/991548097389056000", "991548097389056000")</f>
        <v/>
      </c>
      <c r="B1550" s="2" t="n">
        <v>43222.22295138889</v>
      </c>
      <c r="C1550" t="n">
        <v>0</v>
      </c>
      <c r="D1550" t="n">
        <v>3</v>
      </c>
      <c r="E1550" t="s">
        <v>1552</v>
      </c>
      <c r="F1550">
        <f>HYPERLINK("http://pbs.twimg.com/media/DcJYgrKXcAEL8yB.jpg", "http://pbs.twimg.com/media/DcJYgrKXcAEL8yB.jpg")</f>
        <v/>
      </c>
      <c r="G1550" t="s"/>
      <c r="H1550" t="s"/>
      <c r="I1550" t="s"/>
      <c r="J1550" t="n">
        <v>0</v>
      </c>
      <c r="K1550" t="n">
        <v>0</v>
      </c>
      <c r="L1550" t="n">
        <v>1</v>
      </c>
      <c r="M1550" t="n">
        <v>0</v>
      </c>
    </row>
    <row r="1551" spans="1:13">
      <c r="A1551" s="1">
        <f>HYPERLINK("http://www.twitter.com/NathanBLawrence/status/991548003340226561", "991548003340226561")</f>
        <v/>
      </c>
      <c r="B1551" s="2" t="n">
        <v>43222.22268518519</v>
      </c>
      <c r="C1551" t="n">
        <v>7</v>
      </c>
      <c r="D1551" t="n">
        <v>5</v>
      </c>
      <c r="E1551" t="s">
        <v>1553</v>
      </c>
      <c r="F1551" t="s"/>
      <c r="G1551" t="s"/>
      <c r="H1551" t="s"/>
      <c r="I1551" t="s"/>
      <c r="J1551" t="n">
        <v>-0.2732</v>
      </c>
      <c r="K1551" t="n">
        <v>0.149</v>
      </c>
      <c r="L1551" t="n">
        <v>0.851</v>
      </c>
      <c r="M1551" t="n">
        <v>0</v>
      </c>
    </row>
    <row r="1552" spans="1:13">
      <c r="A1552" s="1">
        <f>HYPERLINK("http://www.twitter.com/NathanBLawrence/status/991547804521771008", "991547804521771008")</f>
        <v/>
      </c>
      <c r="B1552" s="2" t="n">
        <v>43222.2221412037</v>
      </c>
      <c r="C1552" t="n">
        <v>4</v>
      </c>
      <c r="D1552" t="n">
        <v>3</v>
      </c>
      <c r="E1552" t="s">
        <v>1554</v>
      </c>
      <c r="F1552" t="s"/>
      <c r="G1552" t="s"/>
      <c r="H1552" t="s"/>
      <c r="I1552" t="s"/>
      <c r="J1552" t="n">
        <v>0.555</v>
      </c>
      <c r="K1552" t="n">
        <v>0.064</v>
      </c>
      <c r="L1552" t="n">
        <v>0.786</v>
      </c>
      <c r="M1552" t="n">
        <v>0.15</v>
      </c>
    </row>
    <row r="1553" spans="1:13">
      <c r="A1553" s="1">
        <f>HYPERLINK("http://www.twitter.com/NathanBLawrence/status/991546180332113920", "991546180332113920")</f>
        <v/>
      </c>
      <c r="B1553" s="2" t="n">
        <v>43222.21766203704</v>
      </c>
      <c r="C1553" t="n">
        <v>0</v>
      </c>
      <c r="D1553" t="n">
        <v>30</v>
      </c>
      <c r="E1553" t="s">
        <v>1555</v>
      </c>
      <c r="F1553" t="s"/>
      <c r="G1553" t="s"/>
      <c r="H1553" t="s"/>
      <c r="I1553" t="s"/>
      <c r="J1553" t="n">
        <v>0.4404</v>
      </c>
      <c r="K1553" t="n">
        <v>0</v>
      </c>
      <c r="L1553" t="n">
        <v>0.861</v>
      </c>
      <c r="M1553" t="n">
        <v>0.139</v>
      </c>
    </row>
    <row r="1554" spans="1:13">
      <c r="A1554" s="1">
        <f>HYPERLINK("http://www.twitter.com/NathanBLawrence/status/991545983149445120", "991545983149445120")</f>
        <v/>
      </c>
      <c r="B1554" s="2" t="n">
        <v>43222.21711805555</v>
      </c>
      <c r="C1554" t="n">
        <v>0</v>
      </c>
      <c r="D1554" t="n">
        <v>4</v>
      </c>
      <c r="E1554" t="s">
        <v>1556</v>
      </c>
      <c r="F1554" t="s"/>
      <c r="G1554" t="s"/>
      <c r="H1554" t="s"/>
      <c r="I1554" t="s"/>
      <c r="J1554" t="n">
        <v>0</v>
      </c>
      <c r="K1554" t="n">
        <v>0</v>
      </c>
      <c r="L1554" t="n">
        <v>1</v>
      </c>
      <c r="M1554" t="n">
        <v>0</v>
      </c>
    </row>
    <row r="1555" spans="1:13">
      <c r="A1555" s="1">
        <f>HYPERLINK("http://www.twitter.com/NathanBLawrence/status/991538814542852096", "991538814542852096")</f>
        <v/>
      </c>
      <c r="B1555" s="2" t="n">
        <v>43222.19732638889</v>
      </c>
      <c r="C1555" t="n">
        <v>0</v>
      </c>
      <c r="D1555" t="n">
        <v>850</v>
      </c>
      <c r="E1555" t="s">
        <v>1557</v>
      </c>
      <c r="F1555" t="s"/>
      <c r="G1555" t="s"/>
      <c r="H1555" t="s"/>
      <c r="I1555" t="s"/>
      <c r="J1555" t="n">
        <v>-0.6523</v>
      </c>
      <c r="K1555" t="n">
        <v>0.171</v>
      </c>
      <c r="L1555" t="n">
        <v>0.829</v>
      </c>
      <c r="M1555" t="n">
        <v>0</v>
      </c>
    </row>
    <row r="1556" spans="1:13">
      <c r="A1556" s="1">
        <f>HYPERLINK("http://www.twitter.com/NathanBLawrence/status/991538795349790722", "991538795349790722")</f>
        <v/>
      </c>
      <c r="B1556" s="2" t="n">
        <v>43222.19728009259</v>
      </c>
      <c r="C1556" t="n">
        <v>0</v>
      </c>
      <c r="D1556" t="n">
        <v>2243</v>
      </c>
      <c r="E1556" t="s">
        <v>1558</v>
      </c>
      <c r="F1556">
        <f>HYPERLINK("https://video.twimg.com/ext_tw_video/991399295894122497/pu/vid/640x360/RAPriYDdDX4hfQOB.mp4?tag=3", "https://video.twimg.com/ext_tw_video/991399295894122497/pu/vid/640x360/RAPriYDdDX4hfQOB.mp4?tag=3")</f>
        <v/>
      </c>
      <c r="G1556" t="s"/>
      <c r="H1556" t="s"/>
      <c r="I1556" t="s"/>
      <c r="J1556" t="n">
        <v>0.9022</v>
      </c>
      <c r="K1556" t="n">
        <v>0</v>
      </c>
      <c r="L1556" t="n">
        <v>0.654</v>
      </c>
      <c r="M1556" t="n">
        <v>0.346</v>
      </c>
    </row>
    <row r="1557" spans="1:13">
      <c r="A1557" s="1">
        <f>HYPERLINK("http://www.twitter.com/NathanBLawrence/status/991538756288176129", "991538756288176129")</f>
        <v/>
      </c>
      <c r="B1557" s="2" t="n">
        <v>43222.19717592592</v>
      </c>
      <c r="C1557" t="n">
        <v>0</v>
      </c>
      <c r="D1557" t="n">
        <v>769</v>
      </c>
      <c r="E1557" t="s">
        <v>1559</v>
      </c>
      <c r="F1557" t="s"/>
      <c r="G1557" t="s"/>
      <c r="H1557" t="s"/>
      <c r="I1557" t="s"/>
      <c r="J1557" t="n">
        <v>-0.8225</v>
      </c>
      <c r="K1557" t="n">
        <v>0.33</v>
      </c>
      <c r="L1557" t="n">
        <v>0.616</v>
      </c>
      <c r="M1557" t="n">
        <v>0.054</v>
      </c>
    </row>
    <row r="1558" spans="1:13">
      <c r="A1558" s="1">
        <f>HYPERLINK("http://www.twitter.com/NathanBLawrence/status/991538742635716609", "991538742635716609")</f>
        <v/>
      </c>
      <c r="B1558" s="2" t="n">
        <v>43222.19712962963</v>
      </c>
      <c r="C1558" t="n">
        <v>0</v>
      </c>
      <c r="D1558" t="n">
        <v>4763</v>
      </c>
      <c r="E1558" t="s">
        <v>1560</v>
      </c>
      <c r="F1558" t="s"/>
      <c r="G1558" t="s"/>
      <c r="H1558" t="s"/>
      <c r="I1558" t="s"/>
      <c r="J1558" t="n">
        <v>0.6597</v>
      </c>
      <c r="K1558" t="n">
        <v>0</v>
      </c>
      <c r="L1558" t="n">
        <v>0.779</v>
      </c>
      <c r="M1558" t="n">
        <v>0.221</v>
      </c>
    </row>
    <row r="1559" spans="1:13">
      <c r="A1559" s="1">
        <f>HYPERLINK("http://www.twitter.com/NathanBLawrence/status/991538730400960512", "991538730400960512")</f>
        <v/>
      </c>
      <c r="B1559" s="2" t="n">
        <v>43222.19709490741</v>
      </c>
      <c r="C1559" t="n">
        <v>0</v>
      </c>
      <c r="D1559" t="n">
        <v>3110</v>
      </c>
      <c r="E1559" t="s">
        <v>1561</v>
      </c>
      <c r="F1559" t="s"/>
      <c r="G1559" t="s"/>
      <c r="H1559" t="s"/>
      <c r="I1559" t="s"/>
      <c r="J1559" t="n">
        <v>-0.3818</v>
      </c>
      <c r="K1559" t="n">
        <v>0.133</v>
      </c>
      <c r="L1559" t="n">
        <v>0.867</v>
      </c>
      <c r="M1559" t="n">
        <v>0</v>
      </c>
    </row>
    <row r="1560" spans="1:13">
      <c r="A1560" s="1">
        <f>HYPERLINK("http://www.twitter.com/NathanBLawrence/status/991538690563411968", "991538690563411968")</f>
        <v/>
      </c>
      <c r="B1560" s="2" t="n">
        <v>43222.19699074074</v>
      </c>
      <c r="C1560" t="n">
        <v>0</v>
      </c>
      <c r="D1560" t="n">
        <v>445</v>
      </c>
      <c r="E1560" t="s">
        <v>1562</v>
      </c>
      <c r="F1560" t="s"/>
      <c r="G1560" t="s"/>
      <c r="H1560" t="s"/>
      <c r="I1560" t="s"/>
      <c r="J1560" t="n">
        <v>0.1739</v>
      </c>
      <c r="K1560" t="n">
        <v>0.186</v>
      </c>
      <c r="L1560" t="n">
        <v>0.681</v>
      </c>
      <c r="M1560" t="n">
        <v>0.133</v>
      </c>
    </row>
    <row r="1561" spans="1:13">
      <c r="A1561" s="1">
        <f>HYPERLINK("http://www.twitter.com/NathanBLawrence/status/991538470786076673", "991538470786076673")</f>
        <v/>
      </c>
      <c r="B1561" s="2" t="n">
        <v>43222.19637731482</v>
      </c>
      <c r="C1561" t="n">
        <v>0</v>
      </c>
      <c r="D1561" t="n">
        <v>1791</v>
      </c>
      <c r="E1561" t="s">
        <v>1563</v>
      </c>
      <c r="F1561" t="s"/>
      <c r="G1561" t="s"/>
      <c r="H1561" t="s"/>
      <c r="I1561" t="s"/>
      <c r="J1561" t="n">
        <v>0.6369</v>
      </c>
      <c r="K1561" t="n">
        <v>0</v>
      </c>
      <c r="L1561" t="n">
        <v>0.769</v>
      </c>
      <c r="M1561" t="n">
        <v>0.231</v>
      </c>
    </row>
    <row r="1562" spans="1:13">
      <c r="A1562" s="1">
        <f>HYPERLINK("http://www.twitter.com/NathanBLawrence/status/991538371183939584", "991538371183939584")</f>
        <v/>
      </c>
      <c r="B1562" s="2" t="n">
        <v>43222.19611111111</v>
      </c>
      <c r="C1562" t="n">
        <v>0</v>
      </c>
      <c r="D1562" t="n">
        <v>95</v>
      </c>
      <c r="E1562" t="s">
        <v>1564</v>
      </c>
      <c r="F1562" t="s"/>
      <c r="G1562" t="s"/>
      <c r="H1562" t="s"/>
      <c r="I1562" t="s"/>
      <c r="J1562" t="n">
        <v>0.5106000000000001</v>
      </c>
      <c r="K1562" t="n">
        <v>0</v>
      </c>
      <c r="L1562" t="n">
        <v>0.68</v>
      </c>
      <c r="M1562" t="n">
        <v>0.32</v>
      </c>
    </row>
    <row r="1563" spans="1:13">
      <c r="A1563" s="1">
        <f>HYPERLINK("http://www.twitter.com/NathanBLawrence/status/991538291127267328", "991538291127267328")</f>
        <v/>
      </c>
      <c r="B1563" s="2" t="n">
        <v>43222.1958912037</v>
      </c>
      <c r="C1563" t="n">
        <v>0</v>
      </c>
      <c r="D1563" t="n">
        <v>979</v>
      </c>
      <c r="E1563" t="s">
        <v>1565</v>
      </c>
      <c r="F1563">
        <f>HYPERLINK("http://pbs.twimg.com/media/Da189qJU0AE6hAc.jpg", "http://pbs.twimg.com/media/Da189qJU0AE6hAc.jpg")</f>
        <v/>
      </c>
      <c r="G1563" t="s"/>
      <c r="H1563" t="s"/>
      <c r="I1563" t="s"/>
      <c r="J1563" t="n">
        <v>0</v>
      </c>
      <c r="K1563" t="n">
        <v>0</v>
      </c>
      <c r="L1563" t="n">
        <v>1</v>
      </c>
      <c r="M1563" t="n">
        <v>0</v>
      </c>
    </row>
    <row r="1564" spans="1:13">
      <c r="A1564" s="1">
        <f>HYPERLINK("http://www.twitter.com/NathanBLawrence/status/991538238853713921", "991538238853713921")</f>
        <v/>
      </c>
      <c r="B1564" s="2" t="n">
        <v>43222.19574074074</v>
      </c>
      <c r="C1564" t="n">
        <v>0</v>
      </c>
      <c r="D1564" t="n">
        <v>10275</v>
      </c>
      <c r="E1564" t="s">
        <v>1566</v>
      </c>
      <c r="F1564" t="s"/>
      <c r="G1564" t="s"/>
      <c r="H1564" t="s"/>
      <c r="I1564" t="s"/>
      <c r="J1564" t="n">
        <v>-0.4767</v>
      </c>
      <c r="K1564" t="n">
        <v>0.177</v>
      </c>
      <c r="L1564" t="n">
        <v>0.823</v>
      </c>
      <c r="M1564" t="n">
        <v>0</v>
      </c>
    </row>
    <row r="1565" spans="1:13">
      <c r="A1565" s="1">
        <f>HYPERLINK("http://www.twitter.com/NathanBLawrence/status/991538124428906496", "991538124428906496")</f>
        <v/>
      </c>
      <c r="B1565" s="2" t="n">
        <v>43222.19542824074</v>
      </c>
      <c r="C1565" t="n">
        <v>0</v>
      </c>
      <c r="D1565" t="n">
        <v>1</v>
      </c>
      <c r="E1565" t="s">
        <v>1567</v>
      </c>
      <c r="F1565" t="s"/>
      <c r="G1565" t="s"/>
      <c r="H1565" t="s"/>
      <c r="I1565" t="s"/>
      <c r="J1565" t="n">
        <v>0.7579</v>
      </c>
      <c r="K1565" t="n">
        <v>0</v>
      </c>
      <c r="L1565" t="n">
        <v>0.737</v>
      </c>
      <c r="M1565" t="n">
        <v>0.263</v>
      </c>
    </row>
    <row r="1566" spans="1:13">
      <c r="A1566" s="1">
        <f>HYPERLINK("http://www.twitter.com/NathanBLawrence/status/991538052093960194", "991538052093960194")</f>
        <v/>
      </c>
      <c r="B1566" s="2" t="n">
        <v>43222.19523148148</v>
      </c>
      <c r="C1566" t="n">
        <v>1</v>
      </c>
      <c r="D1566" t="n">
        <v>0</v>
      </c>
      <c r="E1566" t="s">
        <v>1568</v>
      </c>
      <c r="F1566" t="s"/>
      <c r="G1566" t="s"/>
      <c r="H1566" t="s"/>
      <c r="I1566" t="s"/>
      <c r="J1566" t="n">
        <v>0</v>
      </c>
      <c r="K1566" t="n">
        <v>0</v>
      </c>
      <c r="L1566" t="n">
        <v>1</v>
      </c>
      <c r="M1566" t="n">
        <v>0</v>
      </c>
    </row>
    <row r="1567" spans="1:13">
      <c r="A1567" s="1">
        <f>HYPERLINK("http://www.twitter.com/NathanBLawrence/status/991537747566489601", "991537747566489601")</f>
        <v/>
      </c>
      <c r="B1567" s="2" t="n">
        <v>43222.19438657408</v>
      </c>
      <c r="C1567" t="n">
        <v>0</v>
      </c>
      <c r="D1567" t="n">
        <v>0</v>
      </c>
      <c r="E1567" t="s">
        <v>1569</v>
      </c>
      <c r="F1567" t="s"/>
      <c r="G1567" t="s"/>
      <c r="H1567" t="s"/>
      <c r="I1567" t="s"/>
      <c r="J1567" t="n">
        <v>-0.6598000000000001</v>
      </c>
      <c r="K1567" t="n">
        <v>0.184</v>
      </c>
      <c r="L1567" t="n">
        <v>0.731</v>
      </c>
      <c r="M1567" t="n">
        <v>0.08500000000000001</v>
      </c>
    </row>
    <row r="1568" spans="1:13">
      <c r="A1568" s="1">
        <f>HYPERLINK("http://www.twitter.com/NathanBLawrence/status/991537599406895104", "991537599406895104")</f>
        <v/>
      </c>
      <c r="B1568" s="2" t="n">
        <v>43222.19398148148</v>
      </c>
      <c r="C1568" t="n">
        <v>0</v>
      </c>
      <c r="D1568" t="n">
        <v>1</v>
      </c>
      <c r="E1568" t="s">
        <v>1570</v>
      </c>
      <c r="F1568" t="s"/>
      <c r="G1568" t="s"/>
      <c r="H1568" t="s"/>
      <c r="I1568" t="s"/>
      <c r="J1568" t="n">
        <v>0</v>
      </c>
      <c r="K1568" t="n">
        <v>0</v>
      </c>
      <c r="L1568" t="n">
        <v>1</v>
      </c>
      <c r="M1568" t="n">
        <v>0</v>
      </c>
    </row>
    <row r="1569" spans="1:13">
      <c r="A1569" s="1">
        <f>HYPERLINK("http://www.twitter.com/NathanBLawrence/status/991537542502715393", "991537542502715393")</f>
        <v/>
      </c>
      <c r="B1569" s="2" t="n">
        <v>43222.19381944444</v>
      </c>
      <c r="C1569" t="n">
        <v>0</v>
      </c>
      <c r="D1569" t="n">
        <v>4</v>
      </c>
      <c r="E1569" t="s">
        <v>1571</v>
      </c>
      <c r="F1569">
        <f>HYPERLINK("http://pbs.twimg.com/media/DcD0LCrU8AAnCVH.jpg", "http://pbs.twimg.com/media/DcD0LCrU8AAnCVH.jpg")</f>
        <v/>
      </c>
      <c r="G1569" t="s"/>
      <c r="H1569" t="s"/>
      <c r="I1569" t="s"/>
      <c r="J1569" t="n">
        <v>-0.5423</v>
      </c>
      <c r="K1569" t="n">
        <v>0.263</v>
      </c>
      <c r="L1569" t="n">
        <v>0.5610000000000001</v>
      </c>
      <c r="M1569" t="n">
        <v>0.175</v>
      </c>
    </row>
    <row r="1570" spans="1:13">
      <c r="A1570" s="1">
        <f>HYPERLINK("http://www.twitter.com/NathanBLawrence/status/991537520772026369", "991537520772026369")</f>
        <v/>
      </c>
      <c r="B1570" s="2" t="n">
        <v>43222.19376157408</v>
      </c>
      <c r="C1570" t="n">
        <v>18</v>
      </c>
      <c r="D1570" t="n">
        <v>4</v>
      </c>
      <c r="E1570" t="s">
        <v>1572</v>
      </c>
      <c r="F1570" t="s"/>
      <c r="G1570" t="s"/>
      <c r="H1570" t="s"/>
      <c r="I1570" t="s"/>
      <c r="J1570" t="n">
        <v>-0.6598000000000001</v>
      </c>
      <c r="K1570" t="n">
        <v>0.191</v>
      </c>
      <c r="L1570" t="n">
        <v>0.721</v>
      </c>
      <c r="M1570" t="n">
        <v>0.08799999999999999</v>
      </c>
    </row>
    <row r="1571" spans="1:13">
      <c r="A1571" s="1">
        <f>HYPERLINK("http://www.twitter.com/NathanBLawrence/status/991537442762182656", "991537442762182656")</f>
        <v/>
      </c>
      <c r="B1571" s="2" t="n">
        <v>43222.19354166667</v>
      </c>
      <c r="C1571" t="n">
        <v>0</v>
      </c>
      <c r="D1571" t="n">
        <v>0</v>
      </c>
      <c r="E1571" t="s">
        <v>1573</v>
      </c>
      <c r="F1571" t="s"/>
      <c r="G1571" t="s"/>
      <c r="H1571" t="s"/>
      <c r="I1571" t="s"/>
      <c r="J1571" t="n">
        <v>-0.8834</v>
      </c>
      <c r="K1571" t="n">
        <v>0.264</v>
      </c>
      <c r="L1571" t="n">
        <v>0.654</v>
      </c>
      <c r="M1571" t="n">
        <v>0.082</v>
      </c>
    </row>
    <row r="1572" spans="1:13">
      <c r="A1572" s="1">
        <f>HYPERLINK("http://www.twitter.com/NathanBLawrence/status/991536932097314816", "991536932097314816")</f>
        <v/>
      </c>
      <c r="B1572" s="2" t="n">
        <v>43222.1921412037</v>
      </c>
      <c r="C1572" t="n">
        <v>0</v>
      </c>
      <c r="D1572" t="n">
        <v>1826</v>
      </c>
      <c r="E1572" t="s">
        <v>1574</v>
      </c>
      <c r="F1572" t="s"/>
      <c r="G1572" t="s"/>
      <c r="H1572" t="s"/>
      <c r="I1572" t="s"/>
      <c r="J1572" t="n">
        <v>0.2808</v>
      </c>
      <c r="K1572" t="n">
        <v>0.115</v>
      </c>
      <c r="L1572" t="n">
        <v>0.6889999999999999</v>
      </c>
      <c r="M1572" t="n">
        <v>0.196</v>
      </c>
    </row>
    <row r="1573" spans="1:13">
      <c r="A1573" s="1">
        <f>HYPERLINK("http://www.twitter.com/NathanBLawrence/status/991536907229237249", "991536907229237249")</f>
        <v/>
      </c>
      <c r="B1573" s="2" t="n">
        <v>43222.19207175926</v>
      </c>
      <c r="C1573" t="n">
        <v>0</v>
      </c>
      <c r="D1573" t="n">
        <v>157</v>
      </c>
      <c r="E1573" t="s">
        <v>1575</v>
      </c>
      <c r="F1573">
        <f>HYPERLINK("http://pbs.twimg.com/media/DZ50HQ9W4AIsU50.jpg", "http://pbs.twimg.com/media/DZ50HQ9W4AIsU50.jpg")</f>
        <v/>
      </c>
      <c r="G1573" t="s"/>
      <c r="H1573" t="s"/>
      <c r="I1573" t="s"/>
      <c r="J1573" t="n">
        <v>0.7184</v>
      </c>
      <c r="K1573" t="n">
        <v>0</v>
      </c>
      <c r="L1573" t="n">
        <v>0.727</v>
      </c>
      <c r="M1573" t="n">
        <v>0.273</v>
      </c>
    </row>
    <row r="1574" spans="1:13">
      <c r="A1574" s="1">
        <f>HYPERLINK("http://www.twitter.com/NathanBLawrence/status/991536875331612672", "991536875331612672")</f>
        <v/>
      </c>
      <c r="B1574" s="2" t="n">
        <v>43222.19197916667</v>
      </c>
      <c r="C1574" t="n">
        <v>0</v>
      </c>
      <c r="D1574" t="n">
        <v>15431</v>
      </c>
      <c r="E1574" t="s">
        <v>1576</v>
      </c>
      <c r="F1574">
        <f>HYPERLINK("https://video.twimg.com/ext_tw_video/991401973114163201/pu/vid/1280x720/dXV0XjBY1lWTianC.mp4?tag=3", "https://video.twimg.com/ext_tw_video/991401973114163201/pu/vid/1280x720/dXV0XjBY1lWTianC.mp4?tag=3")</f>
        <v/>
      </c>
      <c r="G1574" t="s"/>
      <c r="H1574" t="s"/>
      <c r="I1574" t="s"/>
      <c r="J1574" t="n">
        <v>0.9468</v>
      </c>
      <c r="K1574" t="n">
        <v>0</v>
      </c>
      <c r="L1574" t="n">
        <v>0.509</v>
      </c>
      <c r="M1574" t="n">
        <v>0.491</v>
      </c>
    </row>
    <row r="1575" spans="1:13">
      <c r="A1575" s="1">
        <f>HYPERLINK("http://www.twitter.com/NathanBLawrence/status/991536841336741888", "991536841336741888")</f>
        <v/>
      </c>
      <c r="B1575" s="2" t="n">
        <v>43222.19188657407</v>
      </c>
      <c r="C1575" t="n">
        <v>0</v>
      </c>
      <c r="D1575" t="n">
        <v>406</v>
      </c>
      <c r="E1575" t="s">
        <v>1577</v>
      </c>
      <c r="F1575" t="s"/>
      <c r="G1575" t="s"/>
      <c r="H1575" t="s"/>
      <c r="I1575" t="s"/>
      <c r="J1575" t="n">
        <v>0.6758999999999999</v>
      </c>
      <c r="K1575" t="n">
        <v>0</v>
      </c>
      <c r="L1575" t="n">
        <v>0.8120000000000001</v>
      </c>
      <c r="M1575" t="n">
        <v>0.188</v>
      </c>
    </row>
    <row r="1576" spans="1:13">
      <c r="A1576" s="1">
        <f>HYPERLINK("http://www.twitter.com/NathanBLawrence/status/991536345767120896", "991536345767120896")</f>
        <v/>
      </c>
      <c r="B1576" s="2" t="n">
        <v>43222.19052083333</v>
      </c>
      <c r="C1576" t="n">
        <v>0</v>
      </c>
      <c r="D1576" t="n">
        <v>11</v>
      </c>
      <c r="E1576" t="s">
        <v>1578</v>
      </c>
      <c r="F1576" t="s"/>
      <c r="G1576" t="s"/>
      <c r="H1576" t="s"/>
      <c r="I1576" t="s"/>
      <c r="J1576" t="n">
        <v>-0.1027</v>
      </c>
      <c r="K1576" t="n">
        <v>0.06900000000000001</v>
      </c>
      <c r="L1576" t="n">
        <v>0.931</v>
      </c>
      <c r="M1576" t="n">
        <v>0</v>
      </c>
    </row>
    <row r="1577" spans="1:13">
      <c r="A1577" s="1">
        <f>HYPERLINK("http://www.twitter.com/NathanBLawrence/status/991536212459565057", "991536212459565057")</f>
        <v/>
      </c>
      <c r="B1577" s="2" t="n">
        <v>43222.19015046296</v>
      </c>
      <c r="C1577" t="n">
        <v>0</v>
      </c>
      <c r="D1577" t="n">
        <v>16457</v>
      </c>
      <c r="E1577" t="s">
        <v>1579</v>
      </c>
      <c r="F1577" t="s"/>
      <c r="G1577" t="s"/>
      <c r="H1577" t="s"/>
      <c r="I1577" t="s"/>
      <c r="J1577" t="n">
        <v>-0.3818</v>
      </c>
      <c r="K1577" t="n">
        <v>0.133</v>
      </c>
      <c r="L1577" t="n">
        <v>0.867</v>
      </c>
      <c r="M1577" t="n">
        <v>0</v>
      </c>
    </row>
    <row r="1578" spans="1:13">
      <c r="A1578" s="1">
        <f>HYPERLINK("http://www.twitter.com/NathanBLawrence/status/991536185938972672", "991536185938972672")</f>
        <v/>
      </c>
      <c r="B1578" s="2" t="n">
        <v>43222.19008101852</v>
      </c>
      <c r="C1578" t="n">
        <v>0</v>
      </c>
      <c r="D1578" t="n">
        <v>3151</v>
      </c>
      <c r="E1578" t="s">
        <v>1580</v>
      </c>
      <c r="F1578">
        <f>HYPERLINK("http://pbs.twimg.com/media/DcHXUuaX4AA18ML.jpg", "http://pbs.twimg.com/media/DcHXUuaX4AA18ML.jpg")</f>
        <v/>
      </c>
      <c r="G1578" t="s"/>
      <c r="H1578" t="s"/>
      <c r="I1578" t="s"/>
      <c r="J1578" t="n">
        <v>0</v>
      </c>
      <c r="K1578" t="n">
        <v>0</v>
      </c>
      <c r="L1578" t="n">
        <v>1</v>
      </c>
      <c r="M1578" t="n">
        <v>0</v>
      </c>
    </row>
    <row r="1579" spans="1:13">
      <c r="A1579" s="1">
        <f>HYPERLINK("http://www.twitter.com/NathanBLawrence/status/991536155727466496", "991536155727466496")</f>
        <v/>
      </c>
      <c r="B1579" s="2" t="n">
        <v>43222.19</v>
      </c>
      <c r="C1579" t="n">
        <v>0</v>
      </c>
      <c r="D1579" t="n">
        <v>258</v>
      </c>
      <c r="E1579" t="s">
        <v>1581</v>
      </c>
      <c r="F1579" t="s"/>
      <c r="G1579" t="s"/>
      <c r="H1579" t="s"/>
      <c r="I1579" t="s"/>
      <c r="J1579" t="n">
        <v>0.3612</v>
      </c>
      <c r="K1579" t="n">
        <v>0</v>
      </c>
      <c r="L1579" t="n">
        <v>0.884</v>
      </c>
      <c r="M1579" t="n">
        <v>0.116</v>
      </c>
    </row>
    <row r="1580" spans="1:13">
      <c r="A1580" s="1">
        <f>HYPERLINK("http://www.twitter.com/NathanBLawrence/status/991535982695669760", "991535982695669760")</f>
        <v/>
      </c>
      <c r="B1580" s="2" t="n">
        <v>43222.18951388889</v>
      </c>
      <c r="C1580" t="n">
        <v>0</v>
      </c>
      <c r="D1580" t="n">
        <v>3</v>
      </c>
      <c r="E1580" t="s">
        <v>1582</v>
      </c>
      <c r="F1580" t="s"/>
      <c r="G1580" t="s"/>
      <c r="H1580" t="s"/>
      <c r="I1580" t="s"/>
      <c r="J1580" t="n">
        <v>0</v>
      </c>
      <c r="K1580" t="n">
        <v>0</v>
      </c>
      <c r="L1580" t="n">
        <v>1</v>
      </c>
      <c r="M1580" t="n">
        <v>0</v>
      </c>
    </row>
    <row r="1581" spans="1:13">
      <c r="A1581" s="1">
        <f>HYPERLINK("http://www.twitter.com/NathanBLawrence/status/991535601685008384", "991535601685008384")</f>
        <v/>
      </c>
      <c r="B1581" s="2" t="n">
        <v>43222.18846064815</v>
      </c>
      <c r="C1581" t="n">
        <v>0</v>
      </c>
      <c r="D1581" t="n">
        <v>13</v>
      </c>
      <c r="E1581" t="s">
        <v>1583</v>
      </c>
      <c r="F1581">
        <f>HYPERLINK("http://pbs.twimg.com/media/DcKUW7mWAAA7Osp.jpg", "http://pbs.twimg.com/media/DcKUW7mWAAA7Osp.jpg")</f>
        <v/>
      </c>
      <c r="G1581" t="s"/>
      <c r="H1581" t="s"/>
      <c r="I1581" t="s"/>
      <c r="J1581" t="n">
        <v>0.4404</v>
      </c>
      <c r="K1581" t="n">
        <v>0</v>
      </c>
      <c r="L1581" t="n">
        <v>0.854</v>
      </c>
      <c r="M1581" t="n">
        <v>0.146</v>
      </c>
    </row>
    <row r="1582" spans="1:13">
      <c r="A1582" s="1">
        <f>HYPERLINK("http://www.twitter.com/NathanBLawrence/status/991535539529617409", "991535539529617409")</f>
        <v/>
      </c>
      <c r="B1582" s="2" t="n">
        <v>43222.18829861111</v>
      </c>
      <c r="C1582" t="n">
        <v>4</v>
      </c>
      <c r="D1582" t="n">
        <v>3</v>
      </c>
      <c r="E1582" t="s">
        <v>1584</v>
      </c>
      <c r="F1582" t="s"/>
      <c r="G1582" t="s"/>
      <c r="H1582" t="s"/>
      <c r="I1582" t="s"/>
      <c r="J1582" t="n">
        <v>0.6272</v>
      </c>
      <c r="K1582" t="n">
        <v>0.076</v>
      </c>
      <c r="L1582" t="n">
        <v>0.794</v>
      </c>
      <c r="M1582" t="n">
        <v>0.131</v>
      </c>
    </row>
    <row r="1583" spans="1:13">
      <c r="A1583" s="1">
        <f>HYPERLINK("http://www.twitter.com/NathanBLawrence/status/991530491080794113", "991530491080794113")</f>
        <v/>
      </c>
      <c r="B1583" s="2" t="n">
        <v>43222.17436342593</v>
      </c>
      <c r="C1583" t="n">
        <v>0</v>
      </c>
      <c r="D1583" t="n">
        <v>2</v>
      </c>
      <c r="E1583" t="s">
        <v>1585</v>
      </c>
      <c r="F1583" t="s"/>
      <c r="G1583" t="s"/>
      <c r="H1583" t="s"/>
      <c r="I1583" t="s"/>
      <c r="J1583" t="n">
        <v>0.2057</v>
      </c>
      <c r="K1583" t="n">
        <v>0</v>
      </c>
      <c r="L1583" t="n">
        <v>0.927</v>
      </c>
      <c r="M1583" t="n">
        <v>0.073</v>
      </c>
    </row>
    <row r="1584" spans="1:13">
      <c r="A1584" s="1">
        <f>HYPERLINK("http://www.twitter.com/NathanBLawrence/status/991527501401817088", "991527501401817088")</f>
        <v/>
      </c>
      <c r="B1584" s="2" t="n">
        <v>43222.16611111111</v>
      </c>
      <c r="C1584" t="n">
        <v>4</v>
      </c>
      <c r="D1584" t="n">
        <v>3</v>
      </c>
      <c r="E1584" t="s">
        <v>1586</v>
      </c>
      <c r="F1584" t="s"/>
      <c r="G1584" t="s"/>
      <c r="H1584" t="s"/>
      <c r="I1584" t="s"/>
      <c r="J1584" t="n">
        <v>0.3839</v>
      </c>
      <c r="K1584" t="n">
        <v>0</v>
      </c>
      <c r="L1584" t="n">
        <v>0.944</v>
      </c>
      <c r="M1584" t="n">
        <v>0.056</v>
      </c>
    </row>
    <row r="1585" spans="1:13">
      <c r="A1585" s="1">
        <f>HYPERLINK("http://www.twitter.com/NathanBLawrence/status/991524609311768576", "991524609311768576")</f>
        <v/>
      </c>
      <c r="B1585" s="2" t="n">
        <v>43222.15813657407</v>
      </c>
      <c r="C1585" t="n">
        <v>5</v>
      </c>
      <c r="D1585" t="n">
        <v>2</v>
      </c>
      <c r="E1585" t="s">
        <v>1587</v>
      </c>
      <c r="F1585" t="s"/>
      <c r="G1585" t="s"/>
      <c r="H1585" t="s"/>
      <c r="I1585" t="s"/>
      <c r="J1585" t="n">
        <v>0.4895</v>
      </c>
      <c r="K1585" t="n">
        <v>0.05</v>
      </c>
      <c r="L1585" t="n">
        <v>0.8129999999999999</v>
      </c>
      <c r="M1585" t="n">
        <v>0.137</v>
      </c>
    </row>
    <row r="1586" spans="1:13">
      <c r="A1586" s="1">
        <f>HYPERLINK("http://www.twitter.com/NathanBLawrence/status/991444952088502272", "991444952088502272")</f>
        <v/>
      </c>
      <c r="B1586" s="2" t="n">
        <v>43221.93832175926</v>
      </c>
      <c r="C1586" t="n">
        <v>0</v>
      </c>
      <c r="D1586" t="n">
        <v>21</v>
      </c>
      <c r="E1586" t="s">
        <v>1588</v>
      </c>
      <c r="F1586">
        <f>HYPERLINK("http://pbs.twimg.com/media/DcJRrv-UwAEJcKi.jpg", "http://pbs.twimg.com/media/DcJRrv-UwAEJcKi.jpg")</f>
        <v/>
      </c>
      <c r="G1586" t="s"/>
      <c r="H1586" t="s"/>
      <c r="I1586" t="s"/>
      <c r="J1586" t="n">
        <v>0.34</v>
      </c>
      <c r="K1586" t="n">
        <v>0</v>
      </c>
      <c r="L1586" t="n">
        <v>0.888</v>
      </c>
      <c r="M1586" t="n">
        <v>0.112</v>
      </c>
    </row>
    <row r="1587" spans="1:13">
      <c r="A1587" s="1">
        <f>HYPERLINK("http://www.twitter.com/NathanBLawrence/status/991429732431515650", "991429732431515650")</f>
        <v/>
      </c>
      <c r="B1587" s="2" t="n">
        <v>43221.89631944444</v>
      </c>
      <c r="C1587" t="n">
        <v>0</v>
      </c>
      <c r="D1587" t="n">
        <v>6</v>
      </c>
      <c r="E1587" t="s">
        <v>1589</v>
      </c>
      <c r="F1587" t="s"/>
      <c r="G1587" t="s"/>
      <c r="H1587" t="s"/>
      <c r="I1587" t="s"/>
      <c r="J1587" t="n">
        <v>0</v>
      </c>
      <c r="K1587" t="n">
        <v>0</v>
      </c>
      <c r="L1587" t="n">
        <v>1</v>
      </c>
      <c r="M1587" t="n">
        <v>0</v>
      </c>
    </row>
    <row r="1588" spans="1:13">
      <c r="A1588" s="1">
        <f>HYPERLINK("http://www.twitter.com/NathanBLawrence/status/991429641125728257", "991429641125728257")</f>
        <v/>
      </c>
      <c r="B1588" s="2" t="n">
        <v>43221.89606481481</v>
      </c>
      <c r="C1588" t="n">
        <v>0</v>
      </c>
      <c r="D1588" t="n">
        <v>15</v>
      </c>
      <c r="E1588" t="s">
        <v>1590</v>
      </c>
      <c r="F1588">
        <f>HYPERLINK("http://pbs.twimg.com/media/DcJAujXXkAARzS6.jpg", "http://pbs.twimg.com/media/DcJAujXXkAARzS6.jpg")</f>
        <v/>
      </c>
      <c r="G1588" t="s"/>
      <c r="H1588" t="s"/>
      <c r="I1588" t="s"/>
      <c r="J1588" t="n">
        <v>0</v>
      </c>
      <c r="K1588" t="n">
        <v>0</v>
      </c>
      <c r="L1588" t="n">
        <v>1</v>
      </c>
      <c r="M1588" t="n">
        <v>0</v>
      </c>
    </row>
    <row r="1589" spans="1:13">
      <c r="A1589" s="1">
        <f>HYPERLINK("http://www.twitter.com/NathanBLawrence/status/991429609509048321", "991429609509048321")</f>
        <v/>
      </c>
      <c r="B1589" s="2" t="n">
        <v>43221.8959837963</v>
      </c>
      <c r="C1589" t="n">
        <v>0</v>
      </c>
      <c r="D1589" t="n">
        <v>9</v>
      </c>
      <c r="E1589" t="s">
        <v>1591</v>
      </c>
      <c r="F1589" t="s"/>
      <c r="G1589" t="s"/>
      <c r="H1589" t="s"/>
      <c r="I1589" t="s"/>
      <c r="J1589" t="n">
        <v>0.5093</v>
      </c>
      <c r="K1589" t="n">
        <v>0</v>
      </c>
      <c r="L1589" t="n">
        <v>0.843</v>
      </c>
      <c r="M1589" t="n">
        <v>0.157</v>
      </c>
    </row>
    <row r="1590" spans="1:13">
      <c r="A1590" s="1">
        <f>HYPERLINK("http://www.twitter.com/NathanBLawrence/status/991416718953197568", "991416718953197568")</f>
        <v/>
      </c>
      <c r="B1590" s="2" t="n">
        <v>43221.86041666667</v>
      </c>
      <c r="C1590" t="n">
        <v>0</v>
      </c>
      <c r="D1590" t="n">
        <v>15</v>
      </c>
      <c r="E1590" t="s">
        <v>1592</v>
      </c>
      <c r="F1590">
        <f>HYPERLINK("https://video.twimg.com/ext_tw_video/991391719127072768/pu/vid/720x1280/lLpeUpqUbbZPI0Qm.mp4?tag=3", "https://video.twimg.com/ext_tw_video/991391719127072768/pu/vid/720x1280/lLpeUpqUbbZPI0Qm.mp4?tag=3")</f>
        <v/>
      </c>
      <c r="G1590" t="s"/>
      <c r="H1590" t="s"/>
      <c r="I1590" t="s"/>
      <c r="J1590" t="n">
        <v>0.9657</v>
      </c>
      <c r="K1590" t="n">
        <v>0</v>
      </c>
      <c r="L1590" t="n">
        <v>0.467</v>
      </c>
      <c r="M1590" t="n">
        <v>0.533</v>
      </c>
    </row>
    <row r="1591" spans="1:13">
      <c r="A1591" s="1">
        <f>HYPERLINK("http://www.twitter.com/NathanBLawrence/status/991416673487015938", "991416673487015938")</f>
        <v/>
      </c>
      <c r="B1591" s="2" t="n">
        <v>43221.86028935185</v>
      </c>
      <c r="C1591" t="n">
        <v>0</v>
      </c>
      <c r="D1591" t="n">
        <v>5</v>
      </c>
      <c r="E1591" t="s">
        <v>1593</v>
      </c>
      <c r="F1591" t="s"/>
      <c r="G1591" t="s"/>
      <c r="H1591" t="s"/>
      <c r="I1591" t="s"/>
      <c r="J1591" t="n">
        <v>0.8176</v>
      </c>
      <c r="K1591" t="n">
        <v>0</v>
      </c>
      <c r="L1591" t="n">
        <v>0.694</v>
      </c>
      <c r="M1591" t="n">
        <v>0.306</v>
      </c>
    </row>
    <row r="1592" spans="1:13">
      <c r="A1592" s="1">
        <f>HYPERLINK("http://www.twitter.com/NathanBLawrence/status/991416637449523200", "991416637449523200")</f>
        <v/>
      </c>
      <c r="B1592" s="2" t="n">
        <v>43221.86018518519</v>
      </c>
      <c r="C1592" t="n">
        <v>0</v>
      </c>
      <c r="D1592" t="n">
        <v>8</v>
      </c>
      <c r="E1592" t="s">
        <v>1594</v>
      </c>
      <c r="F1592" t="s"/>
      <c r="G1592" t="s"/>
      <c r="H1592" t="s"/>
      <c r="I1592" t="s"/>
      <c r="J1592" t="n">
        <v>0.0516</v>
      </c>
      <c r="K1592" t="n">
        <v>0.093</v>
      </c>
      <c r="L1592" t="n">
        <v>0.806</v>
      </c>
      <c r="M1592" t="n">
        <v>0.101</v>
      </c>
    </row>
    <row r="1593" spans="1:13">
      <c r="A1593" s="1">
        <f>HYPERLINK("http://www.twitter.com/NathanBLawrence/status/991416602196365314", "991416602196365314")</f>
        <v/>
      </c>
      <c r="B1593" s="2" t="n">
        <v>43221.86009259259</v>
      </c>
      <c r="C1593" t="n">
        <v>0</v>
      </c>
      <c r="D1593" t="n">
        <v>10</v>
      </c>
      <c r="E1593" t="s">
        <v>1595</v>
      </c>
      <c r="F1593" t="s"/>
      <c r="G1593" t="s"/>
      <c r="H1593" t="s"/>
      <c r="I1593" t="s"/>
      <c r="J1593" t="n">
        <v>0</v>
      </c>
      <c r="K1593" t="n">
        <v>0</v>
      </c>
      <c r="L1593" t="n">
        <v>1</v>
      </c>
      <c r="M1593" t="n">
        <v>0</v>
      </c>
    </row>
    <row r="1594" spans="1:13">
      <c r="A1594" s="1">
        <f>HYPERLINK("http://www.twitter.com/NathanBLawrence/status/991416590813089793", "991416590813089793")</f>
        <v/>
      </c>
      <c r="B1594" s="2" t="n">
        <v>43221.86005787037</v>
      </c>
      <c r="C1594" t="n">
        <v>0</v>
      </c>
      <c r="D1594" t="n">
        <v>10</v>
      </c>
      <c r="E1594" t="s">
        <v>1596</v>
      </c>
      <c r="F1594" t="s"/>
      <c r="G1594" t="s"/>
      <c r="H1594" t="s"/>
      <c r="I1594" t="s"/>
      <c r="J1594" t="n">
        <v>0</v>
      </c>
      <c r="K1594" t="n">
        <v>0</v>
      </c>
      <c r="L1594" t="n">
        <v>1</v>
      </c>
      <c r="M1594" t="n">
        <v>0</v>
      </c>
    </row>
    <row r="1595" spans="1:13">
      <c r="A1595" s="1">
        <f>HYPERLINK("http://www.twitter.com/NathanBLawrence/status/991416508650844160", "991416508650844160")</f>
        <v/>
      </c>
      <c r="B1595" s="2" t="n">
        <v>43221.85982638889</v>
      </c>
      <c r="C1595" t="n">
        <v>0</v>
      </c>
      <c r="D1595" t="n">
        <v>15</v>
      </c>
      <c r="E1595" t="s">
        <v>1597</v>
      </c>
      <c r="F1595" t="s"/>
      <c r="G1595" t="s"/>
      <c r="H1595" t="s"/>
      <c r="I1595" t="s"/>
      <c r="J1595" t="n">
        <v>0.6124000000000001</v>
      </c>
      <c r="K1595" t="n">
        <v>0</v>
      </c>
      <c r="L1595" t="n">
        <v>0.846</v>
      </c>
      <c r="M1595" t="n">
        <v>0.154</v>
      </c>
    </row>
    <row r="1596" spans="1:13">
      <c r="A1596" s="1">
        <f>HYPERLINK("http://www.twitter.com/NathanBLawrence/status/991416432863989760", "991416432863989760")</f>
        <v/>
      </c>
      <c r="B1596" s="2" t="n">
        <v>43221.85961805555</v>
      </c>
      <c r="C1596" t="n">
        <v>0</v>
      </c>
      <c r="D1596" t="n">
        <v>1</v>
      </c>
      <c r="E1596" t="s">
        <v>1598</v>
      </c>
      <c r="F1596" t="s"/>
      <c r="G1596" t="s"/>
      <c r="H1596" t="s"/>
      <c r="I1596" t="s"/>
      <c r="J1596" t="n">
        <v>-0.5266999999999999</v>
      </c>
      <c r="K1596" t="n">
        <v>0.24</v>
      </c>
      <c r="L1596" t="n">
        <v>0.649</v>
      </c>
      <c r="M1596" t="n">
        <v>0.111</v>
      </c>
    </row>
    <row r="1597" spans="1:13">
      <c r="A1597" s="1">
        <f>HYPERLINK("http://www.twitter.com/NathanBLawrence/status/991416215011840000", "991416215011840000")</f>
        <v/>
      </c>
      <c r="B1597" s="2" t="n">
        <v>43221.85901620371</v>
      </c>
      <c r="C1597" t="n">
        <v>0</v>
      </c>
      <c r="D1597" t="n">
        <v>1186</v>
      </c>
      <c r="E1597" t="s">
        <v>1599</v>
      </c>
      <c r="F1597">
        <f>HYPERLINK("http://pbs.twimg.com/media/DcH2qPvWAAMjTI2.jpg", "http://pbs.twimg.com/media/DcH2qPvWAAMjTI2.jpg")</f>
        <v/>
      </c>
      <c r="G1597" t="s"/>
      <c r="H1597" t="s"/>
      <c r="I1597" t="s"/>
      <c r="J1597" t="n">
        <v>-0.3818</v>
      </c>
      <c r="K1597" t="n">
        <v>0.198</v>
      </c>
      <c r="L1597" t="n">
        <v>0.66</v>
      </c>
      <c r="M1597" t="n">
        <v>0.142</v>
      </c>
    </row>
    <row r="1598" spans="1:13">
      <c r="A1598" s="1">
        <f>HYPERLINK("http://www.twitter.com/NathanBLawrence/status/991416128563007488", "991416128563007488")</f>
        <v/>
      </c>
      <c r="B1598" s="2" t="n">
        <v>43221.85878472222</v>
      </c>
      <c r="C1598" t="n">
        <v>0</v>
      </c>
      <c r="D1598" t="n">
        <v>26914</v>
      </c>
      <c r="E1598" t="s">
        <v>1600</v>
      </c>
      <c r="F1598" t="s"/>
      <c r="G1598" t="s"/>
      <c r="H1598" t="s"/>
      <c r="I1598" t="s"/>
      <c r="J1598" t="n">
        <v>0.2266</v>
      </c>
      <c r="K1598" t="n">
        <v>0.214</v>
      </c>
      <c r="L1598" t="n">
        <v>0.535</v>
      </c>
      <c r="M1598" t="n">
        <v>0.251</v>
      </c>
    </row>
    <row r="1599" spans="1:13">
      <c r="A1599" s="1">
        <f>HYPERLINK("http://www.twitter.com/NathanBLawrence/status/991415858718232577", "991415858718232577")</f>
        <v/>
      </c>
      <c r="B1599" s="2" t="n">
        <v>43221.85803240741</v>
      </c>
      <c r="C1599" t="n">
        <v>0</v>
      </c>
      <c r="D1599" t="n">
        <v>12788</v>
      </c>
      <c r="E1599" t="s">
        <v>1601</v>
      </c>
      <c r="F1599">
        <f>HYPERLINK("https://video.twimg.com/ext_tw_video/991337141040009216/pu/vid/1280x720/i6o8jVZAh1VcIDCA.mp4?tag=3", "https://video.twimg.com/ext_tw_video/991337141040009216/pu/vid/1280x720/i6o8jVZAh1VcIDCA.mp4?tag=3")</f>
        <v/>
      </c>
      <c r="G1599" t="s"/>
      <c r="H1599" t="s"/>
      <c r="I1599" t="s"/>
      <c r="J1599" t="n">
        <v>0.8908</v>
      </c>
      <c r="K1599" t="n">
        <v>0</v>
      </c>
      <c r="L1599" t="n">
        <v>0.63</v>
      </c>
      <c r="M1599" t="n">
        <v>0.37</v>
      </c>
    </row>
    <row r="1600" spans="1:13">
      <c r="A1600" s="1">
        <f>HYPERLINK("http://www.twitter.com/NathanBLawrence/status/991415830012416000", "991415830012416000")</f>
        <v/>
      </c>
      <c r="B1600" s="2" t="n">
        <v>43221.85796296296</v>
      </c>
      <c r="C1600" t="n">
        <v>0</v>
      </c>
      <c r="D1600" t="n">
        <v>0</v>
      </c>
      <c r="E1600" t="s">
        <v>1602</v>
      </c>
      <c r="F1600" t="s"/>
      <c r="G1600" t="s"/>
      <c r="H1600" t="s"/>
      <c r="I1600" t="s"/>
      <c r="J1600" t="n">
        <v>-0.5719</v>
      </c>
      <c r="K1600" t="n">
        <v>0.481</v>
      </c>
      <c r="L1600" t="n">
        <v>0.519</v>
      </c>
      <c r="M1600" t="n">
        <v>0</v>
      </c>
    </row>
    <row r="1601" spans="1:13">
      <c r="A1601" s="1">
        <f>HYPERLINK("http://www.twitter.com/NathanBLawrence/status/991415748189937664", "991415748189937664")</f>
        <v/>
      </c>
      <c r="B1601" s="2" t="n">
        <v>43221.85773148148</v>
      </c>
      <c r="C1601" t="n">
        <v>0</v>
      </c>
      <c r="D1601" t="n">
        <v>0</v>
      </c>
      <c r="E1601" t="s">
        <v>1603</v>
      </c>
      <c r="F1601" t="s"/>
      <c r="G1601" t="s"/>
      <c r="H1601" t="s"/>
      <c r="I1601" t="s"/>
      <c r="J1601" t="n">
        <v>-0.5943000000000001</v>
      </c>
      <c r="K1601" t="n">
        <v>0.192</v>
      </c>
      <c r="L1601" t="n">
        <v>0.74</v>
      </c>
      <c r="M1601" t="n">
        <v>0.068</v>
      </c>
    </row>
    <row r="1602" spans="1:13">
      <c r="A1602" s="1">
        <f>HYPERLINK("http://www.twitter.com/NathanBLawrence/status/991415396417916928", "991415396417916928")</f>
        <v/>
      </c>
      <c r="B1602" s="2" t="n">
        <v>43221.85675925926</v>
      </c>
      <c r="C1602" t="n">
        <v>0</v>
      </c>
      <c r="D1602" t="n">
        <v>3</v>
      </c>
      <c r="E1602" t="s">
        <v>1604</v>
      </c>
      <c r="F1602" t="s"/>
      <c r="G1602" t="s"/>
      <c r="H1602" t="s"/>
      <c r="I1602" t="s"/>
      <c r="J1602" t="n">
        <v>-0.802</v>
      </c>
      <c r="K1602" t="n">
        <v>0.265</v>
      </c>
      <c r="L1602" t="n">
        <v>0.735</v>
      </c>
      <c r="M1602" t="n">
        <v>0</v>
      </c>
    </row>
    <row r="1603" spans="1:13">
      <c r="A1603" s="1">
        <f>HYPERLINK("http://www.twitter.com/NathanBLawrence/status/991415258613993476", "991415258613993476")</f>
        <v/>
      </c>
      <c r="B1603" s="2" t="n">
        <v>43221.85637731481</v>
      </c>
      <c r="C1603" t="n">
        <v>0</v>
      </c>
      <c r="D1603" t="n">
        <v>674</v>
      </c>
      <c r="E1603" t="s">
        <v>1605</v>
      </c>
      <c r="F1603" t="s"/>
      <c r="G1603" t="s"/>
      <c r="H1603" t="s"/>
      <c r="I1603" t="s"/>
      <c r="J1603" t="n">
        <v>0</v>
      </c>
      <c r="K1603" t="n">
        <v>0</v>
      </c>
      <c r="L1603" t="n">
        <v>1</v>
      </c>
      <c r="M1603" t="n">
        <v>0</v>
      </c>
    </row>
    <row r="1604" spans="1:13">
      <c r="A1604" s="1">
        <f>HYPERLINK("http://www.twitter.com/NathanBLawrence/status/991415230575075333", "991415230575075333")</f>
        <v/>
      </c>
      <c r="B1604" s="2" t="n">
        <v>43221.85630787037</v>
      </c>
      <c r="C1604" t="n">
        <v>0</v>
      </c>
      <c r="D1604" t="n">
        <v>0</v>
      </c>
      <c r="E1604" t="s">
        <v>1606</v>
      </c>
      <c r="F1604" t="s"/>
      <c r="G1604" t="s"/>
      <c r="H1604" t="s"/>
      <c r="I1604" t="s"/>
      <c r="J1604" t="n">
        <v>-0.3818</v>
      </c>
      <c r="K1604" t="n">
        <v>0.394</v>
      </c>
      <c r="L1604" t="n">
        <v>0.606</v>
      </c>
      <c r="M1604" t="n">
        <v>0</v>
      </c>
    </row>
    <row r="1605" spans="1:13">
      <c r="A1605" s="1">
        <f>HYPERLINK("http://www.twitter.com/NathanBLawrence/status/991415159355789312", "991415159355789312")</f>
        <v/>
      </c>
      <c r="B1605" s="2" t="n">
        <v>43221.85611111111</v>
      </c>
      <c r="C1605" t="n">
        <v>0</v>
      </c>
      <c r="D1605" t="n">
        <v>839</v>
      </c>
      <c r="E1605" t="s">
        <v>1607</v>
      </c>
      <c r="F1605">
        <f>HYPERLINK("https://video.twimg.com/ext_tw_video/991317076659892225/pu/vid/1280x720/E2ugtdetYhmqQnHB.mp4?tag=3", "https://video.twimg.com/ext_tw_video/991317076659892225/pu/vid/1280x720/E2ugtdetYhmqQnHB.mp4?tag=3")</f>
        <v/>
      </c>
      <c r="G1605" t="s"/>
      <c r="H1605" t="s"/>
      <c r="I1605" t="s"/>
      <c r="J1605" t="n">
        <v>0</v>
      </c>
      <c r="K1605" t="n">
        <v>0</v>
      </c>
      <c r="L1605" t="n">
        <v>1</v>
      </c>
      <c r="M1605" t="n">
        <v>0</v>
      </c>
    </row>
    <row r="1606" spans="1:13">
      <c r="A1606" s="1">
        <f>HYPERLINK("http://www.twitter.com/NathanBLawrence/status/991415150610649089", "991415150610649089")</f>
        <v/>
      </c>
      <c r="B1606" s="2" t="n">
        <v>43221.85608796297</v>
      </c>
      <c r="C1606" t="n">
        <v>0</v>
      </c>
      <c r="D1606" t="n">
        <v>774</v>
      </c>
      <c r="E1606" t="s">
        <v>1608</v>
      </c>
      <c r="F1606">
        <f>HYPERLINK("https://video.twimg.com/amplify_video/985997572979425281/vid/1280x720/5nOxSOZYxX9Mbg9b.mp4?tag=6", "https://video.twimg.com/amplify_video/985997572979425281/vid/1280x720/5nOxSOZYxX9Mbg9b.mp4?tag=6")</f>
        <v/>
      </c>
      <c r="G1606" t="s"/>
      <c r="H1606" t="s"/>
      <c r="I1606" t="s"/>
      <c r="J1606" t="n">
        <v>-0.4404</v>
      </c>
      <c r="K1606" t="n">
        <v>0.139</v>
      </c>
      <c r="L1606" t="n">
        <v>0.861</v>
      </c>
      <c r="M1606" t="n">
        <v>0</v>
      </c>
    </row>
    <row r="1607" spans="1:13">
      <c r="A1607" s="1">
        <f>HYPERLINK("http://www.twitter.com/NathanBLawrence/status/991415104293007362", "991415104293007362")</f>
        <v/>
      </c>
      <c r="B1607" s="2" t="n">
        <v>43221.85596064815</v>
      </c>
      <c r="C1607" t="n">
        <v>0</v>
      </c>
      <c r="D1607" t="n">
        <v>7</v>
      </c>
      <c r="E1607" t="s">
        <v>1609</v>
      </c>
      <c r="F1607" t="s"/>
      <c r="G1607" t="s"/>
      <c r="H1607" t="s"/>
      <c r="I1607" t="s"/>
      <c r="J1607" t="n">
        <v>-0.7959000000000001</v>
      </c>
      <c r="K1607" t="n">
        <v>0.35</v>
      </c>
      <c r="L1607" t="n">
        <v>0.65</v>
      </c>
      <c r="M1607" t="n">
        <v>0</v>
      </c>
    </row>
    <row r="1608" spans="1:13">
      <c r="A1608" s="1">
        <f>HYPERLINK("http://www.twitter.com/NathanBLawrence/status/991415027864363008", "991415027864363008")</f>
        <v/>
      </c>
      <c r="B1608" s="2" t="n">
        <v>43221.85574074074</v>
      </c>
      <c r="C1608" t="n">
        <v>0</v>
      </c>
      <c r="D1608" t="n">
        <v>0</v>
      </c>
      <c r="E1608" t="s">
        <v>1610</v>
      </c>
      <c r="F1608" t="s"/>
      <c r="G1608" t="s"/>
      <c r="H1608" t="s"/>
      <c r="I1608" t="s"/>
      <c r="J1608" t="n">
        <v>0</v>
      </c>
      <c r="K1608" t="n">
        <v>0</v>
      </c>
      <c r="L1608" t="n">
        <v>1</v>
      </c>
      <c r="M1608" t="n">
        <v>0</v>
      </c>
    </row>
    <row r="1609" spans="1:13">
      <c r="A1609" s="1">
        <f>HYPERLINK("http://www.twitter.com/NathanBLawrence/status/991388702780874752", "991388702780874752")</f>
        <v/>
      </c>
      <c r="B1609" s="2" t="n">
        <v>43221.78310185186</v>
      </c>
      <c r="C1609" t="n">
        <v>0</v>
      </c>
      <c r="D1609" t="n">
        <v>7670</v>
      </c>
      <c r="E1609" t="s">
        <v>1611</v>
      </c>
      <c r="F1609" t="s"/>
      <c r="G1609" t="s"/>
      <c r="H1609" t="s"/>
      <c r="I1609" t="s"/>
      <c r="J1609" t="n">
        <v>-0.08649999999999999</v>
      </c>
      <c r="K1609" t="n">
        <v>0.107</v>
      </c>
      <c r="L1609" t="n">
        <v>0.801</v>
      </c>
      <c r="M1609" t="n">
        <v>0.092</v>
      </c>
    </row>
    <row r="1610" spans="1:13">
      <c r="A1610" s="1">
        <f>HYPERLINK("http://www.twitter.com/NathanBLawrence/status/991382493118025730", "991382493118025730")</f>
        <v/>
      </c>
      <c r="B1610" s="2" t="n">
        <v>43221.76597222222</v>
      </c>
      <c r="C1610" t="n">
        <v>0</v>
      </c>
      <c r="D1610" t="n">
        <v>14</v>
      </c>
      <c r="E1610" t="s">
        <v>1612</v>
      </c>
      <c r="F1610" t="s"/>
      <c r="G1610" t="s"/>
      <c r="H1610" t="s"/>
      <c r="I1610" t="s"/>
      <c r="J1610" t="n">
        <v>-0.7315</v>
      </c>
      <c r="K1610" t="n">
        <v>0.23</v>
      </c>
      <c r="L1610" t="n">
        <v>0.77</v>
      </c>
      <c r="M1610" t="n">
        <v>0</v>
      </c>
    </row>
    <row r="1611" spans="1:13">
      <c r="A1611" s="1">
        <f>HYPERLINK("http://www.twitter.com/NathanBLawrence/status/991382480769953793", "991382480769953793")</f>
        <v/>
      </c>
      <c r="B1611" s="2" t="n">
        <v>43221.7659375</v>
      </c>
      <c r="C1611" t="n">
        <v>0</v>
      </c>
      <c r="D1611" t="n">
        <v>17</v>
      </c>
      <c r="E1611" t="s">
        <v>1613</v>
      </c>
      <c r="F1611">
        <f>HYPERLINK("http://pbs.twimg.com/media/DcIQ_1-X0AA7Qe0.jpg", "http://pbs.twimg.com/media/DcIQ_1-X0AA7Qe0.jpg")</f>
        <v/>
      </c>
      <c r="G1611" t="s"/>
      <c r="H1611" t="s"/>
      <c r="I1611" t="s"/>
      <c r="J1611" t="n">
        <v>0</v>
      </c>
      <c r="K1611" t="n">
        <v>0</v>
      </c>
      <c r="L1611" t="n">
        <v>1</v>
      </c>
      <c r="M1611" t="n">
        <v>0</v>
      </c>
    </row>
    <row r="1612" spans="1:13">
      <c r="A1612" s="1">
        <f>HYPERLINK("http://www.twitter.com/NathanBLawrence/status/991361205108465664", "991361205108465664")</f>
        <v/>
      </c>
      <c r="B1612" s="2" t="n">
        <v>43221.70722222222</v>
      </c>
      <c r="C1612" t="n">
        <v>0</v>
      </c>
      <c r="D1612" t="n">
        <v>16</v>
      </c>
      <c r="E1612" t="s">
        <v>1614</v>
      </c>
      <c r="F1612" t="s"/>
      <c r="G1612" t="s"/>
      <c r="H1612" t="s"/>
      <c r="I1612" t="s"/>
      <c r="J1612" t="n">
        <v>-0.1613</v>
      </c>
      <c r="K1612" t="n">
        <v>0.109</v>
      </c>
      <c r="L1612" t="n">
        <v>0.803</v>
      </c>
      <c r="M1612" t="n">
        <v>0.08699999999999999</v>
      </c>
    </row>
    <row r="1613" spans="1:13">
      <c r="A1613" s="1">
        <f>HYPERLINK("http://www.twitter.com/NathanBLawrence/status/991361074703323136", "991361074703323136")</f>
        <v/>
      </c>
      <c r="B1613" s="2" t="n">
        <v>43221.70686342593</v>
      </c>
      <c r="C1613" t="n">
        <v>0</v>
      </c>
      <c r="D1613" t="n">
        <v>8</v>
      </c>
      <c r="E1613" t="s">
        <v>1615</v>
      </c>
      <c r="F1613" t="s"/>
      <c r="G1613" t="s"/>
      <c r="H1613" t="s"/>
      <c r="I1613" t="s"/>
      <c r="J1613" t="n">
        <v>-0.2263</v>
      </c>
      <c r="K1613" t="n">
        <v>0.142</v>
      </c>
      <c r="L1613" t="n">
        <v>0.753</v>
      </c>
      <c r="M1613" t="n">
        <v>0.105</v>
      </c>
    </row>
    <row r="1614" spans="1:13">
      <c r="A1614" s="1">
        <f>HYPERLINK("http://www.twitter.com/NathanBLawrence/status/991360710608334848", "991360710608334848")</f>
        <v/>
      </c>
      <c r="B1614" s="2" t="n">
        <v>43221.70585648148</v>
      </c>
      <c r="C1614" t="n">
        <v>0</v>
      </c>
      <c r="D1614" t="n">
        <v>14</v>
      </c>
      <c r="E1614" t="s">
        <v>1616</v>
      </c>
      <c r="F1614">
        <f>HYPERLINK("http://pbs.twimg.com/media/DcGp-MGWAAAhVJz.jpg", "http://pbs.twimg.com/media/DcGp-MGWAAAhVJz.jpg")</f>
        <v/>
      </c>
      <c r="G1614" t="s"/>
      <c r="H1614" t="s"/>
      <c r="I1614" t="s"/>
      <c r="J1614" t="n">
        <v>0</v>
      </c>
      <c r="K1614" t="n">
        <v>0</v>
      </c>
      <c r="L1614" t="n">
        <v>1</v>
      </c>
      <c r="M1614" t="n">
        <v>0</v>
      </c>
    </row>
    <row r="1615" spans="1:13">
      <c r="A1615" s="1">
        <f>HYPERLINK("http://www.twitter.com/NathanBLawrence/status/991360700596604931", "991360700596604931")</f>
        <v/>
      </c>
      <c r="B1615" s="2" t="n">
        <v>43221.70583333333</v>
      </c>
      <c r="C1615" t="n">
        <v>13</v>
      </c>
      <c r="D1615" t="n">
        <v>8</v>
      </c>
      <c r="E1615" t="s">
        <v>1617</v>
      </c>
      <c r="F1615" t="s"/>
      <c r="G1615" t="s"/>
      <c r="H1615" t="s"/>
      <c r="I1615" t="s"/>
      <c r="J1615" t="n">
        <v>-0.1759</v>
      </c>
      <c r="K1615" t="n">
        <v>0.08</v>
      </c>
      <c r="L1615" t="n">
        <v>0.82</v>
      </c>
      <c r="M1615" t="n">
        <v>0.101</v>
      </c>
    </row>
    <row r="1616" spans="1:13">
      <c r="A1616" s="1">
        <f>HYPERLINK("http://www.twitter.com/NathanBLawrence/status/991359597305892864", "991359597305892864")</f>
        <v/>
      </c>
      <c r="B1616" s="2" t="n">
        <v>43221.70278935185</v>
      </c>
      <c r="C1616" t="n">
        <v>0</v>
      </c>
      <c r="D1616" t="n">
        <v>14</v>
      </c>
      <c r="E1616" t="s">
        <v>1618</v>
      </c>
      <c r="F1616">
        <f>HYPERLINK("http://pbs.twimg.com/media/DcGsH0VX0AABr6d.jpg", "http://pbs.twimg.com/media/DcGsH0VX0AABr6d.jpg")</f>
        <v/>
      </c>
      <c r="G1616" t="s"/>
      <c r="H1616" t="s"/>
      <c r="I1616" t="s"/>
      <c r="J1616" t="n">
        <v>-0.3818</v>
      </c>
      <c r="K1616" t="n">
        <v>0.133</v>
      </c>
      <c r="L1616" t="n">
        <v>0.867</v>
      </c>
      <c r="M1616" t="n">
        <v>0</v>
      </c>
    </row>
    <row r="1617" spans="1:13">
      <c r="A1617" s="1">
        <f>HYPERLINK("http://www.twitter.com/NathanBLawrence/status/991359560840605697", "991359560840605697")</f>
        <v/>
      </c>
      <c r="B1617" s="2" t="n">
        <v>43221.70268518518</v>
      </c>
      <c r="C1617" t="n">
        <v>17</v>
      </c>
      <c r="D1617" t="n">
        <v>16</v>
      </c>
      <c r="E1617" t="s">
        <v>1619</v>
      </c>
      <c r="F1617" t="s"/>
      <c r="G1617" t="s"/>
      <c r="H1617" t="s"/>
      <c r="I1617" t="s"/>
      <c r="J1617" t="n">
        <v>-0.7921</v>
      </c>
      <c r="K1617" t="n">
        <v>0.202</v>
      </c>
      <c r="L1617" t="n">
        <v>0.754</v>
      </c>
      <c r="M1617" t="n">
        <v>0.044</v>
      </c>
    </row>
    <row r="1618" spans="1:13">
      <c r="A1618" s="1">
        <f>HYPERLINK("http://www.twitter.com/NathanBLawrence/status/991358728350859265", "991358728350859265")</f>
        <v/>
      </c>
      <c r="B1618" s="2" t="n">
        <v>43221.70039351852</v>
      </c>
      <c r="C1618" t="n">
        <v>0</v>
      </c>
      <c r="D1618" t="n">
        <v>5</v>
      </c>
      <c r="E1618" t="s">
        <v>1620</v>
      </c>
      <c r="F1618" t="s"/>
      <c r="G1618" t="s"/>
      <c r="H1618" t="s"/>
      <c r="I1618" t="s"/>
      <c r="J1618" t="n">
        <v>0.4767</v>
      </c>
      <c r="K1618" t="n">
        <v>0</v>
      </c>
      <c r="L1618" t="n">
        <v>0.837</v>
      </c>
      <c r="M1618" t="n">
        <v>0.163</v>
      </c>
    </row>
    <row r="1619" spans="1:13">
      <c r="A1619" s="1">
        <f>HYPERLINK("http://www.twitter.com/NathanBLawrence/status/991358649422483458", "991358649422483458")</f>
        <v/>
      </c>
      <c r="B1619" s="2" t="n">
        <v>43221.70017361111</v>
      </c>
      <c r="C1619" t="n">
        <v>0</v>
      </c>
      <c r="D1619" t="n">
        <v>3</v>
      </c>
      <c r="E1619" t="s">
        <v>1621</v>
      </c>
      <c r="F1619" t="s"/>
      <c r="G1619" t="s"/>
      <c r="H1619" t="s"/>
      <c r="I1619" t="s"/>
      <c r="J1619" t="n">
        <v>0</v>
      </c>
      <c r="K1619" t="n">
        <v>0</v>
      </c>
      <c r="L1619" t="n">
        <v>1</v>
      </c>
      <c r="M1619" t="n">
        <v>0</v>
      </c>
    </row>
    <row r="1620" spans="1:13">
      <c r="A1620" s="1">
        <f>HYPERLINK("http://www.twitter.com/NathanBLawrence/status/991358499115454464", "991358499115454464")</f>
        <v/>
      </c>
      <c r="B1620" s="2" t="n">
        <v>43221.69975694444</v>
      </c>
      <c r="C1620" t="n">
        <v>0</v>
      </c>
      <c r="D1620" t="n">
        <v>12</v>
      </c>
      <c r="E1620" t="s">
        <v>1622</v>
      </c>
      <c r="F1620" t="s"/>
      <c r="G1620" t="s"/>
      <c r="H1620" t="s"/>
      <c r="I1620" t="s"/>
      <c r="J1620" t="n">
        <v>0.128</v>
      </c>
      <c r="K1620" t="n">
        <v>0.101</v>
      </c>
      <c r="L1620" t="n">
        <v>0.773</v>
      </c>
      <c r="M1620" t="n">
        <v>0.126</v>
      </c>
    </row>
    <row r="1621" spans="1:13">
      <c r="A1621" s="1">
        <f>HYPERLINK("http://www.twitter.com/NathanBLawrence/status/991358465393164288", "991358465393164288")</f>
        <v/>
      </c>
      <c r="B1621" s="2" t="n">
        <v>43221.69966435185</v>
      </c>
      <c r="C1621" t="n">
        <v>0</v>
      </c>
      <c r="D1621" t="n">
        <v>12</v>
      </c>
      <c r="E1621" t="s">
        <v>1623</v>
      </c>
      <c r="F1621" t="s"/>
      <c r="G1621" t="s"/>
      <c r="H1621" t="s"/>
      <c r="I1621" t="s"/>
      <c r="J1621" t="n">
        <v>-0.1779</v>
      </c>
      <c r="K1621" t="n">
        <v>0.177</v>
      </c>
      <c r="L1621" t="n">
        <v>0.707</v>
      </c>
      <c r="M1621" t="n">
        <v>0.117</v>
      </c>
    </row>
    <row r="1622" spans="1:13">
      <c r="A1622" s="1">
        <f>HYPERLINK("http://www.twitter.com/NathanBLawrence/status/991358286833299456", "991358286833299456")</f>
        <v/>
      </c>
      <c r="B1622" s="2" t="n">
        <v>43221.69916666667</v>
      </c>
      <c r="C1622" t="n">
        <v>0</v>
      </c>
      <c r="D1622" t="n">
        <v>0</v>
      </c>
      <c r="E1622" t="s">
        <v>1624</v>
      </c>
      <c r="F1622" t="s"/>
      <c r="G1622" t="s"/>
      <c r="H1622" t="s"/>
      <c r="I1622" t="s"/>
      <c r="J1622" t="n">
        <v>0</v>
      </c>
      <c r="K1622" t="n">
        <v>0</v>
      </c>
      <c r="L1622" t="n">
        <v>1</v>
      </c>
      <c r="M1622" t="n">
        <v>0</v>
      </c>
    </row>
    <row r="1623" spans="1:13">
      <c r="A1623" s="1">
        <f>HYPERLINK("http://www.twitter.com/NathanBLawrence/status/991358179442380801", "991358179442380801")</f>
        <v/>
      </c>
      <c r="B1623" s="2" t="n">
        <v>43221.69887731481</v>
      </c>
      <c r="C1623" t="n">
        <v>0</v>
      </c>
      <c r="D1623" t="n">
        <v>4</v>
      </c>
      <c r="E1623" t="s">
        <v>1625</v>
      </c>
      <c r="F1623" t="s"/>
      <c r="G1623" t="s"/>
      <c r="H1623" t="s"/>
      <c r="I1623" t="s"/>
      <c r="J1623" t="n">
        <v>-0.474</v>
      </c>
      <c r="K1623" t="n">
        <v>0.146</v>
      </c>
      <c r="L1623" t="n">
        <v>0.854</v>
      </c>
      <c r="M1623" t="n">
        <v>0</v>
      </c>
    </row>
    <row r="1624" spans="1:13">
      <c r="A1624" s="1">
        <f>HYPERLINK("http://www.twitter.com/NathanBLawrence/status/991358143904051200", "991358143904051200")</f>
        <v/>
      </c>
      <c r="B1624" s="2" t="n">
        <v>43221.69877314815</v>
      </c>
      <c r="C1624" t="n">
        <v>0</v>
      </c>
      <c r="D1624" t="n">
        <v>2</v>
      </c>
      <c r="E1624" t="s">
        <v>1626</v>
      </c>
      <c r="F1624" t="s"/>
      <c r="G1624" t="s"/>
      <c r="H1624" t="s"/>
      <c r="I1624" t="s"/>
      <c r="J1624" t="n">
        <v>0.6588000000000001</v>
      </c>
      <c r="K1624" t="n">
        <v>0</v>
      </c>
      <c r="L1624" t="n">
        <v>0.646</v>
      </c>
      <c r="M1624" t="n">
        <v>0.354</v>
      </c>
    </row>
    <row r="1625" spans="1:13">
      <c r="A1625" s="1">
        <f>HYPERLINK("http://www.twitter.com/NathanBLawrence/status/991358066242347008", "991358066242347008")</f>
        <v/>
      </c>
      <c r="B1625" s="2" t="n">
        <v>43221.69856481482</v>
      </c>
      <c r="C1625" t="n">
        <v>0</v>
      </c>
      <c r="D1625" t="n">
        <v>13</v>
      </c>
      <c r="E1625" t="s">
        <v>1346</v>
      </c>
      <c r="F1625">
        <f>HYPERLINK("http://pbs.twimg.com/media/DcHyA84X0AAHWib.jpg", "http://pbs.twimg.com/media/DcHyA84X0AAHWib.jpg")</f>
        <v/>
      </c>
      <c r="G1625" t="s"/>
      <c r="H1625" t="s"/>
      <c r="I1625" t="s"/>
      <c r="J1625" t="n">
        <v>0.8201000000000001</v>
      </c>
      <c r="K1625" t="n">
        <v>0</v>
      </c>
      <c r="L1625" t="n">
        <v>0.63</v>
      </c>
      <c r="M1625" t="n">
        <v>0.37</v>
      </c>
    </row>
    <row r="1626" spans="1:13">
      <c r="A1626" s="1">
        <f>HYPERLINK("http://www.twitter.com/NathanBLawrence/status/991358050220101634", "991358050220101634")</f>
        <v/>
      </c>
      <c r="B1626" s="2" t="n">
        <v>43221.69851851852</v>
      </c>
      <c r="C1626" t="n">
        <v>0</v>
      </c>
      <c r="D1626" t="n">
        <v>6</v>
      </c>
      <c r="E1626" t="s">
        <v>1627</v>
      </c>
      <c r="F1626" t="s"/>
      <c r="G1626" t="s"/>
      <c r="H1626" t="s"/>
      <c r="I1626" t="s"/>
      <c r="J1626" t="n">
        <v>0</v>
      </c>
      <c r="K1626" t="n">
        <v>0</v>
      </c>
      <c r="L1626" t="n">
        <v>1</v>
      </c>
      <c r="M1626" t="n">
        <v>0</v>
      </c>
    </row>
    <row r="1627" spans="1:13">
      <c r="A1627" s="1">
        <f>HYPERLINK("http://www.twitter.com/NathanBLawrence/status/991357911699017730", "991357911699017730")</f>
        <v/>
      </c>
      <c r="B1627" s="2" t="n">
        <v>43221.69813657407</v>
      </c>
      <c r="C1627" t="n">
        <v>0</v>
      </c>
      <c r="D1627" t="n">
        <v>4</v>
      </c>
      <c r="E1627" t="s">
        <v>1628</v>
      </c>
      <c r="F1627" t="s"/>
      <c r="G1627" t="s"/>
      <c r="H1627" t="s"/>
      <c r="I1627" t="s"/>
      <c r="J1627" t="n">
        <v>0.8905999999999999</v>
      </c>
      <c r="K1627" t="n">
        <v>0</v>
      </c>
      <c r="L1627" t="n">
        <v>0.63</v>
      </c>
      <c r="M1627" t="n">
        <v>0.37</v>
      </c>
    </row>
    <row r="1628" spans="1:13">
      <c r="A1628" s="1">
        <f>HYPERLINK("http://www.twitter.com/NathanBLawrence/status/991357734955208705", "991357734955208705")</f>
        <v/>
      </c>
      <c r="B1628" s="2" t="n">
        <v>43221.69765046296</v>
      </c>
      <c r="C1628" t="n">
        <v>0</v>
      </c>
      <c r="D1628" t="n">
        <v>13</v>
      </c>
      <c r="E1628" t="s">
        <v>1629</v>
      </c>
      <c r="F1628" t="s"/>
      <c r="G1628" t="s"/>
      <c r="H1628" t="s"/>
      <c r="I1628" t="s"/>
      <c r="J1628" t="n">
        <v>-0.1316</v>
      </c>
      <c r="K1628" t="n">
        <v>0.07000000000000001</v>
      </c>
      <c r="L1628" t="n">
        <v>0.93</v>
      </c>
      <c r="M1628" t="n">
        <v>0</v>
      </c>
    </row>
    <row r="1629" spans="1:13">
      <c r="A1629" s="1">
        <f>HYPERLINK("http://www.twitter.com/NathanBLawrence/status/991357658211995654", "991357658211995654")</f>
        <v/>
      </c>
      <c r="B1629" s="2" t="n">
        <v>43221.69743055556</v>
      </c>
      <c r="C1629" t="n">
        <v>0</v>
      </c>
      <c r="D1629" t="n">
        <v>18</v>
      </c>
      <c r="E1629" t="s">
        <v>1630</v>
      </c>
      <c r="F1629" t="s"/>
      <c r="G1629" t="s"/>
      <c r="H1629" t="s"/>
      <c r="I1629" t="s"/>
      <c r="J1629" t="n">
        <v>0</v>
      </c>
      <c r="K1629" t="n">
        <v>0</v>
      </c>
      <c r="L1629" t="n">
        <v>1</v>
      </c>
      <c r="M1629" t="n">
        <v>0</v>
      </c>
    </row>
    <row r="1630" spans="1:13">
      <c r="A1630" s="1">
        <f>HYPERLINK("http://www.twitter.com/NathanBLawrence/status/991287993595056128", "991287993595056128")</f>
        <v/>
      </c>
      <c r="B1630" s="2" t="n">
        <v>43221.50519675926</v>
      </c>
      <c r="C1630" t="n">
        <v>0</v>
      </c>
      <c r="D1630" t="n">
        <v>0</v>
      </c>
      <c r="E1630" t="s">
        <v>1631</v>
      </c>
      <c r="F1630" t="s"/>
      <c r="G1630" t="s"/>
      <c r="H1630" t="s"/>
      <c r="I1630" t="s"/>
      <c r="J1630" t="n">
        <v>0</v>
      </c>
      <c r="K1630" t="n">
        <v>0</v>
      </c>
      <c r="L1630" t="n">
        <v>1</v>
      </c>
      <c r="M1630" t="n">
        <v>0</v>
      </c>
    </row>
    <row r="1631" spans="1:13">
      <c r="A1631" s="1">
        <f>HYPERLINK("http://www.twitter.com/NathanBLawrence/status/991247290722635776", "991247290722635776")</f>
        <v/>
      </c>
      <c r="B1631" s="2" t="n">
        <v>43221.39288194444</v>
      </c>
      <c r="C1631" t="n">
        <v>0</v>
      </c>
      <c r="D1631" t="n">
        <v>1987</v>
      </c>
      <c r="E1631" t="s">
        <v>1632</v>
      </c>
      <c r="F1631" t="s"/>
      <c r="G1631" t="s"/>
      <c r="H1631" t="s"/>
      <c r="I1631" t="s"/>
      <c r="J1631" t="n">
        <v>0.1461</v>
      </c>
      <c r="K1631" t="n">
        <v>0.142</v>
      </c>
      <c r="L1631" t="n">
        <v>0.6830000000000001</v>
      </c>
      <c r="M1631" t="n">
        <v>0.175</v>
      </c>
    </row>
    <row r="1632" spans="1:13">
      <c r="A1632" s="1">
        <f>HYPERLINK("http://www.twitter.com/NathanBLawrence/status/991247073294069762", "991247073294069762")</f>
        <v/>
      </c>
      <c r="B1632" s="2" t="n">
        <v>43221.39228009259</v>
      </c>
      <c r="C1632" t="n">
        <v>0</v>
      </c>
      <c r="D1632" t="n">
        <v>2159</v>
      </c>
      <c r="E1632" t="s">
        <v>1633</v>
      </c>
      <c r="F1632" t="s"/>
      <c r="G1632" t="s"/>
      <c r="H1632" t="s"/>
      <c r="I1632" t="s"/>
      <c r="J1632" t="n">
        <v>0.8807</v>
      </c>
      <c r="K1632" t="n">
        <v>0</v>
      </c>
      <c r="L1632" t="n">
        <v>0.662</v>
      </c>
      <c r="M1632" t="n">
        <v>0.338</v>
      </c>
    </row>
    <row r="1633" spans="1:13">
      <c r="A1633" s="1">
        <f>HYPERLINK("http://www.twitter.com/NathanBLawrence/status/991246896135012352", "991246896135012352")</f>
        <v/>
      </c>
      <c r="B1633" s="2" t="n">
        <v>43221.39179398148</v>
      </c>
      <c r="C1633" t="n">
        <v>0</v>
      </c>
      <c r="D1633" t="n">
        <v>428</v>
      </c>
      <c r="E1633" t="s">
        <v>1634</v>
      </c>
      <c r="F1633">
        <f>HYPERLINK("http://pbs.twimg.com/media/DcDzP1jW4AA52uC.jpg", "http://pbs.twimg.com/media/DcDzP1jW4AA52uC.jpg")</f>
        <v/>
      </c>
      <c r="G1633" t="s"/>
      <c r="H1633" t="s"/>
      <c r="I1633" t="s"/>
      <c r="J1633" t="n">
        <v>0</v>
      </c>
      <c r="K1633" t="n">
        <v>0</v>
      </c>
      <c r="L1633" t="n">
        <v>1</v>
      </c>
      <c r="M1633" t="n">
        <v>0</v>
      </c>
    </row>
    <row r="1634" spans="1:13">
      <c r="A1634" s="1">
        <f>HYPERLINK("http://www.twitter.com/NathanBLawrence/status/991246883585740800", "991246883585740800")</f>
        <v/>
      </c>
      <c r="B1634" s="2" t="n">
        <v>43221.39175925926</v>
      </c>
      <c r="C1634" t="n">
        <v>0</v>
      </c>
      <c r="D1634" t="n">
        <v>2484</v>
      </c>
      <c r="E1634" t="s">
        <v>1635</v>
      </c>
      <c r="F1634">
        <f>HYPERLINK("http://pbs.twimg.com/media/DcDyngCW0AAP45F.jpg", "http://pbs.twimg.com/media/DcDyngCW0AAP45F.jpg")</f>
        <v/>
      </c>
      <c r="G1634" t="s"/>
      <c r="H1634" t="s"/>
      <c r="I1634" t="s"/>
      <c r="J1634" t="n">
        <v>0</v>
      </c>
      <c r="K1634" t="n">
        <v>0</v>
      </c>
      <c r="L1634" t="n">
        <v>1</v>
      </c>
      <c r="M1634" t="n">
        <v>0</v>
      </c>
    </row>
    <row r="1635" spans="1:13">
      <c r="A1635" s="1">
        <f>HYPERLINK("http://www.twitter.com/NathanBLawrence/status/991246812387438593", "991246812387438593")</f>
        <v/>
      </c>
      <c r="B1635" s="2" t="n">
        <v>43221.3915625</v>
      </c>
      <c r="C1635" t="n">
        <v>0</v>
      </c>
      <c r="D1635" t="n">
        <v>520</v>
      </c>
      <c r="E1635" t="s">
        <v>1636</v>
      </c>
      <c r="F1635">
        <f>HYPERLINK("http://pbs.twimg.com/media/DcEdSEVVAAAe60g.jpg", "http://pbs.twimg.com/media/DcEdSEVVAAAe60g.jpg")</f>
        <v/>
      </c>
      <c r="G1635" t="s"/>
      <c r="H1635" t="s"/>
      <c r="I1635" t="s"/>
      <c r="J1635" t="n">
        <v>0.3832</v>
      </c>
      <c r="K1635" t="n">
        <v>0</v>
      </c>
      <c r="L1635" t="n">
        <v>0.754</v>
      </c>
      <c r="M1635" t="n">
        <v>0.246</v>
      </c>
    </row>
    <row r="1636" spans="1:13">
      <c r="A1636" s="1">
        <f>HYPERLINK("http://www.twitter.com/NathanBLawrence/status/991246363844403200", "991246363844403200")</f>
        <v/>
      </c>
      <c r="B1636" s="2" t="n">
        <v>43221.39032407408</v>
      </c>
      <c r="C1636" t="n">
        <v>0</v>
      </c>
      <c r="D1636" t="n">
        <v>0</v>
      </c>
      <c r="E1636" t="s">
        <v>1637</v>
      </c>
      <c r="F1636" t="s"/>
      <c r="G1636" t="s"/>
      <c r="H1636" t="s"/>
      <c r="I1636" t="s"/>
      <c r="J1636" t="n">
        <v>-0.3612</v>
      </c>
      <c r="K1636" t="n">
        <v>0.333</v>
      </c>
      <c r="L1636" t="n">
        <v>0.667</v>
      </c>
      <c r="M1636" t="n">
        <v>0</v>
      </c>
    </row>
    <row r="1637" spans="1:13">
      <c r="A1637" s="1">
        <f>HYPERLINK("http://www.twitter.com/NathanBLawrence/status/991246336623370240", "991246336623370240")</f>
        <v/>
      </c>
      <c r="B1637" s="2" t="n">
        <v>43221.39024305555</v>
      </c>
      <c r="C1637" t="n">
        <v>0</v>
      </c>
      <c r="D1637" t="n">
        <v>10</v>
      </c>
      <c r="E1637" t="s">
        <v>1638</v>
      </c>
      <c r="F1637" t="s"/>
      <c r="G1637" t="s"/>
      <c r="H1637" t="s"/>
      <c r="I1637" t="s"/>
      <c r="J1637" t="n">
        <v>0</v>
      </c>
      <c r="K1637" t="n">
        <v>0</v>
      </c>
      <c r="L1637" t="n">
        <v>1</v>
      </c>
      <c r="M1637" t="n">
        <v>0</v>
      </c>
    </row>
    <row r="1638" spans="1:13">
      <c r="A1638" s="1">
        <f>HYPERLINK("http://www.twitter.com/NathanBLawrence/status/991245993143406592", "991245993143406592")</f>
        <v/>
      </c>
      <c r="B1638" s="2" t="n">
        <v>43221.38929398148</v>
      </c>
      <c r="C1638" t="n">
        <v>0</v>
      </c>
      <c r="D1638" t="n">
        <v>565</v>
      </c>
      <c r="E1638" t="s">
        <v>1639</v>
      </c>
      <c r="F1638" t="s"/>
      <c r="G1638" t="s"/>
      <c r="H1638" t="s"/>
      <c r="I1638" t="s"/>
      <c r="J1638" t="n">
        <v>-0.7351</v>
      </c>
      <c r="K1638" t="n">
        <v>0.396</v>
      </c>
      <c r="L1638" t="n">
        <v>0.44</v>
      </c>
      <c r="M1638" t="n">
        <v>0.165</v>
      </c>
    </row>
    <row r="1639" spans="1:13">
      <c r="A1639" s="1">
        <f>HYPERLINK("http://www.twitter.com/NathanBLawrence/status/991245778319564801", "991245778319564801")</f>
        <v/>
      </c>
      <c r="B1639" s="2" t="n">
        <v>43221.38870370371</v>
      </c>
      <c r="C1639" t="n">
        <v>0</v>
      </c>
      <c r="D1639" t="n">
        <v>212</v>
      </c>
      <c r="E1639" t="s">
        <v>1640</v>
      </c>
      <c r="F1639">
        <f>HYPERLINK("http://pbs.twimg.com/media/DcEvlOQX0AAJUsB.jpg", "http://pbs.twimg.com/media/DcEvlOQX0AAJUsB.jpg")</f>
        <v/>
      </c>
      <c r="G1639" t="s"/>
      <c r="H1639" t="s"/>
      <c r="I1639" t="s"/>
      <c r="J1639" t="n">
        <v>0</v>
      </c>
      <c r="K1639" t="n">
        <v>0</v>
      </c>
      <c r="L1639" t="n">
        <v>1</v>
      </c>
      <c r="M1639" t="n">
        <v>0</v>
      </c>
    </row>
    <row r="1640" spans="1:13">
      <c r="A1640" s="1">
        <f>HYPERLINK("http://www.twitter.com/NathanBLawrence/status/991245601475039234", "991245601475039234")</f>
        <v/>
      </c>
      <c r="B1640" s="2" t="n">
        <v>43221.38821759259</v>
      </c>
      <c r="C1640" t="n">
        <v>0</v>
      </c>
      <c r="D1640" t="n">
        <v>1020</v>
      </c>
      <c r="E1640" t="s">
        <v>1641</v>
      </c>
      <c r="F1640" t="s"/>
      <c r="G1640" t="s"/>
      <c r="H1640" t="s"/>
      <c r="I1640" t="s"/>
      <c r="J1640" t="n">
        <v>0.3254</v>
      </c>
      <c r="K1640" t="n">
        <v>0</v>
      </c>
      <c r="L1640" t="n">
        <v>0.896</v>
      </c>
      <c r="M1640" t="n">
        <v>0.104</v>
      </c>
    </row>
    <row r="1641" spans="1:13">
      <c r="A1641" s="1">
        <f>HYPERLINK("http://www.twitter.com/NathanBLawrence/status/991245563810152448", "991245563810152448")</f>
        <v/>
      </c>
      <c r="B1641" s="2" t="n">
        <v>43221.38811342593</v>
      </c>
      <c r="C1641" t="n">
        <v>0</v>
      </c>
      <c r="D1641" t="n">
        <v>1099</v>
      </c>
      <c r="E1641" t="s">
        <v>1642</v>
      </c>
      <c r="F1641" t="s"/>
      <c r="G1641" t="s"/>
      <c r="H1641" t="s"/>
      <c r="I1641" t="s"/>
      <c r="J1641" t="n">
        <v>0.5165</v>
      </c>
      <c r="K1641" t="n">
        <v>0.059</v>
      </c>
      <c r="L1641" t="n">
        <v>0.75</v>
      </c>
      <c r="M1641" t="n">
        <v>0.191</v>
      </c>
    </row>
    <row r="1642" spans="1:13">
      <c r="A1642" s="1">
        <f>HYPERLINK("http://www.twitter.com/NathanBLawrence/status/991245316786712576", "991245316786712576")</f>
        <v/>
      </c>
      <c r="B1642" s="2" t="n">
        <v>43221.38743055556</v>
      </c>
      <c r="C1642" t="n">
        <v>0</v>
      </c>
      <c r="D1642" t="n">
        <v>137</v>
      </c>
      <c r="E1642" t="s">
        <v>1643</v>
      </c>
      <c r="F1642">
        <f>HYPERLINK("http://pbs.twimg.com/media/DcC1pqPUwAAuzag.jpg", "http://pbs.twimg.com/media/DcC1pqPUwAAuzag.jpg")</f>
        <v/>
      </c>
      <c r="G1642">
        <f>HYPERLINK("http://pbs.twimg.com/media/DcC1qWNUwAAQcXU.jpg", "http://pbs.twimg.com/media/DcC1qWNUwAAQcXU.jpg")</f>
        <v/>
      </c>
      <c r="H1642">
        <f>HYPERLINK("http://pbs.twimg.com/media/DcC1qjpUQAAO79a.jpg", "http://pbs.twimg.com/media/DcC1qjpUQAAO79a.jpg")</f>
        <v/>
      </c>
      <c r="I1642" t="s"/>
      <c r="J1642" t="n">
        <v>0.6249</v>
      </c>
      <c r="K1642" t="n">
        <v>0.157</v>
      </c>
      <c r="L1642" t="n">
        <v>0.577</v>
      </c>
      <c r="M1642" t="n">
        <v>0.265</v>
      </c>
    </row>
    <row r="1643" spans="1:13">
      <c r="A1643" s="1">
        <f>HYPERLINK("http://www.twitter.com/NathanBLawrence/status/991245281055436800", "991245281055436800")</f>
        <v/>
      </c>
      <c r="B1643" s="2" t="n">
        <v>43221.38733796297</v>
      </c>
      <c r="C1643" t="n">
        <v>0</v>
      </c>
      <c r="D1643" t="n">
        <v>39</v>
      </c>
      <c r="E1643" t="s">
        <v>1644</v>
      </c>
      <c r="F1643" t="s"/>
      <c r="G1643" t="s"/>
      <c r="H1643" t="s"/>
      <c r="I1643" t="s"/>
      <c r="J1643" t="n">
        <v>0.6597</v>
      </c>
      <c r="K1643" t="n">
        <v>0.077</v>
      </c>
      <c r="L1643" t="n">
        <v>0.705</v>
      </c>
      <c r="M1643" t="n">
        <v>0.218</v>
      </c>
    </row>
    <row r="1644" spans="1:13">
      <c r="A1644" s="1">
        <f>HYPERLINK("http://www.twitter.com/NathanBLawrence/status/991245175124037637", "991245175124037637")</f>
        <v/>
      </c>
      <c r="B1644" s="2" t="n">
        <v>43221.38703703704</v>
      </c>
      <c r="C1644" t="n">
        <v>0</v>
      </c>
      <c r="D1644" t="n">
        <v>640</v>
      </c>
      <c r="E1644" t="s">
        <v>1645</v>
      </c>
      <c r="F1644">
        <f>HYPERLINK("http://pbs.twimg.com/media/DcCuvMtWkAEtrWx.jpg", "http://pbs.twimg.com/media/DcCuvMtWkAEtrWx.jpg")</f>
        <v/>
      </c>
      <c r="G1644">
        <f>HYPERLINK("http://pbs.twimg.com/media/DcCuwLeX0AEB_lE.jpg", "http://pbs.twimg.com/media/DcCuwLeX0AEB_lE.jpg")</f>
        <v/>
      </c>
      <c r="H1644">
        <f>HYPERLINK("http://pbs.twimg.com/media/DcCuwZuXUAEp37R.jpg", "http://pbs.twimg.com/media/DcCuwZuXUAEp37R.jpg")</f>
        <v/>
      </c>
      <c r="I1644">
        <f>HYPERLINK("http://pbs.twimg.com/media/DcCuwl_X4AAk4Ne.jpg", "http://pbs.twimg.com/media/DcCuwl_X4AAk4Ne.jpg")</f>
        <v/>
      </c>
      <c r="J1644" t="n">
        <v>-0.5622</v>
      </c>
      <c r="K1644" t="n">
        <v>0.218</v>
      </c>
      <c r="L1644" t="n">
        <v>0.6889999999999999</v>
      </c>
      <c r="M1644" t="n">
        <v>0.093</v>
      </c>
    </row>
    <row r="1645" spans="1:13">
      <c r="A1645" s="1">
        <f>HYPERLINK("http://www.twitter.com/NathanBLawrence/status/991245060376268800", "991245060376268800")</f>
        <v/>
      </c>
      <c r="B1645" s="2" t="n">
        <v>43221.38672453703</v>
      </c>
      <c r="C1645" t="n">
        <v>0</v>
      </c>
      <c r="D1645" t="n">
        <v>758</v>
      </c>
      <c r="E1645" t="s">
        <v>1646</v>
      </c>
      <c r="F1645">
        <f>HYPERLINK("http://pbs.twimg.com/media/DcDkKQvXUAA2as1.jpg", "http://pbs.twimg.com/media/DcDkKQvXUAA2as1.jpg")</f>
        <v/>
      </c>
      <c r="G1645" t="s"/>
      <c r="H1645" t="s"/>
      <c r="I1645" t="s"/>
      <c r="J1645" t="n">
        <v>0.6996</v>
      </c>
      <c r="K1645" t="n">
        <v>0</v>
      </c>
      <c r="L1645" t="n">
        <v>0.766</v>
      </c>
      <c r="M1645" t="n">
        <v>0.234</v>
      </c>
    </row>
    <row r="1646" spans="1:13">
      <c r="A1646" s="1">
        <f>HYPERLINK("http://www.twitter.com/NathanBLawrence/status/991245041170513920", "991245041170513920")</f>
        <v/>
      </c>
      <c r="B1646" s="2" t="n">
        <v>43221.38666666667</v>
      </c>
      <c r="C1646" t="n">
        <v>0</v>
      </c>
      <c r="D1646" t="n">
        <v>6421</v>
      </c>
      <c r="E1646" t="s">
        <v>1647</v>
      </c>
      <c r="F1646" t="s"/>
      <c r="G1646" t="s"/>
      <c r="H1646" t="s"/>
      <c r="I1646" t="s"/>
      <c r="J1646" t="n">
        <v>0</v>
      </c>
      <c r="K1646" t="n">
        <v>0</v>
      </c>
      <c r="L1646" t="n">
        <v>1</v>
      </c>
      <c r="M1646" t="n">
        <v>0</v>
      </c>
    </row>
    <row r="1647" spans="1:13">
      <c r="A1647" s="1">
        <f>HYPERLINK("http://www.twitter.com/NathanBLawrence/status/991244995788062720", "991244995788062720")</f>
        <v/>
      </c>
      <c r="B1647" s="2" t="n">
        <v>43221.38655092593</v>
      </c>
      <c r="C1647" t="n">
        <v>0</v>
      </c>
      <c r="D1647" t="n">
        <v>1281</v>
      </c>
      <c r="E1647" t="s">
        <v>1648</v>
      </c>
      <c r="F1647" t="s"/>
      <c r="G1647" t="s"/>
      <c r="H1647" t="s"/>
      <c r="I1647" t="s"/>
      <c r="J1647" t="n">
        <v>0</v>
      </c>
      <c r="K1647" t="n">
        <v>0</v>
      </c>
      <c r="L1647" t="n">
        <v>1</v>
      </c>
      <c r="M1647" t="n">
        <v>0</v>
      </c>
    </row>
    <row r="1648" spans="1:13">
      <c r="A1648" s="1">
        <f>HYPERLINK("http://www.twitter.com/NathanBLawrence/status/991244975538081792", "991244975538081792")</f>
        <v/>
      </c>
      <c r="B1648" s="2" t="n">
        <v>43221.38649305556</v>
      </c>
      <c r="C1648" t="n">
        <v>0</v>
      </c>
      <c r="D1648" t="n">
        <v>7911</v>
      </c>
      <c r="E1648" t="s">
        <v>1649</v>
      </c>
      <c r="F1648" t="s"/>
      <c r="G1648" t="s"/>
      <c r="H1648" t="s"/>
      <c r="I1648" t="s"/>
      <c r="J1648" t="n">
        <v>-0.6597</v>
      </c>
      <c r="K1648" t="n">
        <v>0.167</v>
      </c>
      <c r="L1648" t="n">
        <v>0.833</v>
      </c>
      <c r="M1648" t="n">
        <v>0</v>
      </c>
    </row>
    <row r="1649" spans="1:13">
      <c r="A1649" s="1">
        <f>HYPERLINK("http://www.twitter.com/NathanBLawrence/status/991243830392442880", "991243830392442880")</f>
        <v/>
      </c>
      <c r="B1649" s="2" t="n">
        <v>43221.38333333333</v>
      </c>
      <c r="C1649" t="n">
        <v>0</v>
      </c>
      <c r="D1649" t="n">
        <v>5</v>
      </c>
      <c r="E1649" t="s">
        <v>1650</v>
      </c>
      <c r="F1649" t="s"/>
      <c r="G1649" t="s"/>
      <c r="H1649" t="s"/>
      <c r="I1649" t="s"/>
      <c r="J1649" t="n">
        <v>0.4776</v>
      </c>
      <c r="K1649" t="n">
        <v>0</v>
      </c>
      <c r="L1649" t="n">
        <v>0.871</v>
      </c>
      <c r="M1649" t="n">
        <v>0.129</v>
      </c>
    </row>
    <row r="1650" spans="1:13">
      <c r="A1650" s="1">
        <f>HYPERLINK("http://www.twitter.com/NathanBLawrence/status/991243762834853888", "991243762834853888")</f>
        <v/>
      </c>
      <c r="B1650" s="2" t="n">
        <v>43221.38314814815</v>
      </c>
      <c r="C1650" t="n">
        <v>0</v>
      </c>
      <c r="D1650" t="n">
        <v>10</v>
      </c>
      <c r="E1650" t="s">
        <v>1461</v>
      </c>
      <c r="F1650">
        <f>HYPERLINK("http://pbs.twimg.com/media/Db_DTweUQAA-AMl.jpg", "http://pbs.twimg.com/media/Db_DTweUQAA-AMl.jpg")</f>
        <v/>
      </c>
      <c r="G1650" t="s"/>
      <c r="H1650" t="s"/>
      <c r="I1650" t="s"/>
      <c r="J1650" t="n">
        <v>-0.2103</v>
      </c>
      <c r="K1650" t="n">
        <v>0.233</v>
      </c>
      <c r="L1650" t="n">
        <v>0.5629999999999999</v>
      </c>
      <c r="M1650" t="n">
        <v>0.204</v>
      </c>
    </row>
    <row r="1651" spans="1:13">
      <c r="A1651" s="1">
        <f>HYPERLINK("http://www.twitter.com/NathanBLawrence/status/991243735391522817", "991243735391522817")</f>
        <v/>
      </c>
      <c r="B1651" s="2" t="n">
        <v>43221.38306712963</v>
      </c>
      <c r="C1651" t="n">
        <v>0</v>
      </c>
      <c r="D1651" t="n">
        <v>4</v>
      </c>
      <c r="E1651" t="s">
        <v>1651</v>
      </c>
      <c r="F1651">
        <f>HYPERLINK("http://pbs.twimg.com/media/DcDTtFrWkAAnA8R.jpg", "http://pbs.twimg.com/media/DcDTtFrWkAAnA8R.jpg")</f>
        <v/>
      </c>
      <c r="G1651" t="s"/>
      <c r="H1651" t="s"/>
      <c r="I1651" t="s"/>
      <c r="J1651" t="n">
        <v>0</v>
      </c>
      <c r="K1651" t="n">
        <v>0</v>
      </c>
      <c r="L1651" t="n">
        <v>1</v>
      </c>
      <c r="M1651" t="n">
        <v>0</v>
      </c>
    </row>
    <row r="1652" spans="1:13">
      <c r="A1652" s="1">
        <f>HYPERLINK("http://www.twitter.com/NathanBLawrence/status/991243704093630465", "991243704093630465")</f>
        <v/>
      </c>
      <c r="B1652" s="2" t="n">
        <v>43221.38298611111</v>
      </c>
      <c r="C1652" t="n">
        <v>0</v>
      </c>
      <c r="D1652" t="n">
        <v>6</v>
      </c>
      <c r="E1652" t="s">
        <v>1652</v>
      </c>
      <c r="F1652" t="s"/>
      <c r="G1652" t="s"/>
      <c r="H1652" t="s"/>
      <c r="I1652" t="s"/>
      <c r="J1652" t="n">
        <v>0</v>
      </c>
      <c r="K1652" t="n">
        <v>0</v>
      </c>
      <c r="L1652" t="n">
        <v>1</v>
      </c>
      <c r="M1652" t="n">
        <v>0</v>
      </c>
    </row>
    <row r="1653" spans="1:13">
      <c r="A1653" s="1">
        <f>HYPERLINK("http://www.twitter.com/NathanBLawrence/status/991243560405127170", "991243560405127170")</f>
        <v/>
      </c>
      <c r="B1653" s="2" t="n">
        <v>43221.38258101852</v>
      </c>
      <c r="C1653" t="n">
        <v>0</v>
      </c>
      <c r="D1653" t="n">
        <v>7</v>
      </c>
      <c r="E1653" t="s">
        <v>1653</v>
      </c>
      <c r="F1653" t="s"/>
      <c r="G1653" t="s"/>
      <c r="H1653" t="s"/>
      <c r="I1653" t="s"/>
      <c r="J1653" t="n">
        <v>0</v>
      </c>
      <c r="K1653" t="n">
        <v>0</v>
      </c>
      <c r="L1653" t="n">
        <v>1</v>
      </c>
      <c r="M1653" t="n">
        <v>0</v>
      </c>
    </row>
    <row r="1654" spans="1:13">
      <c r="A1654" s="1">
        <f>HYPERLINK("http://www.twitter.com/NathanBLawrence/status/991243473264181248", "991243473264181248")</f>
        <v/>
      </c>
      <c r="B1654" s="2" t="n">
        <v>43221.38234953704</v>
      </c>
      <c r="C1654" t="n">
        <v>0</v>
      </c>
      <c r="D1654" t="n">
        <v>10</v>
      </c>
      <c r="E1654" t="s">
        <v>1654</v>
      </c>
      <c r="F1654" t="s"/>
      <c r="G1654" t="s"/>
      <c r="H1654" t="s"/>
      <c r="I1654" t="s"/>
      <c r="J1654" t="n">
        <v>-0.3182</v>
      </c>
      <c r="K1654" t="n">
        <v>0.189</v>
      </c>
      <c r="L1654" t="n">
        <v>0.702</v>
      </c>
      <c r="M1654" t="n">
        <v>0.109</v>
      </c>
    </row>
    <row r="1655" spans="1:13">
      <c r="A1655" s="1">
        <f>HYPERLINK("http://www.twitter.com/NathanBLawrence/status/991243440611569664", "991243440611569664")</f>
        <v/>
      </c>
      <c r="B1655" s="2" t="n">
        <v>43221.38225694445</v>
      </c>
      <c r="C1655" t="n">
        <v>0</v>
      </c>
      <c r="D1655" t="n">
        <v>5</v>
      </c>
      <c r="E1655" t="s">
        <v>1655</v>
      </c>
      <c r="F1655" t="s"/>
      <c r="G1655" t="s"/>
      <c r="H1655" t="s"/>
      <c r="I1655" t="s"/>
      <c r="J1655" t="n">
        <v>0.4404</v>
      </c>
      <c r="K1655" t="n">
        <v>0</v>
      </c>
      <c r="L1655" t="n">
        <v>0.873</v>
      </c>
      <c r="M1655" t="n">
        <v>0.127</v>
      </c>
    </row>
    <row r="1656" spans="1:13">
      <c r="A1656" s="1">
        <f>HYPERLINK("http://www.twitter.com/NathanBLawrence/status/991149466639110145", "991149466639110145")</f>
        <v/>
      </c>
      <c r="B1656" s="2" t="n">
        <v>43221.12293981481</v>
      </c>
      <c r="C1656" t="n">
        <v>0</v>
      </c>
      <c r="D1656" t="n">
        <v>4</v>
      </c>
      <c r="E1656" t="s">
        <v>1656</v>
      </c>
      <c r="F1656" t="s"/>
      <c r="G1656" t="s"/>
      <c r="H1656" t="s"/>
      <c r="I1656" t="s"/>
      <c r="J1656" t="n">
        <v>-0.0258</v>
      </c>
      <c r="K1656" t="n">
        <v>0.08400000000000001</v>
      </c>
      <c r="L1656" t="n">
        <v>0.837</v>
      </c>
      <c r="M1656" t="n">
        <v>0.079</v>
      </c>
    </row>
    <row r="1657" spans="1:13">
      <c r="A1657" s="1">
        <f>HYPERLINK("http://www.twitter.com/NathanBLawrence/status/991149450117681152", "991149450117681152")</f>
        <v/>
      </c>
      <c r="B1657" s="2" t="n">
        <v>43221.12289351852</v>
      </c>
      <c r="C1657" t="n">
        <v>0</v>
      </c>
      <c r="D1657" t="n">
        <v>9</v>
      </c>
      <c r="E1657" t="s">
        <v>1657</v>
      </c>
      <c r="F1657" t="s"/>
      <c r="G1657" t="s"/>
      <c r="H1657" t="s"/>
      <c r="I1657" t="s"/>
      <c r="J1657" t="n">
        <v>0.2401</v>
      </c>
      <c r="K1657" t="n">
        <v>0</v>
      </c>
      <c r="L1657" t="n">
        <v>0.869</v>
      </c>
      <c r="M1657" t="n">
        <v>0.131</v>
      </c>
    </row>
    <row r="1658" spans="1:13">
      <c r="A1658" s="1">
        <f>HYPERLINK("http://www.twitter.com/NathanBLawrence/status/991149436213645312", "991149436213645312")</f>
        <v/>
      </c>
      <c r="B1658" s="2" t="n">
        <v>43221.12284722222</v>
      </c>
      <c r="C1658" t="n">
        <v>0</v>
      </c>
      <c r="D1658" t="n">
        <v>11</v>
      </c>
      <c r="E1658" t="s">
        <v>1658</v>
      </c>
      <c r="F1658" t="s"/>
      <c r="G1658" t="s"/>
      <c r="H1658" t="s"/>
      <c r="I1658" t="s"/>
      <c r="J1658" t="n">
        <v>-0.296</v>
      </c>
      <c r="K1658" t="n">
        <v>0.104</v>
      </c>
      <c r="L1658" t="n">
        <v>0.896</v>
      </c>
      <c r="M1658" t="n">
        <v>0</v>
      </c>
    </row>
    <row r="1659" spans="1:13">
      <c r="A1659" s="1">
        <f>HYPERLINK("http://www.twitter.com/NathanBLawrence/status/991149424914108416", "991149424914108416")</f>
        <v/>
      </c>
      <c r="B1659" s="2" t="n">
        <v>43221.12282407407</v>
      </c>
      <c r="C1659" t="n">
        <v>0</v>
      </c>
      <c r="D1659" t="n">
        <v>8</v>
      </c>
      <c r="E1659" t="s">
        <v>1659</v>
      </c>
      <c r="F1659" t="s"/>
      <c r="G1659" t="s"/>
      <c r="H1659" t="s"/>
      <c r="I1659" t="s"/>
      <c r="J1659" t="n">
        <v>-0.2411</v>
      </c>
      <c r="K1659" t="n">
        <v>0.076</v>
      </c>
      <c r="L1659" t="n">
        <v>0.924</v>
      </c>
      <c r="M1659" t="n">
        <v>0</v>
      </c>
    </row>
    <row r="1660" spans="1:13">
      <c r="A1660" s="1">
        <f>HYPERLINK("http://www.twitter.com/NathanBLawrence/status/991149375173865472", "991149375173865472")</f>
        <v/>
      </c>
      <c r="B1660" s="2" t="n">
        <v>43221.12268518518</v>
      </c>
      <c r="C1660" t="n">
        <v>0</v>
      </c>
      <c r="D1660" t="n">
        <v>6</v>
      </c>
      <c r="E1660" t="s">
        <v>1660</v>
      </c>
      <c r="F1660">
        <f>HYPERLINK("http://pbs.twimg.com/media/DcAJPGHVAAAq1xH.jpg", "http://pbs.twimg.com/media/DcAJPGHVAAAq1xH.jpg")</f>
        <v/>
      </c>
      <c r="G1660" t="s"/>
      <c r="H1660" t="s"/>
      <c r="I1660" t="s"/>
      <c r="J1660" t="n">
        <v>0.516</v>
      </c>
      <c r="K1660" t="n">
        <v>0</v>
      </c>
      <c r="L1660" t="n">
        <v>0.878</v>
      </c>
      <c r="M1660" t="n">
        <v>0.122</v>
      </c>
    </row>
    <row r="1661" spans="1:13">
      <c r="A1661" s="1">
        <f>HYPERLINK("http://www.twitter.com/NathanBLawrence/status/991149357457080320", "991149357457080320")</f>
        <v/>
      </c>
      <c r="B1661" s="2" t="n">
        <v>43221.12263888889</v>
      </c>
      <c r="C1661" t="n">
        <v>0</v>
      </c>
      <c r="D1661" t="n">
        <v>8</v>
      </c>
      <c r="E1661" t="s">
        <v>1661</v>
      </c>
      <c r="F1661" t="s"/>
      <c r="G1661" t="s"/>
      <c r="H1661" t="s"/>
      <c r="I1661" t="s"/>
      <c r="J1661" t="n">
        <v>0.2047</v>
      </c>
      <c r="K1661" t="n">
        <v>0.046</v>
      </c>
      <c r="L1661" t="n">
        <v>0.876</v>
      </c>
      <c r="M1661" t="n">
        <v>0.078</v>
      </c>
    </row>
    <row r="1662" spans="1:13">
      <c r="A1662" s="1">
        <f>HYPERLINK("http://www.twitter.com/NathanBLawrence/status/991149341581676544", "991149341581676544")</f>
        <v/>
      </c>
      <c r="B1662" s="2" t="n">
        <v>43221.12259259259</v>
      </c>
      <c r="C1662" t="n">
        <v>0</v>
      </c>
      <c r="D1662" t="n">
        <v>11</v>
      </c>
      <c r="E1662" t="s">
        <v>1662</v>
      </c>
      <c r="F1662" t="s"/>
      <c r="G1662" t="s"/>
      <c r="H1662" t="s"/>
      <c r="I1662" t="s"/>
      <c r="J1662" t="n">
        <v>0.504</v>
      </c>
      <c r="K1662" t="n">
        <v>0</v>
      </c>
      <c r="L1662" t="n">
        <v>0.854</v>
      </c>
      <c r="M1662" t="n">
        <v>0.146</v>
      </c>
    </row>
    <row r="1663" spans="1:13">
      <c r="A1663" s="1">
        <f>HYPERLINK("http://www.twitter.com/NathanBLawrence/status/991149315304370176", "991149315304370176")</f>
        <v/>
      </c>
      <c r="B1663" s="2" t="n">
        <v>43221.12252314815</v>
      </c>
      <c r="C1663" t="n">
        <v>0</v>
      </c>
      <c r="D1663" t="n">
        <v>11</v>
      </c>
      <c r="E1663" t="s">
        <v>1663</v>
      </c>
      <c r="F1663" t="s"/>
      <c r="G1663" t="s"/>
      <c r="H1663" t="s"/>
      <c r="I1663" t="s"/>
      <c r="J1663" t="n">
        <v>-0.5106000000000001</v>
      </c>
      <c r="K1663" t="n">
        <v>0.121</v>
      </c>
      <c r="L1663" t="n">
        <v>0.879</v>
      </c>
      <c r="M1663" t="n">
        <v>0</v>
      </c>
    </row>
    <row r="1664" spans="1:13">
      <c r="A1664" s="1">
        <f>HYPERLINK("http://www.twitter.com/NathanBLawrence/status/991148857361928192", "991148857361928192")</f>
        <v/>
      </c>
      <c r="B1664" s="2" t="n">
        <v>43221.12125</v>
      </c>
      <c r="C1664" t="n">
        <v>0</v>
      </c>
      <c r="D1664" t="n">
        <v>28</v>
      </c>
      <c r="E1664" t="s">
        <v>1664</v>
      </c>
      <c r="F1664" t="s"/>
      <c r="G1664" t="s"/>
      <c r="H1664" t="s"/>
      <c r="I1664" t="s"/>
      <c r="J1664" t="n">
        <v>0.25</v>
      </c>
      <c r="K1664" t="n">
        <v>0.062</v>
      </c>
      <c r="L1664" t="n">
        <v>0.839</v>
      </c>
      <c r="M1664" t="n">
        <v>0.099</v>
      </c>
    </row>
    <row r="1665" spans="1:13">
      <c r="A1665" s="1">
        <f>HYPERLINK("http://www.twitter.com/NathanBLawrence/status/991148777590452224", "991148777590452224")</f>
        <v/>
      </c>
      <c r="B1665" s="2" t="n">
        <v>43221.1210300926</v>
      </c>
      <c r="C1665" t="n">
        <v>0</v>
      </c>
      <c r="D1665" t="n">
        <v>9</v>
      </c>
      <c r="E1665" t="s">
        <v>1665</v>
      </c>
      <c r="F1665" t="s"/>
      <c r="G1665" t="s"/>
      <c r="H1665" t="s"/>
      <c r="I1665" t="s"/>
      <c r="J1665" t="n">
        <v>-0.8807</v>
      </c>
      <c r="K1665" t="n">
        <v>0.327</v>
      </c>
      <c r="L1665" t="n">
        <v>0.673</v>
      </c>
      <c r="M1665" t="n">
        <v>0</v>
      </c>
    </row>
    <row r="1666" spans="1:13">
      <c r="A1666" s="1">
        <f>HYPERLINK("http://www.twitter.com/NathanBLawrence/status/991148754366615552", "991148754366615552")</f>
        <v/>
      </c>
      <c r="B1666" s="2" t="n">
        <v>43221.12097222222</v>
      </c>
      <c r="C1666" t="n">
        <v>0</v>
      </c>
      <c r="D1666" t="n">
        <v>33</v>
      </c>
      <c r="E1666" t="s">
        <v>1666</v>
      </c>
      <c r="F1666" t="s"/>
      <c r="G1666" t="s"/>
      <c r="H1666" t="s"/>
      <c r="I1666" t="s"/>
      <c r="J1666" t="n">
        <v>-0.6908</v>
      </c>
      <c r="K1666" t="n">
        <v>0.213</v>
      </c>
      <c r="L1666" t="n">
        <v>0.787</v>
      </c>
      <c r="M1666" t="n">
        <v>0</v>
      </c>
    </row>
    <row r="1667" spans="1:13">
      <c r="A1667" s="1">
        <f>HYPERLINK("http://www.twitter.com/NathanBLawrence/status/991148710779224064", "991148710779224064")</f>
        <v/>
      </c>
      <c r="B1667" s="2" t="n">
        <v>43221.1208449074</v>
      </c>
      <c r="C1667" t="n">
        <v>0</v>
      </c>
      <c r="D1667" t="n">
        <v>16</v>
      </c>
      <c r="E1667" t="s">
        <v>1667</v>
      </c>
      <c r="F1667" t="s"/>
      <c r="G1667" t="s"/>
      <c r="H1667" t="s"/>
      <c r="I1667" t="s"/>
      <c r="J1667" t="n">
        <v>-0.1027</v>
      </c>
      <c r="K1667" t="n">
        <v>0.062</v>
      </c>
      <c r="L1667" t="n">
        <v>0.9379999999999999</v>
      </c>
      <c r="M1667" t="n">
        <v>0</v>
      </c>
    </row>
    <row r="1668" spans="1:13">
      <c r="A1668" s="1">
        <f>HYPERLINK("http://www.twitter.com/NathanBLawrence/status/991148685483487232", "991148685483487232")</f>
        <v/>
      </c>
      <c r="B1668" s="2" t="n">
        <v>43221.12077546296</v>
      </c>
      <c r="C1668" t="n">
        <v>0</v>
      </c>
      <c r="D1668" t="n">
        <v>11</v>
      </c>
      <c r="E1668" t="s">
        <v>1668</v>
      </c>
      <c r="F1668" t="s"/>
      <c r="G1668" t="s"/>
      <c r="H1668" t="s"/>
      <c r="I1668" t="s"/>
      <c r="J1668" t="n">
        <v>-0.3182</v>
      </c>
      <c r="K1668" t="n">
        <v>0.145</v>
      </c>
      <c r="L1668" t="n">
        <v>0.766</v>
      </c>
      <c r="M1668" t="n">
        <v>0.089</v>
      </c>
    </row>
    <row r="1669" spans="1:13">
      <c r="A1669" s="1">
        <f>HYPERLINK("http://www.twitter.com/NathanBLawrence/status/991148674888687617", "991148674888687617")</f>
        <v/>
      </c>
      <c r="B1669" s="2" t="n">
        <v>43221.12075231481</v>
      </c>
      <c r="C1669" t="n">
        <v>0</v>
      </c>
      <c r="D1669" t="n">
        <v>6</v>
      </c>
      <c r="E1669" t="s">
        <v>1669</v>
      </c>
      <c r="F1669" t="s"/>
      <c r="G1669" t="s"/>
      <c r="H1669" t="s"/>
      <c r="I1669" t="s"/>
      <c r="J1669" t="n">
        <v>0</v>
      </c>
      <c r="K1669" t="n">
        <v>0</v>
      </c>
      <c r="L1669" t="n">
        <v>1</v>
      </c>
      <c r="M1669" t="n">
        <v>0</v>
      </c>
    </row>
    <row r="1670" spans="1:13">
      <c r="A1670" s="1">
        <f>HYPERLINK("http://www.twitter.com/NathanBLawrence/status/991148617544208385", "991148617544208385")</f>
        <v/>
      </c>
      <c r="B1670" s="2" t="n">
        <v>43221.12059027778</v>
      </c>
      <c r="C1670" t="n">
        <v>0</v>
      </c>
      <c r="D1670" t="n">
        <v>9</v>
      </c>
      <c r="E1670" t="s">
        <v>1670</v>
      </c>
      <c r="F1670" t="s"/>
      <c r="G1670" t="s"/>
      <c r="H1670" t="s"/>
      <c r="I1670" t="s"/>
      <c r="J1670" t="n">
        <v>0</v>
      </c>
      <c r="K1670" t="n">
        <v>0</v>
      </c>
      <c r="L1670" t="n">
        <v>1</v>
      </c>
      <c r="M1670" t="n">
        <v>0</v>
      </c>
    </row>
    <row r="1671" spans="1:13">
      <c r="A1671" s="1">
        <f>HYPERLINK("http://www.twitter.com/NathanBLawrence/status/991148496890875904", "991148496890875904")</f>
        <v/>
      </c>
      <c r="B1671" s="2" t="n">
        <v>43221.12025462963</v>
      </c>
      <c r="C1671" t="n">
        <v>0</v>
      </c>
      <c r="D1671" t="n">
        <v>27</v>
      </c>
      <c r="E1671" t="s">
        <v>1671</v>
      </c>
      <c r="F1671" t="s"/>
      <c r="G1671" t="s"/>
      <c r="H1671" t="s"/>
      <c r="I1671" t="s"/>
      <c r="J1671" t="n">
        <v>0</v>
      </c>
      <c r="K1671" t="n">
        <v>0</v>
      </c>
      <c r="L1671" t="n">
        <v>1</v>
      </c>
      <c r="M1671" t="n">
        <v>0</v>
      </c>
    </row>
    <row r="1672" spans="1:13">
      <c r="A1672" s="1">
        <f>HYPERLINK("http://www.twitter.com/NathanBLawrence/status/991143729955328000", "991143729955328000")</f>
        <v/>
      </c>
      <c r="B1672" s="2" t="n">
        <v>43221.10710648148</v>
      </c>
      <c r="C1672" t="n">
        <v>1</v>
      </c>
      <c r="D1672" t="n">
        <v>0</v>
      </c>
      <c r="E1672" t="s">
        <v>1672</v>
      </c>
      <c r="F1672" t="s"/>
      <c r="G1672" t="s"/>
      <c r="H1672" t="s"/>
      <c r="I1672" t="s"/>
      <c r="J1672" t="n">
        <v>-0.3818</v>
      </c>
      <c r="K1672" t="n">
        <v>0.102</v>
      </c>
      <c r="L1672" t="n">
        <v>0.898</v>
      </c>
      <c r="M1672" t="n">
        <v>0</v>
      </c>
    </row>
    <row r="1673" spans="1:13">
      <c r="A1673" s="1">
        <f>HYPERLINK("http://www.twitter.com/NathanBLawrence/status/991143616809721856", "991143616809721856")</f>
        <v/>
      </c>
      <c r="B1673" s="2" t="n">
        <v>43221.10679398148</v>
      </c>
      <c r="C1673" t="n">
        <v>0</v>
      </c>
      <c r="D1673" t="n">
        <v>0</v>
      </c>
      <c r="E1673" t="s">
        <v>1673</v>
      </c>
      <c r="F1673" t="s"/>
      <c r="G1673" t="s"/>
      <c r="H1673" t="s"/>
      <c r="I1673" t="s"/>
      <c r="J1673" t="n">
        <v>0.4939</v>
      </c>
      <c r="K1673" t="n">
        <v>0.05</v>
      </c>
      <c r="L1673" t="n">
        <v>0.84</v>
      </c>
      <c r="M1673" t="n">
        <v>0.11</v>
      </c>
    </row>
    <row r="1674" spans="1:13">
      <c r="A1674" s="1">
        <f>HYPERLINK("http://www.twitter.com/NathanBLawrence/status/991139532639821824", "991139532639821824")</f>
        <v/>
      </c>
      <c r="B1674" s="2" t="n">
        <v>43221.09552083333</v>
      </c>
      <c r="C1674" t="n">
        <v>0</v>
      </c>
      <c r="D1674" t="n">
        <v>28</v>
      </c>
      <c r="E1674" t="s">
        <v>1674</v>
      </c>
      <c r="F1674" t="s"/>
      <c r="G1674" t="s"/>
      <c r="H1674" t="s"/>
      <c r="I1674" t="s"/>
      <c r="J1674" t="n">
        <v>0.3612</v>
      </c>
      <c r="K1674" t="n">
        <v>0</v>
      </c>
      <c r="L1674" t="n">
        <v>0.894</v>
      </c>
      <c r="M1674" t="n">
        <v>0.106</v>
      </c>
    </row>
    <row r="1675" spans="1:13">
      <c r="A1675" s="1">
        <f>HYPERLINK("http://www.twitter.com/NathanBLawrence/status/991139481720967168", "991139481720967168")</f>
        <v/>
      </c>
      <c r="B1675" s="2" t="n">
        <v>43221.09538194445</v>
      </c>
      <c r="C1675" t="n">
        <v>0</v>
      </c>
      <c r="D1675" t="n">
        <v>18</v>
      </c>
      <c r="E1675" t="s">
        <v>1675</v>
      </c>
      <c r="F1675">
        <f>HYPERLINK("http://pbs.twimg.com/media/DcEVYnTX4AAwnac.jpg", "http://pbs.twimg.com/media/DcEVYnTX4AAwnac.jpg")</f>
        <v/>
      </c>
      <c r="G1675" t="s"/>
      <c r="H1675" t="s"/>
      <c r="I1675" t="s"/>
      <c r="J1675" t="n">
        <v>0</v>
      </c>
      <c r="K1675" t="n">
        <v>0</v>
      </c>
      <c r="L1675" t="n">
        <v>1</v>
      </c>
      <c r="M1675" t="n">
        <v>0</v>
      </c>
    </row>
    <row r="1676" spans="1:13">
      <c r="A1676" s="1">
        <f>HYPERLINK("http://www.twitter.com/NathanBLawrence/status/991137934500859912", "991137934500859912")</f>
        <v/>
      </c>
      <c r="B1676" s="2" t="n">
        <v>43221.09111111111</v>
      </c>
      <c r="C1676" t="n">
        <v>1</v>
      </c>
      <c r="D1676" t="n">
        <v>0</v>
      </c>
      <c r="E1676" t="s">
        <v>1676</v>
      </c>
      <c r="F1676" t="s"/>
      <c r="G1676" t="s"/>
      <c r="H1676" t="s"/>
      <c r="I1676" t="s"/>
      <c r="J1676" t="n">
        <v>-0.5129</v>
      </c>
      <c r="K1676" t="n">
        <v>0.127</v>
      </c>
      <c r="L1676" t="n">
        <v>0.829</v>
      </c>
      <c r="M1676" t="n">
        <v>0.044</v>
      </c>
    </row>
    <row r="1677" spans="1:13">
      <c r="A1677" s="1">
        <f>HYPERLINK("http://www.twitter.com/NathanBLawrence/status/991137794289487878", "991137794289487878")</f>
        <v/>
      </c>
      <c r="B1677" s="2" t="n">
        <v>43221.09072916667</v>
      </c>
      <c r="C1677" t="n">
        <v>3</v>
      </c>
      <c r="D1677" t="n">
        <v>0</v>
      </c>
      <c r="E1677" t="s">
        <v>1677</v>
      </c>
      <c r="F1677" t="s"/>
      <c r="G1677" t="s"/>
      <c r="H1677" t="s"/>
      <c r="I1677" t="s"/>
      <c r="J1677" t="n">
        <v>-0.8316</v>
      </c>
      <c r="K1677" t="n">
        <v>0.205</v>
      </c>
      <c r="L1677" t="n">
        <v>0.725</v>
      </c>
      <c r="M1677" t="n">
        <v>0.06900000000000001</v>
      </c>
    </row>
    <row r="1678" spans="1:13">
      <c r="A1678" s="1">
        <f>HYPERLINK("http://www.twitter.com/NathanBLawrence/status/991133132349935621", "991133132349935621")</f>
        <v/>
      </c>
      <c r="B1678" s="2" t="n">
        <v>43221.0778587963</v>
      </c>
      <c r="C1678" t="n">
        <v>2</v>
      </c>
      <c r="D1678" t="n">
        <v>0</v>
      </c>
      <c r="E1678" t="s">
        <v>1678</v>
      </c>
      <c r="F1678" t="s"/>
      <c r="G1678" t="s"/>
      <c r="H1678" t="s"/>
      <c r="I1678" t="s"/>
      <c r="J1678" t="n">
        <v>0.25</v>
      </c>
      <c r="K1678" t="n">
        <v>0.08</v>
      </c>
      <c r="L1678" t="n">
        <v>0.803</v>
      </c>
      <c r="M1678" t="n">
        <v>0.117</v>
      </c>
    </row>
    <row r="1679" spans="1:13">
      <c r="A1679" s="1">
        <f>HYPERLINK("http://www.twitter.com/NathanBLawrence/status/991059258581057536", "991059258581057536")</f>
        <v/>
      </c>
      <c r="B1679" s="2" t="n">
        <v>43220.87400462963</v>
      </c>
      <c r="C1679" t="n">
        <v>0</v>
      </c>
      <c r="D1679" t="n">
        <v>10</v>
      </c>
      <c r="E1679" t="s">
        <v>1679</v>
      </c>
      <c r="F1679">
        <f>HYPERLINK("http://pbs.twimg.com/media/DcDzCv3WAAAQM4v.jpg", "http://pbs.twimg.com/media/DcDzCv3WAAAQM4v.jpg")</f>
        <v/>
      </c>
      <c r="G1679" t="s"/>
      <c r="H1679" t="s"/>
      <c r="I1679" t="s"/>
      <c r="J1679" t="n">
        <v>0</v>
      </c>
      <c r="K1679" t="n">
        <v>0</v>
      </c>
      <c r="L1679" t="n">
        <v>1</v>
      </c>
      <c r="M1679" t="n">
        <v>0</v>
      </c>
    </row>
    <row r="1680" spans="1:13">
      <c r="A1680" s="1">
        <f>HYPERLINK("http://www.twitter.com/NathanBLawrence/status/991059167946399746", "991059167946399746")</f>
        <v/>
      </c>
      <c r="B1680" s="2" t="n">
        <v>43220.87376157408</v>
      </c>
      <c r="C1680" t="n">
        <v>0</v>
      </c>
      <c r="D1680" t="n">
        <v>17</v>
      </c>
      <c r="E1680" t="s">
        <v>1680</v>
      </c>
      <c r="F1680" t="s"/>
      <c r="G1680" t="s"/>
      <c r="H1680" t="s"/>
      <c r="I1680" t="s"/>
      <c r="J1680" t="n">
        <v>0</v>
      </c>
      <c r="K1680" t="n">
        <v>0</v>
      </c>
      <c r="L1680" t="n">
        <v>1</v>
      </c>
      <c r="M1680" t="n">
        <v>0</v>
      </c>
    </row>
    <row r="1681" spans="1:13">
      <c r="A1681" s="1">
        <f>HYPERLINK("http://www.twitter.com/NathanBLawrence/status/991059071733325825", "991059071733325825")</f>
        <v/>
      </c>
      <c r="B1681" s="2" t="n">
        <v>43220.87349537037</v>
      </c>
      <c r="C1681" t="n">
        <v>0</v>
      </c>
      <c r="D1681" t="n">
        <v>8</v>
      </c>
      <c r="E1681" t="s">
        <v>1681</v>
      </c>
      <c r="F1681">
        <f>HYPERLINK("http://pbs.twimg.com/media/DcDy6OZW0AEIXRi.jpg", "http://pbs.twimg.com/media/DcDy6OZW0AEIXRi.jpg")</f>
        <v/>
      </c>
      <c r="G1681">
        <f>HYPERLINK("http://pbs.twimg.com/media/DcDy6NiWkAALEy2.jpg", "http://pbs.twimg.com/media/DcDy6NiWkAALEy2.jpg")</f>
        <v/>
      </c>
      <c r="H1681" t="s"/>
      <c r="I1681" t="s"/>
      <c r="J1681" t="n">
        <v>0.6908</v>
      </c>
      <c r="K1681" t="n">
        <v>0</v>
      </c>
      <c r="L1681" t="n">
        <v>0.749</v>
      </c>
      <c r="M1681" t="n">
        <v>0.251</v>
      </c>
    </row>
    <row r="1682" spans="1:13">
      <c r="A1682" s="1">
        <f>HYPERLINK("http://www.twitter.com/NathanBLawrence/status/991059040427036672", "991059040427036672")</f>
        <v/>
      </c>
      <c r="B1682" s="2" t="n">
        <v>43220.87340277778</v>
      </c>
      <c r="C1682" t="n">
        <v>0</v>
      </c>
      <c r="D1682" t="n">
        <v>9</v>
      </c>
      <c r="E1682" t="s">
        <v>1682</v>
      </c>
      <c r="F1682" t="s"/>
      <c r="G1682" t="s"/>
      <c r="H1682" t="s"/>
      <c r="I1682" t="s"/>
      <c r="J1682" t="n">
        <v>0</v>
      </c>
      <c r="K1682" t="n">
        <v>0</v>
      </c>
      <c r="L1682" t="n">
        <v>1</v>
      </c>
      <c r="M1682" t="n">
        <v>0</v>
      </c>
    </row>
    <row r="1683" spans="1:13">
      <c r="A1683" s="1">
        <f>HYPERLINK("http://www.twitter.com/NathanBLawrence/status/991059008747376641", "991059008747376641")</f>
        <v/>
      </c>
      <c r="B1683" s="2" t="n">
        <v>43220.87332175926</v>
      </c>
      <c r="C1683" t="n">
        <v>13</v>
      </c>
      <c r="D1683" t="n">
        <v>8</v>
      </c>
      <c r="E1683" t="s">
        <v>1683</v>
      </c>
      <c r="F1683">
        <f>HYPERLINK("http://pbs.twimg.com/media/DcDy6OZW0AEIXRi.jpg", "http://pbs.twimg.com/media/DcDy6OZW0AEIXRi.jpg")</f>
        <v/>
      </c>
      <c r="G1683">
        <f>HYPERLINK("http://pbs.twimg.com/media/DcDy6NiWkAALEy2.jpg", "http://pbs.twimg.com/media/DcDy6NiWkAALEy2.jpg")</f>
        <v/>
      </c>
      <c r="H1683" t="s"/>
      <c r="I1683" t="s"/>
      <c r="J1683" t="n">
        <v>0.6908</v>
      </c>
      <c r="K1683" t="n">
        <v>0</v>
      </c>
      <c r="L1683" t="n">
        <v>0.787</v>
      </c>
      <c r="M1683" t="n">
        <v>0.213</v>
      </c>
    </row>
    <row r="1684" spans="1:13">
      <c r="A1684" s="1">
        <f>HYPERLINK("http://www.twitter.com/NathanBLawrence/status/991056390025342977", "991056390025342977")</f>
        <v/>
      </c>
      <c r="B1684" s="2" t="n">
        <v>43220.86608796296</v>
      </c>
      <c r="C1684" t="n">
        <v>16</v>
      </c>
      <c r="D1684" t="n">
        <v>9</v>
      </c>
      <c r="E1684" t="s">
        <v>1684</v>
      </c>
      <c r="F1684" t="s"/>
      <c r="G1684" t="s"/>
      <c r="H1684" t="s"/>
      <c r="I1684" t="s"/>
      <c r="J1684" t="n">
        <v>0.8604000000000001</v>
      </c>
      <c r="K1684" t="n">
        <v>0</v>
      </c>
      <c r="L1684" t="n">
        <v>0.837</v>
      </c>
      <c r="M1684" t="n">
        <v>0.163</v>
      </c>
    </row>
    <row r="1685" spans="1:13">
      <c r="A1685" s="1">
        <f>HYPERLINK("http://www.twitter.com/NathanBLawrence/status/991055735281905666", "991055735281905666")</f>
        <v/>
      </c>
      <c r="B1685" s="2" t="n">
        <v>43220.8642824074</v>
      </c>
      <c r="C1685" t="n">
        <v>0</v>
      </c>
      <c r="D1685" t="n">
        <v>68</v>
      </c>
      <c r="E1685" t="s">
        <v>1685</v>
      </c>
      <c r="F1685" t="s"/>
      <c r="G1685" t="s"/>
      <c r="H1685" t="s"/>
      <c r="I1685" t="s"/>
      <c r="J1685" t="n">
        <v>0</v>
      </c>
      <c r="K1685" t="n">
        <v>0</v>
      </c>
      <c r="L1685" t="n">
        <v>1</v>
      </c>
      <c r="M1685" t="n">
        <v>0</v>
      </c>
    </row>
    <row r="1686" spans="1:13">
      <c r="A1686" s="1">
        <f>HYPERLINK("http://www.twitter.com/NathanBLawrence/status/991055491223773185", "991055491223773185")</f>
        <v/>
      </c>
      <c r="B1686" s="2" t="n">
        <v>43220.86361111111</v>
      </c>
      <c r="C1686" t="n">
        <v>0</v>
      </c>
      <c r="D1686" t="n">
        <v>6</v>
      </c>
      <c r="E1686" t="s">
        <v>1686</v>
      </c>
      <c r="F1686" t="s"/>
      <c r="G1686" t="s"/>
      <c r="H1686" t="s"/>
      <c r="I1686" t="s"/>
      <c r="J1686" t="n">
        <v>0.5803</v>
      </c>
      <c r="K1686" t="n">
        <v>0</v>
      </c>
      <c r="L1686" t="n">
        <v>0.835</v>
      </c>
      <c r="M1686" t="n">
        <v>0.165</v>
      </c>
    </row>
    <row r="1687" spans="1:13">
      <c r="A1687" s="1">
        <f>HYPERLINK("http://www.twitter.com/NathanBLawrence/status/991055423628365826", "991055423628365826")</f>
        <v/>
      </c>
      <c r="B1687" s="2" t="n">
        <v>43220.86342592593</v>
      </c>
      <c r="C1687" t="n">
        <v>0</v>
      </c>
      <c r="D1687" t="n">
        <v>8</v>
      </c>
      <c r="E1687" t="s">
        <v>1687</v>
      </c>
      <c r="F1687" t="s"/>
      <c r="G1687" t="s"/>
      <c r="H1687" t="s"/>
      <c r="I1687" t="s"/>
      <c r="J1687" t="n">
        <v>0</v>
      </c>
      <c r="K1687" t="n">
        <v>0</v>
      </c>
      <c r="L1687" t="n">
        <v>1</v>
      </c>
      <c r="M1687" t="n">
        <v>0</v>
      </c>
    </row>
    <row r="1688" spans="1:13">
      <c r="A1688" s="1">
        <f>HYPERLINK("http://www.twitter.com/NathanBLawrence/status/991055392837947395", "991055392837947395")</f>
        <v/>
      </c>
      <c r="B1688" s="2" t="n">
        <v>43220.8633449074</v>
      </c>
      <c r="C1688" t="n">
        <v>0</v>
      </c>
      <c r="D1688" t="n">
        <v>15</v>
      </c>
      <c r="E1688" t="s">
        <v>1688</v>
      </c>
      <c r="F1688" t="s"/>
      <c r="G1688" t="s"/>
      <c r="H1688" t="s"/>
      <c r="I1688" t="s"/>
      <c r="J1688" t="n">
        <v>0</v>
      </c>
      <c r="K1688" t="n">
        <v>0</v>
      </c>
      <c r="L1688" t="n">
        <v>1</v>
      </c>
      <c r="M1688" t="n">
        <v>0</v>
      </c>
    </row>
    <row r="1689" spans="1:13">
      <c r="A1689" s="1">
        <f>HYPERLINK("http://www.twitter.com/NathanBLawrence/status/991055380934426625", "991055380934426625")</f>
        <v/>
      </c>
      <c r="B1689" s="2" t="n">
        <v>43220.86331018519</v>
      </c>
      <c r="C1689" t="n">
        <v>0</v>
      </c>
      <c r="D1689" t="n">
        <v>10</v>
      </c>
      <c r="E1689" t="s">
        <v>1689</v>
      </c>
      <c r="F1689" t="s"/>
      <c r="G1689" t="s"/>
      <c r="H1689" t="s"/>
      <c r="I1689" t="s"/>
      <c r="J1689" t="n">
        <v>0.5859</v>
      </c>
      <c r="K1689" t="n">
        <v>0</v>
      </c>
      <c r="L1689" t="n">
        <v>0.5679999999999999</v>
      </c>
      <c r="M1689" t="n">
        <v>0.432</v>
      </c>
    </row>
    <row r="1690" spans="1:13">
      <c r="A1690" s="1">
        <f>HYPERLINK("http://www.twitter.com/NathanBLawrence/status/990724552605995008", "990724552605995008")</f>
        <v/>
      </c>
      <c r="B1690" s="2" t="n">
        <v>43219.95039351852</v>
      </c>
      <c r="C1690" t="n">
        <v>0</v>
      </c>
      <c r="D1690" t="n">
        <v>5</v>
      </c>
      <c r="E1690" t="s">
        <v>1461</v>
      </c>
      <c r="F1690">
        <f>HYPERLINK("http://pbs.twimg.com/media/Db5_38uWkAYcBlr.jpg", "http://pbs.twimg.com/media/Db5_38uWkAYcBlr.jpg")</f>
        <v/>
      </c>
      <c r="G1690" t="s"/>
      <c r="H1690" t="s"/>
      <c r="I1690" t="s"/>
      <c r="J1690" t="n">
        <v>-0.2103</v>
      </c>
      <c r="K1690" t="n">
        <v>0.233</v>
      </c>
      <c r="L1690" t="n">
        <v>0.5629999999999999</v>
      </c>
      <c r="M1690" t="n">
        <v>0.204</v>
      </c>
    </row>
    <row r="1691" spans="1:13">
      <c r="A1691" s="1">
        <f>HYPERLINK("http://www.twitter.com/NathanBLawrence/status/990724508343570433", "990724508343570433")</f>
        <v/>
      </c>
      <c r="B1691" s="2" t="n">
        <v>43219.95027777777</v>
      </c>
      <c r="C1691" t="n">
        <v>0</v>
      </c>
      <c r="D1691" t="n">
        <v>4</v>
      </c>
      <c r="E1691" t="s">
        <v>1690</v>
      </c>
      <c r="F1691" t="s"/>
      <c r="G1691" t="s"/>
      <c r="H1691" t="s"/>
      <c r="I1691" t="s"/>
      <c r="J1691" t="n">
        <v>-0.4939</v>
      </c>
      <c r="K1691" t="n">
        <v>0.24</v>
      </c>
      <c r="L1691" t="n">
        <v>0.65</v>
      </c>
      <c r="M1691" t="n">
        <v>0.11</v>
      </c>
    </row>
    <row r="1692" spans="1:13">
      <c r="A1692" s="1">
        <f>HYPERLINK("http://www.twitter.com/NathanBLawrence/status/990724434486022144", "990724434486022144")</f>
        <v/>
      </c>
      <c r="B1692" s="2" t="n">
        <v>43219.95006944444</v>
      </c>
      <c r="C1692" t="n">
        <v>0</v>
      </c>
      <c r="D1692" t="n">
        <v>10</v>
      </c>
      <c r="E1692" t="s">
        <v>1691</v>
      </c>
      <c r="F1692">
        <f>HYPERLINK("http://pbs.twimg.com/media/Db5UeepWsAEtn7b.jpg", "http://pbs.twimg.com/media/Db5UeepWsAEtn7b.jpg")</f>
        <v/>
      </c>
      <c r="G1692" t="s"/>
      <c r="H1692" t="s"/>
      <c r="I1692" t="s"/>
      <c r="J1692" t="n">
        <v>-0.5719</v>
      </c>
      <c r="K1692" t="n">
        <v>0.209</v>
      </c>
      <c r="L1692" t="n">
        <v>0.791</v>
      </c>
      <c r="M1692" t="n">
        <v>0</v>
      </c>
    </row>
    <row r="1693" spans="1:13">
      <c r="A1693" s="1">
        <f>HYPERLINK("http://www.twitter.com/NathanBLawrence/status/990724412084228096", "990724412084228096")</f>
        <v/>
      </c>
      <c r="B1693" s="2" t="n">
        <v>43219.95001157407</v>
      </c>
      <c r="C1693" t="n">
        <v>0</v>
      </c>
      <c r="D1693" t="n">
        <v>11</v>
      </c>
      <c r="E1693" t="s">
        <v>1692</v>
      </c>
      <c r="F1693">
        <f>HYPERLINK("http://pbs.twimg.com/media/Db4PSB-VwAEYNJQ.jpg", "http://pbs.twimg.com/media/Db4PSB-VwAEYNJQ.jpg")</f>
        <v/>
      </c>
      <c r="G1693" t="s"/>
      <c r="H1693" t="s"/>
      <c r="I1693" t="s"/>
      <c r="J1693" t="n">
        <v>0</v>
      </c>
      <c r="K1693" t="n">
        <v>0</v>
      </c>
      <c r="L1693" t="n">
        <v>1</v>
      </c>
      <c r="M1693" t="n">
        <v>0</v>
      </c>
    </row>
    <row r="1694" spans="1:13">
      <c r="A1694" s="1">
        <f>HYPERLINK("http://www.twitter.com/NathanBLawrence/status/990724343826210817", "990724343826210817")</f>
        <v/>
      </c>
      <c r="B1694" s="2" t="n">
        <v>43219.94981481481</v>
      </c>
      <c r="C1694" t="n">
        <v>0</v>
      </c>
      <c r="D1694" t="n">
        <v>48</v>
      </c>
      <c r="E1694" t="s">
        <v>1693</v>
      </c>
      <c r="F1694">
        <f>HYPERLINK("http://pbs.twimg.com/media/Dbo5PxaVwAMeE5Z.jpg", "http://pbs.twimg.com/media/Dbo5PxaVwAMeE5Z.jpg")</f>
        <v/>
      </c>
      <c r="G1694" t="s"/>
      <c r="H1694" t="s"/>
      <c r="I1694" t="s"/>
      <c r="J1694" t="n">
        <v>0.34</v>
      </c>
      <c r="K1694" t="n">
        <v>0</v>
      </c>
      <c r="L1694" t="n">
        <v>0.87</v>
      </c>
      <c r="M1694" t="n">
        <v>0.13</v>
      </c>
    </row>
    <row r="1695" spans="1:13">
      <c r="A1695" s="1">
        <f>HYPERLINK("http://www.twitter.com/NathanBLawrence/status/990721916465025026", "990721916465025026")</f>
        <v/>
      </c>
      <c r="B1695" s="2" t="n">
        <v>43219.943125</v>
      </c>
      <c r="C1695" t="n">
        <v>0</v>
      </c>
      <c r="D1695" t="n">
        <v>2611</v>
      </c>
      <c r="E1695" t="s">
        <v>1694</v>
      </c>
      <c r="F1695" t="s"/>
      <c r="G1695" t="s"/>
      <c r="H1695" t="s"/>
      <c r="I1695" t="s"/>
      <c r="J1695" t="n">
        <v>0.4199</v>
      </c>
      <c r="K1695" t="n">
        <v>0</v>
      </c>
      <c r="L1695" t="n">
        <v>0.843</v>
      </c>
      <c r="M1695" t="n">
        <v>0.157</v>
      </c>
    </row>
    <row r="1696" spans="1:13">
      <c r="A1696" s="1">
        <f>HYPERLINK("http://www.twitter.com/NathanBLawrence/status/990721895451545607", "990721895451545607")</f>
        <v/>
      </c>
      <c r="B1696" s="2" t="n">
        <v>43219.94306712963</v>
      </c>
      <c r="C1696" t="n">
        <v>0</v>
      </c>
      <c r="D1696" t="n">
        <v>2480</v>
      </c>
      <c r="E1696" t="s">
        <v>1695</v>
      </c>
      <c r="F1696">
        <f>HYPERLINK("http://pbs.twimg.com/media/Db9hsJJW4AYWF_b.jpg", "http://pbs.twimg.com/media/Db9hsJJW4AYWF_b.jpg")</f>
        <v/>
      </c>
      <c r="G1696" t="s"/>
      <c r="H1696" t="s"/>
      <c r="I1696" t="s"/>
      <c r="J1696" t="n">
        <v>-0.5106000000000001</v>
      </c>
      <c r="K1696" t="n">
        <v>0.248</v>
      </c>
      <c r="L1696" t="n">
        <v>0.752</v>
      </c>
      <c r="M1696" t="n">
        <v>0</v>
      </c>
    </row>
    <row r="1697" spans="1:13">
      <c r="A1697" s="1">
        <f>HYPERLINK("http://www.twitter.com/NathanBLawrence/status/990721875863994368", "990721875863994368")</f>
        <v/>
      </c>
      <c r="B1697" s="2" t="n">
        <v>43219.94300925926</v>
      </c>
      <c r="C1697" t="n">
        <v>0</v>
      </c>
      <c r="D1697" t="n">
        <v>1426</v>
      </c>
      <c r="E1697" t="s">
        <v>1696</v>
      </c>
      <c r="F1697" t="s"/>
      <c r="G1697" t="s"/>
      <c r="H1697" t="s"/>
      <c r="I1697" t="s"/>
      <c r="J1697" t="n">
        <v>0.6249</v>
      </c>
      <c r="K1697" t="n">
        <v>0.107</v>
      </c>
      <c r="L1697" t="n">
        <v>0.641</v>
      </c>
      <c r="M1697" t="n">
        <v>0.253</v>
      </c>
    </row>
    <row r="1698" spans="1:13">
      <c r="A1698" s="1">
        <f>HYPERLINK("http://www.twitter.com/NathanBLawrence/status/990721794465325057", "990721794465325057")</f>
        <v/>
      </c>
      <c r="B1698" s="2" t="n">
        <v>43219.94278935185</v>
      </c>
      <c r="C1698" t="n">
        <v>0</v>
      </c>
      <c r="D1698" t="n">
        <v>4428</v>
      </c>
      <c r="E1698" t="s">
        <v>1697</v>
      </c>
      <c r="F1698">
        <f>HYPERLINK("https://video.twimg.com/amplify_video/990616727707938816/vid/318x180/NhQwSp1TDaqQnbBl.mp4?tag=2", "https://video.twimg.com/amplify_video/990616727707938816/vid/318x180/NhQwSp1TDaqQnbBl.mp4?tag=2")</f>
        <v/>
      </c>
      <c r="G1698" t="s"/>
      <c r="H1698" t="s"/>
      <c r="I1698" t="s"/>
      <c r="J1698" t="n">
        <v>-0.5994</v>
      </c>
      <c r="K1698" t="n">
        <v>0.14</v>
      </c>
      <c r="L1698" t="n">
        <v>0.86</v>
      </c>
      <c r="M1698" t="n">
        <v>0</v>
      </c>
    </row>
    <row r="1699" spans="1:13">
      <c r="A1699" s="1">
        <f>HYPERLINK("http://www.twitter.com/NathanBLawrence/status/990721706779201536", "990721706779201536")</f>
        <v/>
      </c>
      <c r="B1699" s="2" t="n">
        <v>43219.9425462963</v>
      </c>
      <c r="C1699" t="n">
        <v>0</v>
      </c>
      <c r="D1699" t="n">
        <v>9</v>
      </c>
      <c r="E1699" t="s">
        <v>1698</v>
      </c>
      <c r="F1699" t="s"/>
      <c r="G1699" t="s"/>
      <c r="H1699" t="s"/>
      <c r="I1699" t="s"/>
      <c r="J1699" t="n">
        <v>-0.296</v>
      </c>
      <c r="K1699" t="n">
        <v>0.112</v>
      </c>
      <c r="L1699" t="n">
        <v>0.826</v>
      </c>
      <c r="M1699" t="n">
        <v>0.062</v>
      </c>
    </row>
    <row r="1700" spans="1:13">
      <c r="A1700" s="1">
        <f>HYPERLINK("http://www.twitter.com/NathanBLawrence/status/990721661778518016", "990721661778518016")</f>
        <v/>
      </c>
      <c r="B1700" s="2" t="n">
        <v>43219.94241898148</v>
      </c>
      <c r="C1700" t="n">
        <v>0</v>
      </c>
      <c r="D1700" t="n">
        <v>18780</v>
      </c>
      <c r="E1700" t="s">
        <v>1699</v>
      </c>
      <c r="F1700" t="s"/>
      <c r="G1700" t="s"/>
      <c r="H1700" t="s"/>
      <c r="I1700" t="s"/>
      <c r="J1700" t="n">
        <v>0.5719</v>
      </c>
      <c r="K1700" t="n">
        <v>0</v>
      </c>
      <c r="L1700" t="n">
        <v>0.829</v>
      </c>
      <c r="M1700" t="n">
        <v>0.171</v>
      </c>
    </row>
    <row r="1701" spans="1:13">
      <c r="A1701" s="1">
        <f>HYPERLINK("http://www.twitter.com/NathanBLawrence/status/990721648985825282", "990721648985825282")</f>
        <v/>
      </c>
      <c r="B1701" s="2" t="n">
        <v>43219.94238425926</v>
      </c>
      <c r="C1701" t="n">
        <v>0</v>
      </c>
      <c r="D1701" t="n">
        <v>2761</v>
      </c>
      <c r="E1701" t="s">
        <v>1700</v>
      </c>
      <c r="F1701" t="s"/>
      <c r="G1701" t="s"/>
      <c r="H1701" t="s"/>
      <c r="I1701" t="s"/>
      <c r="J1701" t="n">
        <v>0.4588</v>
      </c>
      <c r="K1701" t="n">
        <v>0.08</v>
      </c>
      <c r="L1701" t="n">
        <v>0.6870000000000001</v>
      </c>
      <c r="M1701" t="n">
        <v>0.233</v>
      </c>
    </row>
    <row r="1702" spans="1:13">
      <c r="A1702" s="1">
        <f>HYPERLINK("http://www.twitter.com/NathanBLawrence/status/990721598377418753", "990721598377418753")</f>
        <v/>
      </c>
      <c r="B1702" s="2" t="n">
        <v>43219.94224537037</v>
      </c>
      <c r="C1702" t="n">
        <v>0</v>
      </c>
      <c r="D1702" t="n">
        <v>4</v>
      </c>
      <c r="E1702" t="s">
        <v>1701</v>
      </c>
      <c r="F1702" t="s"/>
      <c r="G1702" t="s"/>
      <c r="H1702" t="s"/>
      <c r="I1702" t="s"/>
      <c r="J1702" t="n">
        <v>0</v>
      </c>
      <c r="K1702" t="n">
        <v>0</v>
      </c>
      <c r="L1702" t="n">
        <v>1</v>
      </c>
      <c r="M1702" t="n">
        <v>0</v>
      </c>
    </row>
    <row r="1703" spans="1:13">
      <c r="A1703" s="1">
        <f>HYPERLINK("http://www.twitter.com/NathanBLawrence/status/990721569231163397", "990721569231163397")</f>
        <v/>
      </c>
      <c r="B1703" s="2" t="n">
        <v>43219.94216435185</v>
      </c>
      <c r="C1703" t="n">
        <v>0</v>
      </c>
      <c r="D1703" t="n">
        <v>372</v>
      </c>
      <c r="E1703" t="s">
        <v>1702</v>
      </c>
      <c r="F1703" t="s"/>
      <c r="G1703" t="s"/>
      <c r="H1703" t="s"/>
      <c r="I1703" t="s"/>
      <c r="J1703" t="n">
        <v>-0.6486</v>
      </c>
      <c r="K1703" t="n">
        <v>0.227</v>
      </c>
      <c r="L1703" t="n">
        <v>0.773</v>
      </c>
      <c r="M1703" t="n">
        <v>0</v>
      </c>
    </row>
    <row r="1704" spans="1:13">
      <c r="A1704" s="1">
        <f>HYPERLINK("http://www.twitter.com/NathanBLawrence/status/990721552709816320", "990721552709816320")</f>
        <v/>
      </c>
      <c r="B1704" s="2" t="n">
        <v>43219.94211805556</v>
      </c>
      <c r="C1704" t="n">
        <v>0</v>
      </c>
      <c r="D1704" t="n">
        <v>3249</v>
      </c>
      <c r="E1704" t="s">
        <v>1703</v>
      </c>
      <c r="F1704" t="s"/>
      <c r="G1704" t="s"/>
      <c r="H1704" t="s"/>
      <c r="I1704" t="s"/>
      <c r="J1704" t="n">
        <v>0.6723</v>
      </c>
      <c r="K1704" t="n">
        <v>0.09</v>
      </c>
      <c r="L1704" t="n">
        <v>0.648</v>
      </c>
      <c r="M1704" t="n">
        <v>0.262</v>
      </c>
    </row>
    <row r="1705" spans="1:13">
      <c r="A1705" s="1">
        <f>HYPERLINK("http://www.twitter.com/NathanBLawrence/status/990721526789001222", "990721526789001222")</f>
        <v/>
      </c>
      <c r="B1705" s="2" t="n">
        <v>43219.94204861111</v>
      </c>
      <c r="C1705" t="n">
        <v>0</v>
      </c>
      <c r="D1705" t="n">
        <v>16703</v>
      </c>
      <c r="E1705" t="s">
        <v>1704</v>
      </c>
      <c r="F1705" t="s"/>
      <c r="G1705" t="s"/>
      <c r="H1705" t="s"/>
      <c r="I1705" t="s"/>
      <c r="J1705" t="n">
        <v>-0.25</v>
      </c>
      <c r="K1705" t="n">
        <v>0.083</v>
      </c>
      <c r="L1705" t="n">
        <v>0.917</v>
      </c>
      <c r="M1705" t="n">
        <v>0</v>
      </c>
    </row>
    <row r="1706" spans="1:13">
      <c r="A1706" s="1">
        <f>HYPERLINK("http://www.twitter.com/NathanBLawrence/status/990721360514179074", "990721360514179074")</f>
        <v/>
      </c>
      <c r="B1706" s="2" t="n">
        <v>43219.94158564815</v>
      </c>
      <c r="C1706" t="n">
        <v>0</v>
      </c>
      <c r="D1706" t="n">
        <v>5935</v>
      </c>
      <c r="E1706" t="s">
        <v>1705</v>
      </c>
      <c r="F1706" t="s"/>
      <c r="G1706" t="s"/>
      <c r="H1706" t="s"/>
      <c r="I1706" t="s"/>
      <c r="J1706" t="n">
        <v>0</v>
      </c>
      <c r="K1706" t="n">
        <v>0</v>
      </c>
      <c r="L1706" t="n">
        <v>1</v>
      </c>
      <c r="M1706" t="n">
        <v>0</v>
      </c>
    </row>
    <row r="1707" spans="1:13">
      <c r="A1707" s="1">
        <f>HYPERLINK("http://www.twitter.com/NathanBLawrence/status/990721251063853056", "990721251063853056")</f>
        <v/>
      </c>
      <c r="B1707" s="2" t="n">
        <v>43219.94128472222</v>
      </c>
      <c r="C1707" t="n">
        <v>0</v>
      </c>
      <c r="D1707" t="n">
        <v>8725</v>
      </c>
      <c r="E1707" t="s">
        <v>1706</v>
      </c>
      <c r="F1707" t="s"/>
      <c r="G1707" t="s"/>
      <c r="H1707" t="s"/>
      <c r="I1707" t="s"/>
      <c r="J1707" t="n">
        <v>0.7351</v>
      </c>
      <c r="K1707" t="n">
        <v>0</v>
      </c>
      <c r="L1707" t="n">
        <v>0.763</v>
      </c>
      <c r="M1707" t="n">
        <v>0.237</v>
      </c>
    </row>
    <row r="1708" spans="1:13">
      <c r="A1708" s="1">
        <f>HYPERLINK("http://www.twitter.com/NathanBLawrence/status/990721220311179264", "990721220311179264")</f>
        <v/>
      </c>
      <c r="B1708" s="2" t="n">
        <v>43219.9412037037</v>
      </c>
      <c r="C1708" t="n">
        <v>0</v>
      </c>
      <c r="D1708" t="n">
        <v>89</v>
      </c>
      <c r="E1708" t="s">
        <v>1707</v>
      </c>
      <c r="F1708" t="s"/>
      <c r="G1708" t="s"/>
      <c r="H1708" t="s"/>
      <c r="I1708" t="s"/>
      <c r="J1708" t="n">
        <v>-0.3818</v>
      </c>
      <c r="K1708" t="n">
        <v>0.133</v>
      </c>
      <c r="L1708" t="n">
        <v>0.867</v>
      </c>
      <c r="M1708" t="n">
        <v>0</v>
      </c>
    </row>
    <row r="1709" spans="1:13">
      <c r="A1709" s="1">
        <f>HYPERLINK("http://www.twitter.com/NathanBLawrence/status/990721205278830593", "990721205278830593")</f>
        <v/>
      </c>
      <c r="B1709" s="2" t="n">
        <v>43219.9411574074</v>
      </c>
      <c r="C1709" t="n">
        <v>0</v>
      </c>
      <c r="D1709" t="n">
        <v>845</v>
      </c>
      <c r="E1709" t="s">
        <v>1708</v>
      </c>
      <c r="F1709" t="s"/>
      <c r="G1709" t="s"/>
      <c r="H1709" t="s"/>
      <c r="I1709" t="s"/>
      <c r="J1709" t="n">
        <v>-0.7269</v>
      </c>
      <c r="K1709" t="n">
        <v>0.253</v>
      </c>
      <c r="L1709" t="n">
        <v>0.747</v>
      </c>
      <c r="M1709" t="n">
        <v>0</v>
      </c>
    </row>
    <row r="1710" spans="1:13">
      <c r="A1710" s="1">
        <f>HYPERLINK("http://www.twitter.com/NathanBLawrence/status/990721135619837952", "990721135619837952")</f>
        <v/>
      </c>
      <c r="B1710" s="2" t="n">
        <v>43219.94097222222</v>
      </c>
      <c r="C1710" t="n">
        <v>0</v>
      </c>
      <c r="D1710" t="n">
        <v>16</v>
      </c>
      <c r="E1710" t="s">
        <v>1709</v>
      </c>
      <c r="F1710" t="s"/>
      <c r="G1710" t="s"/>
      <c r="H1710" t="s"/>
      <c r="I1710" t="s"/>
      <c r="J1710" t="n">
        <v>-0.5946</v>
      </c>
      <c r="K1710" t="n">
        <v>0.291</v>
      </c>
      <c r="L1710" t="n">
        <v>0.572</v>
      </c>
      <c r="M1710" t="n">
        <v>0.137</v>
      </c>
    </row>
    <row r="1711" spans="1:13">
      <c r="A1711" s="1">
        <f>HYPERLINK("http://www.twitter.com/NathanBLawrence/status/990721106846855174", "990721106846855174")</f>
        <v/>
      </c>
      <c r="B1711" s="2" t="n">
        <v>43219.9408912037</v>
      </c>
      <c r="C1711" t="n">
        <v>0</v>
      </c>
      <c r="D1711" t="n">
        <v>7720</v>
      </c>
      <c r="E1711" t="s">
        <v>1710</v>
      </c>
      <c r="F1711" t="s"/>
      <c r="G1711" t="s"/>
      <c r="H1711" t="s"/>
      <c r="I1711" t="s"/>
      <c r="J1711" t="n">
        <v>-0.4019</v>
      </c>
      <c r="K1711" t="n">
        <v>0.119</v>
      </c>
      <c r="L1711" t="n">
        <v>0.881</v>
      </c>
      <c r="M1711" t="n">
        <v>0</v>
      </c>
    </row>
    <row r="1712" spans="1:13">
      <c r="A1712" s="1">
        <f>HYPERLINK("http://www.twitter.com/NathanBLawrence/status/990721054338412544", "990721054338412544")</f>
        <v/>
      </c>
      <c r="B1712" s="2" t="n">
        <v>43219.94074074074</v>
      </c>
      <c r="C1712" t="n">
        <v>0</v>
      </c>
      <c r="D1712" t="n">
        <v>8</v>
      </c>
      <c r="E1712" t="s">
        <v>1711</v>
      </c>
      <c r="F1712" t="s"/>
      <c r="G1712" t="s"/>
      <c r="H1712" t="s"/>
      <c r="I1712" t="s"/>
      <c r="J1712" t="n">
        <v>0.7783</v>
      </c>
      <c r="K1712" t="n">
        <v>0</v>
      </c>
      <c r="L1712" t="n">
        <v>0.698</v>
      </c>
      <c r="M1712" t="n">
        <v>0.302</v>
      </c>
    </row>
    <row r="1713" spans="1:13">
      <c r="A1713" s="1">
        <f>HYPERLINK("http://www.twitter.com/NathanBLawrence/status/990721017743138816", "990721017743138816")</f>
        <v/>
      </c>
      <c r="B1713" s="2" t="n">
        <v>43219.94063657407</v>
      </c>
      <c r="C1713" t="n">
        <v>0</v>
      </c>
      <c r="D1713" t="n">
        <v>3699</v>
      </c>
      <c r="E1713" t="s">
        <v>1712</v>
      </c>
      <c r="F1713" t="s"/>
      <c r="G1713" t="s"/>
      <c r="H1713" t="s"/>
      <c r="I1713" t="s"/>
      <c r="J1713" t="n">
        <v>0</v>
      </c>
      <c r="K1713" t="n">
        <v>0</v>
      </c>
      <c r="L1713" t="n">
        <v>1</v>
      </c>
      <c r="M1713" t="n">
        <v>0</v>
      </c>
    </row>
    <row r="1714" spans="1:13">
      <c r="A1714" s="1">
        <f>HYPERLINK("http://www.twitter.com/NathanBLawrence/status/990721004816171009", "990721004816171009")</f>
        <v/>
      </c>
      <c r="B1714" s="2" t="n">
        <v>43219.94060185185</v>
      </c>
      <c r="C1714" t="n">
        <v>0</v>
      </c>
      <c r="D1714" t="n">
        <v>21106</v>
      </c>
      <c r="E1714" t="s">
        <v>1713</v>
      </c>
      <c r="F1714" t="s"/>
      <c r="G1714" t="s"/>
      <c r="H1714" t="s"/>
      <c r="I1714" t="s"/>
      <c r="J1714" t="n">
        <v>0.9042</v>
      </c>
      <c r="K1714" t="n">
        <v>0</v>
      </c>
      <c r="L1714" t="n">
        <v>0.629</v>
      </c>
      <c r="M1714" t="n">
        <v>0.371</v>
      </c>
    </row>
    <row r="1715" spans="1:13">
      <c r="A1715" s="1">
        <f>HYPERLINK("http://www.twitter.com/NathanBLawrence/status/990720947186536454", "990720947186536454")</f>
        <v/>
      </c>
      <c r="B1715" s="2" t="n">
        <v>43219.94045138889</v>
      </c>
      <c r="C1715" t="n">
        <v>0</v>
      </c>
      <c r="D1715" t="n">
        <v>7551</v>
      </c>
      <c r="E1715" t="s">
        <v>1714</v>
      </c>
      <c r="F1715" t="s"/>
      <c r="G1715" t="s"/>
      <c r="H1715" t="s"/>
      <c r="I1715" t="s"/>
      <c r="J1715" t="n">
        <v>-0.6369</v>
      </c>
      <c r="K1715" t="n">
        <v>0.198</v>
      </c>
      <c r="L1715" t="n">
        <v>0.802</v>
      </c>
      <c r="M1715" t="n">
        <v>0</v>
      </c>
    </row>
    <row r="1716" spans="1:13">
      <c r="A1716" s="1">
        <f>HYPERLINK("http://www.twitter.com/NathanBLawrence/status/990720905977397248", "990720905977397248")</f>
        <v/>
      </c>
      <c r="B1716" s="2" t="n">
        <v>43219.94033564815</v>
      </c>
      <c r="C1716" t="n">
        <v>0</v>
      </c>
      <c r="D1716" t="n">
        <v>34</v>
      </c>
      <c r="E1716" t="s">
        <v>1715</v>
      </c>
      <c r="F1716">
        <f>HYPERLINK("http://pbs.twimg.com/media/Db9pvdPV4AAu1yY.jpg", "http://pbs.twimg.com/media/Db9pvdPV4AAu1yY.jpg")</f>
        <v/>
      </c>
      <c r="G1716" t="s"/>
      <c r="H1716" t="s"/>
      <c r="I1716" t="s"/>
      <c r="J1716" t="n">
        <v>0.9308999999999999</v>
      </c>
      <c r="K1716" t="n">
        <v>0</v>
      </c>
      <c r="L1716" t="n">
        <v>0.578</v>
      </c>
      <c r="M1716" t="n">
        <v>0.422</v>
      </c>
    </row>
    <row r="1717" spans="1:13">
      <c r="A1717" s="1">
        <f>HYPERLINK("http://www.twitter.com/NathanBLawrence/status/990720833302745088", "990720833302745088")</f>
        <v/>
      </c>
      <c r="B1717" s="2" t="n">
        <v>43219.94013888889</v>
      </c>
      <c r="C1717" t="n">
        <v>0</v>
      </c>
      <c r="D1717" t="n">
        <v>3031</v>
      </c>
      <c r="E1717" t="s">
        <v>1716</v>
      </c>
      <c r="F1717">
        <f>HYPERLINK("https://video.twimg.com/ext_tw_video/990637859009802241/pu/vid/1280x720/RVNExstvKLurKKo5.mp4?tag=3", "https://video.twimg.com/ext_tw_video/990637859009802241/pu/vid/1280x720/RVNExstvKLurKKo5.mp4?tag=3")</f>
        <v/>
      </c>
      <c r="G1717" t="s"/>
      <c r="H1717" t="s"/>
      <c r="I1717" t="s"/>
      <c r="J1717" t="n">
        <v>0</v>
      </c>
      <c r="K1717" t="n">
        <v>0</v>
      </c>
      <c r="L1717" t="n">
        <v>1</v>
      </c>
      <c r="M1717" t="n">
        <v>0</v>
      </c>
    </row>
    <row r="1718" spans="1:13">
      <c r="A1718" s="1">
        <f>HYPERLINK("http://www.twitter.com/NathanBLawrence/status/990720812834545665", "990720812834545665")</f>
        <v/>
      </c>
      <c r="B1718" s="2" t="n">
        <v>43219.94008101852</v>
      </c>
      <c r="C1718" t="n">
        <v>0</v>
      </c>
      <c r="D1718" t="n">
        <v>9470</v>
      </c>
      <c r="E1718" t="s">
        <v>1717</v>
      </c>
      <c r="F1718" t="s"/>
      <c r="G1718" t="s"/>
      <c r="H1718" t="s"/>
      <c r="I1718" t="s"/>
      <c r="J1718" t="n">
        <v>0.8145</v>
      </c>
      <c r="K1718" t="n">
        <v>0.186</v>
      </c>
      <c r="L1718" t="n">
        <v>0.411</v>
      </c>
      <c r="M1718" t="n">
        <v>0.404</v>
      </c>
    </row>
    <row r="1719" spans="1:13">
      <c r="A1719" s="1">
        <f>HYPERLINK("http://www.twitter.com/NathanBLawrence/status/990720791917588481", "990720791917588481")</f>
        <v/>
      </c>
      <c r="B1719" s="2" t="n">
        <v>43219.94002314815</v>
      </c>
      <c r="C1719" t="n">
        <v>0</v>
      </c>
      <c r="D1719" t="n">
        <v>10457</v>
      </c>
      <c r="E1719" t="s">
        <v>1718</v>
      </c>
      <c r="F1719" t="s"/>
      <c r="G1719" t="s"/>
      <c r="H1719" t="s"/>
      <c r="I1719" t="s"/>
      <c r="J1719" t="n">
        <v>-0.7351</v>
      </c>
      <c r="K1719" t="n">
        <v>0.256</v>
      </c>
      <c r="L1719" t="n">
        <v>0.744</v>
      </c>
      <c r="M1719" t="n">
        <v>0</v>
      </c>
    </row>
    <row r="1720" spans="1:13">
      <c r="A1720" s="1">
        <f>HYPERLINK("http://www.twitter.com/NathanBLawrence/status/990720744752668673", "990720744752668673")</f>
        <v/>
      </c>
      <c r="B1720" s="2" t="n">
        <v>43219.93988425926</v>
      </c>
      <c r="C1720" t="n">
        <v>0</v>
      </c>
      <c r="D1720" t="n">
        <v>3076</v>
      </c>
      <c r="E1720" t="s">
        <v>1719</v>
      </c>
      <c r="F1720" t="s"/>
      <c r="G1720" t="s"/>
      <c r="H1720" t="s"/>
      <c r="I1720" t="s"/>
      <c r="J1720" t="n">
        <v>0.4912</v>
      </c>
      <c r="K1720" t="n">
        <v>0</v>
      </c>
      <c r="L1720" t="n">
        <v>0.874</v>
      </c>
      <c r="M1720" t="n">
        <v>0.126</v>
      </c>
    </row>
    <row r="1721" spans="1:13">
      <c r="A1721" s="1">
        <f>HYPERLINK("http://www.twitter.com/NathanBLawrence/status/990720710371938304", "990720710371938304")</f>
        <v/>
      </c>
      <c r="B1721" s="2" t="n">
        <v>43219.93979166666</v>
      </c>
      <c r="C1721" t="n">
        <v>0</v>
      </c>
      <c r="D1721" t="n">
        <v>13036</v>
      </c>
      <c r="E1721" t="s">
        <v>1720</v>
      </c>
      <c r="F1721" t="s"/>
      <c r="G1721" t="s"/>
      <c r="H1721" t="s"/>
      <c r="I1721" t="s"/>
      <c r="J1721" t="n">
        <v>-0.4019</v>
      </c>
      <c r="K1721" t="n">
        <v>0.119</v>
      </c>
      <c r="L1721" t="n">
        <v>0.83</v>
      </c>
      <c r="M1721" t="n">
        <v>0.051</v>
      </c>
    </row>
    <row r="1722" spans="1:13">
      <c r="A1722" s="1">
        <f>HYPERLINK("http://www.twitter.com/NathanBLawrence/status/990720615438061568", "990720615438061568")</f>
        <v/>
      </c>
      <c r="B1722" s="2" t="n">
        <v>43219.93953703704</v>
      </c>
      <c r="C1722" t="n">
        <v>0</v>
      </c>
      <c r="D1722" t="n">
        <v>0</v>
      </c>
      <c r="E1722" t="s">
        <v>1721</v>
      </c>
      <c r="F1722" t="s"/>
      <c r="G1722" t="s"/>
      <c r="H1722" t="s"/>
      <c r="I1722" t="s"/>
      <c r="J1722" t="n">
        <v>-0.6652</v>
      </c>
      <c r="K1722" t="n">
        <v>0.522</v>
      </c>
      <c r="L1722" t="n">
        <v>0.478</v>
      </c>
      <c r="M1722" t="n">
        <v>0</v>
      </c>
    </row>
    <row r="1723" spans="1:13">
      <c r="A1723" s="1">
        <f>HYPERLINK("http://www.twitter.com/NathanBLawrence/status/990720528024588293", "990720528024588293")</f>
        <v/>
      </c>
      <c r="B1723" s="2" t="n">
        <v>43219.93929398148</v>
      </c>
      <c r="C1723" t="n">
        <v>0</v>
      </c>
      <c r="D1723" t="n">
        <v>2877</v>
      </c>
      <c r="E1723" t="s">
        <v>1722</v>
      </c>
      <c r="F1723" t="s"/>
      <c r="G1723" t="s"/>
      <c r="H1723" t="s"/>
      <c r="I1723" t="s"/>
      <c r="J1723" t="n">
        <v>0</v>
      </c>
      <c r="K1723" t="n">
        <v>0</v>
      </c>
      <c r="L1723" t="n">
        <v>1</v>
      </c>
      <c r="M1723" t="n">
        <v>0</v>
      </c>
    </row>
    <row r="1724" spans="1:13">
      <c r="A1724" s="1">
        <f>HYPERLINK("http://www.twitter.com/NathanBLawrence/status/990720500354764801", "990720500354764801")</f>
        <v/>
      </c>
      <c r="B1724" s="2" t="n">
        <v>43219.93921296296</v>
      </c>
      <c r="C1724" t="n">
        <v>0</v>
      </c>
      <c r="D1724" t="n">
        <v>15292</v>
      </c>
      <c r="E1724" t="s">
        <v>1723</v>
      </c>
      <c r="F1724" t="s"/>
      <c r="G1724" t="s"/>
      <c r="H1724" t="s"/>
      <c r="I1724" t="s"/>
      <c r="J1724" t="n">
        <v>-0.4939</v>
      </c>
      <c r="K1724" t="n">
        <v>0.144</v>
      </c>
      <c r="L1724" t="n">
        <v>0.856</v>
      </c>
      <c r="M1724" t="n">
        <v>0</v>
      </c>
    </row>
    <row r="1725" spans="1:13">
      <c r="A1725" s="1">
        <f>HYPERLINK("http://www.twitter.com/NathanBLawrence/status/990720462274654209", "990720462274654209")</f>
        <v/>
      </c>
      <c r="B1725" s="2" t="n">
        <v>43219.93910879629</v>
      </c>
      <c r="C1725" t="n">
        <v>0</v>
      </c>
      <c r="D1725" t="n">
        <v>12</v>
      </c>
      <c r="E1725" t="s">
        <v>1724</v>
      </c>
      <c r="F1725" t="s"/>
      <c r="G1725" t="s"/>
      <c r="H1725" t="s"/>
      <c r="I1725" t="s"/>
      <c r="J1725" t="n">
        <v>-0.296</v>
      </c>
      <c r="K1725" t="n">
        <v>0.095</v>
      </c>
      <c r="L1725" t="n">
        <v>0.905</v>
      </c>
      <c r="M1725" t="n">
        <v>0</v>
      </c>
    </row>
    <row r="1726" spans="1:13">
      <c r="A1726" s="1">
        <f>HYPERLINK("http://www.twitter.com/NathanBLawrence/status/990720450949996545", "990720450949996545")</f>
        <v/>
      </c>
      <c r="B1726" s="2" t="n">
        <v>43219.93907407407</v>
      </c>
      <c r="C1726" t="n">
        <v>0</v>
      </c>
      <c r="D1726" t="n">
        <v>10883</v>
      </c>
      <c r="E1726" t="s">
        <v>1725</v>
      </c>
      <c r="F1726" t="s"/>
      <c r="G1726" t="s"/>
      <c r="H1726" t="s"/>
      <c r="I1726" t="s"/>
      <c r="J1726" t="n">
        <v>-0.0516</v>
      </c>
      <c r="K1726" t="n">
        <v>0.107</v>
      </c>
      <c r="L1726" t="n">
        <v>0.794</v>
      </c>
      <c r="M1726" t="n">
        <v>0.099</v>
      </c>
    </row>
    <row r="1727" spans="1:13">
      <c r="A1727" s="1">
        <f>HYPERLINK("http://www.twitter.com/NathanBLawrence/status/990720427424141315", "990720427424141315")</f>
        <v/>
      </c>
      <c r="B1727" s="2" t="n">
        <v>43219.9390162037</v>
      </c>
      <c r="C1727" t="n">
        <v>0</v>
      </c>
      <c r="D1727" t="n">
        <v>22385</v>
      </c>
      <c r="E1727" t="s">
        <v>1726</v>
      </c>
      <c r="F1727" t="s"/>
      <c r="G1727" t="s"/>
      <c r="H1727" t="s"/>
      <c r="I1727" t="s"/>
      <c r="J1727" t="n">
        <v>-0.1531</v>
      </c>
      <c r="K1727" t="n">
        <v>0.149</v>
      </c>
      <c r="L1727" t="n">
        <v>0.726</v>
      </c>
      <c r="M1727" t="n">
        <v>0.125</v>
      </c>
    </row>
    <row r="1728" spans="1:13">
      <c r="A1728" s="1">
        <f>HYPERLINK("http://www.twitter.com/NathanBLawrence/status/990720348604821504", "990720348604821504")</f>
        <v/>
      </c>
      <c r="B1728" s="2" t="n">
        <v>43219.93879629629</v>
      </c>
      <c r="C1728" t="n">
        <v>0</v>
      </c>
      <c r="D1728" t="n">
        <v>5</v>
      </c>
      <c r="E1728" t="s">
        <v>1727</v>
      </c>
      <c r="F1728" t="s"/>
      <c r="G1728" t="s"/>
      <c r="H1728" t="s"/>
      <c r="I1728" t="s"/>
      <c r="J1728" t="n">
        <v>0</v>
      </c>
      <c r="K1728" t="n">
        <v>0</v>
      </c>
      <c r="L1728" t="n">
        <v>1</v>
      </c>
      <c r="M1728" t="n">
        <v>0</v>
      </c>
    </row>
    <row r="1729" spans="1:13">
      <c r="A1729" s="1">
        <f>HYPERLINK("http://www.twitter.com/NathanBLawrence/status/990720320335171584", "990720320335171584")</f>
        <v/>
      </c>
      <c r="B1729" s="2" t="n">
        <v>43219.93871527778</v>
      </c>
      <c r="C1729" t="n">
        <v>0</v>
      </c>
      <c r="D1729" t="n">
        <v>4</v>
      </c>
      <c r="E1729" t="s">
        <v>1728</v>
      </c>
      <c r="F1729" t="s"/>
      <c r="G1729" t="s"/>
      <c r="H1729" t="s"/>
      <c r="I1729" t="s"/>
      <c r="J1729" t="n">
        <v>0.2225</v>
      </c>
      <c r="K1729" t="n">
        <v>0.091</v>
      </c>
      <c r="L1729" t="n">
        <v>0.782</v>
      </c>
      <c r="M1729" t="n">
        <v>0.127</v>
      </c>
    </row>
    <row r="1730" spans="1:13">
      <c r="A1730" s="1">
        <f>HYPERLINK("http://www.twitter.com/NathanBLawrence/status/990720310956773376", "990720310956773376")</f>
        <v/>
      </c>
      <c r="B1730" s="2" t="n">
        <v>43219.93869212963</v>
      </c>
      <c r="C1730" t="n">
        <v>0</v>
      </c>
      <c r="D1730" t="n">
        <v>3</v>
      </c>
      <c r="E1730" t="s">
        <v>1729</v>
      </c>
      <c r="F1730" t="s"/>
      <c r="G1730" t="s"/>
      <c r="H1730" t="s"/>
      <c r="I1730" t="s"/>
      <c r="J1730" t="n">
        <v>-0.2584</v>
      </c>
      <c r="K1730" t="n">
        <v>0.08500000000000001</v>
      </c>
      <c r="L1730" t="n">
        <v>0.915</v>
      </c>
      <c r="M1730" t="n">
        <v>0</v>
      </c>
    </row>
    <row r="1731" spans="1:13">
      <c r="A1731" s="1">
        <f>HYPERLINK("http://www.twitter.com/NathanBLawrence/status/990720295286779905", "990720295286779905")</f>
        <v/>
      </c>
      <c r="B1731" s="2" t="n">
        <v>43219.93864583333</v>
      </c>
      <c r="C1731" t="n">
        <v>1</v>
      </c>
      <c r="D1731" t="n">
        <v>0</v>
      </c>
      <c r="E1731" t="s">
        <v>1730</v>
      </c>
      <c r="F1731" t="s"/>
      <c r="G1731" t="s"/>
      <c r="H1731" t="s"/>
      <c r="I1731" t="s"/>
      <c r="J1731" t="n">
        <v>0.4329</v>
      </c>
      <c r="K1731" t="n">
        <v>0</v>
      </c>
      <c r="L1731" t="n">
        <v>0.83</v>
      </c>
      <c r="M1731" t="n">
        <v>0.17</v>
      </c>
    </row>
    <row r="1732" spans="1:13">
      <c r="A1732" s="1">
        <f>HYPERLINK("http://www.twitter.com/NathanBLawrence/status/990720062263881728", "990720062263881728")</f>
        <v/>
      </c>
      <c r="B1732" s="2" t="n">
        <v>43219.93800925926</v>
      </c>
      <c r="C1732" t="n">
        <v>0</v>
      </c>
      <c r="D1732" t="n">
        <v>1096</v>
      </c>
      <c r="E1732" t="s">
        <v>1731</v>
      </c>
      <c r="F1732" t="s"/>
      <c r="G1732" t="s"/>
      <c r="H1732" t="s"/>
      <c r="I1732" t="s"/>
      <c r="J1732" t="n">
        <v>0.1027</v>
      </c>
      <c r="K1732" t="n">
        <v>0.102</v>
      </c>
      <c r="L1732" t="n">
        <v>0.779</v>
      </c>
      <c r="M1732" t="n">
        <v>0.119</v>
      </c>
    </row>
    <row r="1733" spans="1:13">
      <c r="A1733" s="1">
        <f>HYPERLINK("http://www.twitter.com/NathanBLawrence/status/990720004206231552", "990720004206231552")</f>
        <v/>
      </c>
      <c r="B1733" s="2" t="n">
        <v>43219.93784722222</v>
      </c>
      <c r="C1733" t="n">
        <v>0</v>
      </c>
      <c r="D1733" t="n">
        <v>0</v>
      </c>
      <c r="E1733" t="s">
        <v>1732</v>
      </c>
      <c r="F1733" t="s"/>
      <c r="G1733" t="s"/>
      <c r="H1733" t="s"/>
      <c r="I1733" t="s"/>
      <c r="J1733" t="n">
        <v>0</v>
      </c>
      <c r="K1733" t="n">
        <v>0</v>
      </c>
      <c r="L1733" t="n">
        <v>1</v>
      </c>
      <c r="M1733" t="n">
        <v>0</v>
      </c>
    </row>
    <row r="1734" spans="1:13">
      <c r="A1734" s="1">
        <f>HYPERLINK("http://www.twitter.com/NathanBLawrence/status/990719947008602112", "990719947008602112")</f>
        <v/>
      </c>
      <c r="B1734" s="2" t="n">
        <v>43219.93768518518</v>
      </c>
      <c r="C1734" t="n">
        <v>0</v>
      </c>
      <c r="D1734" t="n">
        <v>3</v>
      </c>
      <c r="E1734" t="s">
        <v>1733</v>
      </c>
      <c r="F1734">
        <f>HYPERLINK("http://pbs.twimg.com/media/Db-MYyjX0AA7zs0.jpg", "http://pbs.twimg.com/media/Db-MYyjX0AA7zs0.jpg")</f>
        <v/>
      </c>
      <c r="G1734" t="s"/>
      <c r="H1734" t="s"/>
      <c r="I1734" t="s"/>
      <c r="J1734" t="n">
        <v>0</v>
      </c>
      <c r="K1734" t="n">
        <v>0</v>
      </c>
      <c r="L1734" t="n">
        <v>1</v>
      </c>
      <c r="M1734" t="n">
        <v>0</v>
      </c>
    </row>
    <row r="1735" spans="1:13">
      <c r="A1735" s="1">
        <f>HYPERLINK("http://www.twitter.com/NathanBLawrence/status/990719914901229571", "990719914901229571")</f>
        <v/>
      </c>
      <c r="B1735" s="2" t="n">
        <v>43219.93760416667</v>
      </c>
      <c r="C1735" t="n">
        <v>0</v>
      </c>
      <c r="D1735" t="n">
        <v>2301</v>
      </c>
      <c r="E1735" t="s">
        <v>1734</v>
      </c>
      <c r="F1735" t="s"/>
      <c r="G1735" t="s"/>
      <c r="H1735" t="s"/>
      <c r="I1735" t="s"/>
      <c r="J1735" t="n">
        <v>-0.5106000000000001</v>
      </c>
      <c r="K1735" t="n">
        <v>0.212</v>
      </c>
      <c r="L1735" t="n">
        <v>0.788</v>
      </c>
      <c r="M1735" t="n">
        <v>0</v>
      </c>
    </row>
    <row r="1736" spans="1:13">
      <c r="A1736" s="1">
        <f>HYPERLINK("http://www.twitter.com/NathanBLawrence/status/990719797062262784", "990719797062262784")</f>
        <v/>
      </c>
      <c r="B1736" s="2" t="n">
        <v>43219.93726851852</v>
      </c>
      <c r="C1736" t="n">
        <v>0</v>
      </c>
      <c r="D1736" t="n">
        <v>15</v>
      </c>
      <c r="E1736" t="s">
        <v>1735</v>
      </c>
      <c r="F1736">
        <f>HYPERLINK("https://video.twimg.com/ext_tw_video/990716019965595649/pu/vid/1280x720/QZ-gh-7kTDJccVv-.mp4?tag=3", "https://video.twimg.com/ext_tw_video/990716019965595649/pu/vid/1280x720/QZ-gh-7kTDJccVv-.mp4?tag=3")</f>
        <v/>
      </c>
      <c r="G1736" t="s"/>
      <c r="H1736" t="s"/>
      <c r="I1736" t="s"/>
      <c r="J1736" t="n">
        <v>-0.2649</v>
      </c>
      <c r="K1736" t="n">
        <v>0.128</v>
      </c>
      <c r="L1736" t="n">
        <v>0.787</v>
      </c>
      <c r="M1736" t="n">
        <v>0.08400000000000001</v>
      </c>
    </row>
    <row r="1737" spans="1:13">
      <c r="A1737" s="1">
        <f>HYPERLINK("http://www.twitter.com/NathanBLawrence/status/990719752225083392", "990719752225083392")</f>
        <v/>
      </c>
      <c r="B1737" s="2" t="n">
        <v>43219.93715277778</v>
      </c>
      <c r="C1737" t="n">
        <v>0</v>
      </c>
      <c r="D1737" t="n">
        <v>349</v>
      </c>
      <c r="E1737" t="s">
        <v>1736</v>
      </c>
      <c r="F1737" t="s"/>
      <c r="G1737" t="s"/>
      <c r="H1737" t="s"/>
      <c r="I1737" t="s"/>
      <c r="J1737" t="n">
        <v>0</v>
      </c>
      <c r="K1737" t="n">
        <v>0</v>
      </c>
      <c r="L1737" t="n">
        <v>1</v>
      </c>
      <c r="M1737" t="n">
        <v>0</v>
      </c>
    </row>
    <row r="1738" spans="1:13">
      <c r="A1738" s="1">
        <f>HYPERLINK("http://www.twitter.com/NathanBLawrence/status/990350923288469505", "990350923288469505")</f>
        <v/>
      </c>
      <c r="B1738" s="2" t="n">
        <v>43218.919375</v>
      </c>
      <c r="C1738" t="n">
        <v>0</v>
      </c>
      <c r="D1738" t="n">
        <v>9597</v>
      </c>
      <c r="E1738" t="s">
        <v>1737</v>
      </c>
      <c r="F1738" t="s"/>
      <c r="G1738" t="s"/>
      <c r="H1738" t="s"/>
      <c r="I1738" t="s"/>
      <c r="J1738" t="n">
        <v>-0.5994</v>
      </c>
      <c r="K1738" t="n">
        <v>0.29</v>
      </c>
      <c r="L1738" t="n">
        <v>0.71</v>
      </c>
      <c r="M1738" t="n">
        <v>0</v>
      </c>
    </row>
    <row r="1739" spans="1:13">
      <c r="A1739" s="1">
        <f>HYPERLINK("http://www.twitter.com/NathanBLawrence/status/990349842269556743", "990349842269556743")</f>
        <v/>
      </c>
      <c r="B1739" s="2" t="n">
        <v>43218.91638888889</v>
      </c>
      <c r="C1739" t="n">
        <v>0</v>
      </c>
      <c r="D1739" t="n">
        <v>2719</v>
      </c>
      <c r="E1739" t="s">
        <v>1738</v>
      </c>
      <c r="F1739">
        <f>HYPERLINK("https://video.twimg.com/amplify_video/990179586796384256/vid/1280x720/K-rsHnLO71Htfsgk.mp4?tag=2", "https://video.twimg.com/amplify_video/990179586796384256/vid/1280x720/K-rsHnLO71Htfsgk.mp4?tag=2")</f>
        <v/>
      </c>
      <c r="G1739" t="s"/>
      <c r="H1739" t="s"/>
      <c r="I1739" t="s"/>
      <c r="J1739" t="n">
        <v>-0.8258</v>
      </c>
      <c r="K1739" t="n">
        <v>0.299</v>
      </c>
      <c r="L1739" t="n">
        <v>0.701</v>
      </c>
      <c r="M1739" t="n">
        <v>0</v>
      </c>
    </row>
    <row r="1740" spans="1:13">
      <c r="A1740" s="1">
        <f>HYPERLINK("http://www.twitter.com/NathanBLawrence/status/990349827149107200", "990349827149107200")</f>
        <v/>
      </c>
      <c r="B1740" s="2" t="n">
        <v>43218.91635416666</v>
      </c>
      <c r="C1740" t="n">
        <v>0</v>
      </c>
      <c r="D1740" t="n">
        <v>21701</v>
      </c>
      <c r="E1740" t="s">
        <v>1739</v>
      </c>
      <c r="F1740" t="s"/>
      <c r="G1740" t="s"/>
      <c r="H1740" t="s"/>
      <c r="I1740" t="s"/>
      <c r="J1740" t="n">
        <v>0.7506</v>
      </c>
      <c r="K1740" t="n">
        <v>0</v>
      </c>
      <c r="L1740" t="n">
        <v>0.758</v>
      </c>
      <c r="M1740" t="n">
        <v>0.242</v>
      </c>
    </row>
    <row r="1741" spans="1:13">
      <c r="A1741" s="1">
        <f>HYPERLINK("http://www.twitter.com/NathanBLawrence/status/990349820501069825", "990349820501069825")</f>
        <v/>
      </c>
      <c r="B1741" s="2" t="n">
        <v>43218.91633101852</v>
      </c>
      <c r="C1741" t="n">
        <v>0</v>
      </c>
      <c r="D1741" t="n">
        <v>25712</v>
      </c>
      <c r="E1741" t="s">
        <v>1740</v>
      </c>
      <c r="F1741" t="s"/>
      <c r="G1741" t="s"/>
      <c r="H1741" t="s"/>
      <c r="I1741" t="s"/>
      <c r="J1741" t="n">
        <v>0</v>
      </c>
      <c r="K1741" t="n">
        <v>0</v>
      </c>
      <c r="L1741" t="n">
        <v>1</v>
      </c>
      <c r="M1741" t="n">
        <v>0</v>
      </c>
    </row>
    <row r="1742" spans="1:13">
      <c r="A1742" s="1">
        <f>HYPERLINK("http://www.twitter.com/NathanBLawrence/status/990349805258977280", "990349805258977280")</f>
        <v/>
      </c>
      <c r="B1742" s="2" t="n">
        <v>43218.91629629629</v>
      </c>
      <c r="C1742" t="n">
        <v>0</v>
      </c>
      <c r="D1742" t="n">
        <v>1083</v>
      </c>
      <c r="E1742" t="s">
        <v>1741</v>
      </c>
      <c r="F1742" t="s"/>
      <c r="G1742" t="s"/>
      <c r="H1742" t="s"/>
      <c r="I1742" t="s"/>
      <c r="J1742" t="n">
        <v>0</v>
      </c>
      <c r="K1742" t="n">
        <v>0</v>
      </c>
      <c r="L1742" t="n">
        <v>1</v>
      </c>
      <c r="M1742" t="n">
        <v>0</v>
      </c>
    </row>
    <row r="1743" spans="1:13">
      <c r="A1743" s="1">
        <f>HYPERLINK("http://www.twitter.com/NathanBLawrence/status/990349796698476544", "990349796698476544")</f>
        <v/>
      </c>
      <c r="B1743" s="2" t="n">
        <v>43218.91626157407</v>
      </c>
      <c r="C1743" t="n">
        <v>0</v>
      </c>
      <c r="D1743" t="n">
        <v>87</v>
      </c>
      <c r="E1743" t="s">
        <v>1742</v>
      </c>
      <c r="F1743" t="s"/>
      <c r="G1743" t="s"/>
      <c r="H1743" t="s"/>
      <c r="I1743" t="s"/>
      <c r="J1743" t="n">
        <v>-0.0516</v>
      </c>
      <c r="K1743" t="n">
        <v>0.054</v>
      </c>
      <c r="L1743" t="n">
        <v>0.946</v>
      </c>
      <c r="M1743" t="n">
        <v>0</v>
      </c>
    </row>
    <row r="1744" spans="1:13">
      <c r="A1744" s="1">
        <f>HYPERLINK("http://www.twitter.com/NathanBLawrence/status/990349777991856128", "990349777991856128")</f>
        <v/>
      </c>
      <c r="B1744" s="2" t="n">
        <v>43218.91621527778</v>
      </c>
      <c r="C1744" t="n">
        <v>1</v>
      </c>
      <c r="D1744" t="n">
        <v>0</v>
      </c>
      <c r="E1744" t="s">
        <v>1743</v>
      </c>
      <c r="F1744" t="s"/>
      <c r="G1744" t="s"/>
      <c r="H1744" t="s"/>
      <c r="I1744" t="s"/>
      <c r="J1744" t="n">
        <v>-0.5106000000000001</v>
      </c>
      <c r="K1744" t="n">
        <v>0.355</v>
      </c>
      <c r="L1744" t="n">
        <v>0.645</v>
      </c>
      <c r="M1744" t="n">
        <v>0</v>
      </c>
    </row>
    <row r="1745" spans="1:13">
      <c r="A1745" s="1">
        <f>HYPERLINK("http://www.twitter.com/NathanBLawrence/status/990349733720985601", "990349733720985601")</f>
        <v/>
      </c>
      <c r="B1745" s="2" t="n">
        <v>43218.91608796296</v>
      </c>
      <c r="C1745" t="n">
        <v>0</v>
      </c>
      <c r="D1745" t="n">
        <v>5</v>
      </c>
      <c r="E1745" t="s">
        <v>1744</v>
      </c>
      <c r="F1745" t="s"/>
      <c r="G1745" t="s"/>
      <c r="H1745" t="s"/>
      <c r="I1745" t="s"/>
      <c r="J1745" t="n">
        <v>0</v>
      </c>
      <c r="K1745" t="n">
        <v>0</v>
      </c>
      <c r="L1745" t="n">
        <v>1</v>
      </c>
      <c r="M1745" t="n">
        <v>0</v>
      </c>
    </row>
    <row r="1746" spans="1:13">
      <c r="A1746" s="1">
        <f>HYPERLINK("http://www.twitter.com/NathanBLawrence/status/990349705535262721", "990349705535262721")</f>
        <v/>
      </c>
      <c r="B1746" s="2" t="n">
        <v>43218.91601851852</v>
      </c>
      <c r="C1746" t="n">
        <v>0</v>
      </c>
      <c r="D1746" t="n">
        <v>27</v>
      </c>
      <c r="E1746" t="s">
        <v>1745</v>
      </c>
      <c r="F1746" t="s"/>
      <c r="G1746" t="s"/>
      <c r="H1746" t="s"/>
      <c r="I1746" t="s"/>
      <c r="J1746" t="n">
        <v>0</v>
      </c>
      <c r="K1746" t="n">
        <v>0</v>
      </c>
      <c r="L1746" t="n">
        <v>1</v>
      </c>
      <c r="M1746" t="n">
        <v>0</v>
      </c>
    </row>
    <row r="1747" spans="1:13">
      <c r="A1747" s="1">
        <f>HYPERLINK("http://www.twitter.com/NathanBLawrence/status/990349685482315777", "990349685482315777")</f>
        <v/>
      </c>
      <c r="B1747" s="2" t="n">
        <v>43218.91596064815</v>
      </c>
      <c r="C1747" t="n">
        <v>0</v>
      </c>
      <c r="D1747" t="n">
        <v>1243</v>
      </c>
      <c r="E1747" t="s">
        <v>1746</v>
      </c>
      <c r="F1747" t="s"/>
      <c r="G1747" t="s"/>
      <c r="H1747" t="s"/>
      <c r="I1747" t="s"/>
      <c r="J1747" t="n">
        <v>0.3612</v>
      </c>
      <c r="K1747" t="n">
        <v>0</v>
      </c>
      <c r="L1747" t="n">
        <v>0.839</v>
      </c>
      <c r="M1747" t="n">
        <v>0.161</v>
      </c>
    </row>
    <row r="1748" spans="1:13">
      <c r="A1748" s="1">
        <f>HYPERLINK("http://www.twitter.com/NathanBLawrence/status/990348010168242176", "990348010168242176")</f>
        <v/>
      </c>
      <c r="B1748" s="2" t="n">
        <v>43218.91134259259</v>
      </c>
      <c r="C1748" t="n">
        <v>0</v>
      </c>
      <c r="D1748" t="n">
        <v>18</v>
      </c>
      <c r="E1748" t="s">
        <v>1747</v>
      </c>
      <c r="F1748" t="s"/>
      <c r="G1748" t="s"/>
      <c r="H1748" t="s"/>
      <c r="I1748" t="s"/>
      <c r="J1748" t="n">
        <v>0.5574</v>
      </c>
      <c r="K1748" t="n">
        <v>0</v>
      </c>
      <c r="L1748" t="n">
        <v>0.825</v>
      </c>
      <c r="M1748" t="n">
        <v>0.175</v>
      </c>
    </row>
    <row r="1749" spans="1:13">
      <c r="A1749" s="1">
        <f>HYPERLINK("http://www.twitter.com/NathanBLawrence/status/990283426451415041", "990283426451415041")</f>
        <v/>
      </c>
      <c r="B1749" s="2" t="n">
        <v>43218.733125</v>
      </c>
      <c r="C1749" t="n">
        <v>0</v>
      </c>
      <c r="D1749" t="n">
        <v>3</v>
      </c>
      <c r="E1749" t="s">
        <v>1748</v>
      </c>
      <c r="F1749" t="s"/>
      <c r="G1749" t="s"/>
      <c r="H1749" t="s"/>
      <c r="I1749" t="s"/>
      <c r="J1749" t="n">
        <v>-0.34</v>
      </c>
      <c r="K1749" t="n">
        <v>0.118</v>
      </c>
      <c r="L1749" t="n">
        <v>0.882</v>
      </c>
      <c r="M1749" t="n">
        <v>0</v>
      </c>
    </row>
    <row r="1750" spans="1:13">
      <c r="A1750" s="1">
        <f>HYPERLINK("http://www.twitter.com/NathanBLawrence/status/990283354451906560", "990283354451906560")</f>
        <v/>
      </c>
      <c r="B1750" s="2" t="n">
        <v>43218.73291666667</v>
      </c>
      <c r="C1750" t="n">
        <v>0</v>
      </c>
      <c r="D1750" t="n">
        <v>0</v>
      </c>
      <c r="E1750" t="s">
        <v>1749</v>
      </c>
      <c r="F1750" t="s"/>
      <c r="G1750" t="s"/>
      <c r="H1750" t="s"/>
      <c r="I1750" t="s"/>
      <c r="J1750" t="n">
        <v>-0.25</v>
      </c>
      <c r="K1750" t="n">
        <v>0.091</v>
      </c>
      <c r="L1750" t="n">
        <v>0.848</v>
      </c>
      <c r="M1750" t="n">
        <v>0.061</v>
      </c>
    </row>
    <row r="1751" spans="1:13">
      <c r="A1751" s="1">
        <f>HYPERLINK("http://www.twitter.com/NathanBLawrence/status/990283176743497728", "990283176743497728")</f>
        <v/>
      </c>
      <c r="B1751" s="2" t="n">
        <v>43218.73243055555</v>
      </c>
      <c r="C1751" t="n">
        <v>0</v>
      </c>
      <c r="D1751" t="n">
        <v>303</v>
      </c>
      <c r="E1751" t="s">
        <v>1750</v>
      </c>
      <c r="F1751" t="s"/>
      <c r="G1751" t="s"/>
      <c r="H1751" t="s"/>
      <c r="I1751" t="s"/>
      <c r="J1751" t="n">
        <v>-0.6369</v>
      </c>
      <c r="K1751" t="n">
        <v>0.189</v>
      </c>
      <c r="L1751" t="n">
        <v>0.8110000000000001</v>
      </c>
      <c r="M1751" t="n">
        <v>0</v>
      </c>
    </row>
    <row r="1752" spans="1:13">
      <c r="A1752" s="1">
        <f>HYPERLINK("http://www.twitter.com/NathanBLawrence/status/990283083290234880", "990283083290234880")</f>
        <v/>
      </c>
      <c r="B1752" s="2" t="n">
        <v>43218.73217592593</v>
      </c>
      <c r="C1752" t="n">
        <v>0</v>
      </c>
      <c r="D1752" t="n">
        <v>15377</v>
      </c>
      <c r="E1752" t="s">
        <v>1751</v>
      </c>
      <c r="F1752" t="s"/>
      <c r="G1752" t="s"/>
      <c r="H1752" t="s"/>
      <c r="I1752" t="s"/>
      <c r="J1752" t="n">
        <v>0.7783</v>
      </c>
      <c r="K1752" t="n">
        <v>0</v>
      </c>
      <c r="L1752" t="n">
        <v>0.755</v>
      </c>
      <c r="M1752" t="n">
        <v>0.245</v>
      </c>
    </row>
    <row r="1753" spans="1:13">
      <c r="A1753" s="1">
        <f>HYPERLINK("http://www.twitter.com/NathanBLawrence/status/990283057184825344", "990283057184825344")</f>
        <v/>
      </c>
      <c r="B1753" s="2" t="n">
        <v>43218.73210648148</v>
      </c>
      <c r="C1753" t="n">
        <v>0</v>
      </c>
      <c r="D1753" t="n">
        <v>3187</v>
      </c>
      <c r="E1753" t="s">
        <v>1752</v>
      </c>
      <c r="F1753" t="s"/>
      <c r="G1753" t="s"/>
      <c r="H1753" t="s"/>
      <c r="I1753" t="s"/>
      <c r="J1753" t="n">
        <v>0.2732</v>
      </c>
      <c r="K1753" t="n">
        <v>0.1</v>
      </c>
      <c r="L1753" t="n">
        <v>0.753</v>
      </c>
      <c r="M1753" t="n">
        <v>0.146</v>
      </c>
    </row>
    <row r="1754" spans="1:13">
      <c r="A1754" s="1">
        <f>HYPERLINK("http://www.twitter.com/NathanBLawrence/status/990282857712095232", "990282857712095232")</f>
        <v/>
      </c>
      <c r="B1754" s="2" t="n">
        <v>43218.73155092593</v>
      </c>
      <c r="C1754" t="n">
        <v>0</v>
      </c>
      <c r="D1754" t="n">
        <v>195</v>
      </c>
      <c r="E1754" t="s">
        <v>1753</v>
      </c>
      <c r="F1754" t="s"/>
      <c r="G1754" t="s"/>
      <c r="H1754" t="s"/>
      <c r="I1754" t="s"/>
      <c r="J1754" t="n">
        <v>0</v>
      </c>
      <c r="K1754" t="n">
        <v>0</v>
      </c>
      <c r="L1754" t="n">
        <v>1</v>
      </c>
      <c r="M1754" t="n">
        <v>0</v>
      </c>
    </row>
    <row r="1755" spans="1:13">
      <c r="A1755" s="1">
        <f>HYPERLINK("http://www.twitter.com/NathanBLawrence/status/990282838309294080", "990282838309294080")</f>
        <v/>
      </c>
      <c r="B1755" s="2" t="n">
        <v>43218.73149305556</v>
      </c>
      <c r="C1755" t="n">
        <v>0</v>
      </c>
      <c r="D1755" t="n">
        <v>173</v>
      </c>
      <c r="E1755" t="s">
        <v>1754</v>
      </c>
      <c r="F1755" t="s"/>
      <c r="G1755" t="s"/>
      <c r="H1755" t="s"/>
      <c r="I1755" t="s"/>
      <c r="J1755" t="n">
        <v>0.3818</v>
      </c>
      <c r="K1755" t="n">
        <v>0</v>
      </c>
      <c r="L1755" t="n">
        <v>0.794</v>
      </c>
      <c r="M1755" t="n">
        <v>0.206</v>
      </c>
    </row>
    <row r="1756" spans="1:13">
      <c r="A1756" s="1">
        <f>HYPERLINK("http://www.twitter.com/NathanBLawrence/status/990282607324745728", "990282607324745728")</f>
        <v/>
      </c>
      <c r="B1756" s="2" t="n">
        <v>43218.73085648148</v>
      </c>
      <c r="C1756" t="n">
        <v>0</v>
      </c>
      <c r="D1756" t="n">
        <v>11609</v>
      </c>
      <c r="E1756" t="s">
        <v>1755</v>
      </c>
      <c r="F1756" t="s"/>
      <c r="G1756" t="s"/>
      <c r="H1756" t="s"/>
      <c r="I1756" t="s"/>
      <c r="J1756" t="n">
        <v>0</v>
      </c>
      <c r="K1756" t="n">
        <v>0</v>
      </c>
      <c r="L1756" t="n">
        <v>1</v>
      </c>
      <c r="M1756" t="n">
        <v>0</v>
      </c>
    </row>
    <row r="1757" spans="1:13">
      <c r="A1757" s="1">
        <f>HYPERLINK("http://www.twitter.com/NathanBLawrence/status/990282596872581120", "990282596872581120")</f>
        <v/>
      </c>
      <c r="B1757" s="2" t="n">
        <v>43218.73083333333</v>
      </c>
      <c r="C1757" t="n">
        <v>0</v>
      </c>
      <c r="D1757" t="n">
        <v>11</v>
      </c>
      <c r="E1757" t="s">
        <v>1756</v>
      </c>
      <c r="F1757">
        <f>HYPERLINK("http://pbs.twimg.com/media/Db1um2RWsAE2vv7.jpg", "http://pbs.twimg.com/media/Db1um2RWsAE2vv7.jpg")</f>
        <v/>
      </c>
      <c r="G1757" t="s"/>
      <c r="H1757" t="s"/>
      <c r="I1757" t="s"/>
      <c r="J1757" t="n">
        <v>0</v>
      </c>
      <c r="K1757" t="n">
        <v>0</v>
      </c>
      <c r="L1757" t="n">
        <v>1</v>
      </c>
      <c r="M1757" t="n">
        <v>0</v>
      </c>
    </row>
    <row r="1758" spans="1:13">
      <c r="A1758" s="1">
        <f>HYPERLINK("http://www.twitter.com/NathanBLawrence/status/990282579029962752", "990282579029962752")</f>
        <v/>
      </c>
      <c r="B1758" s="2" t="n">
        <v>43218.73078703704</v>
      </c>
      <c r="C1758" t="n">
        <v>0</v>
      </c>
      <c r="D1758" t="n">
        <v>1445</v>
      </c>
      <c r="E1758" t="s">
        <v>1757</v>
      </c>
      <c r="F1758" t="s"/>
      <c r="G1758" t="s"/>
      <c r="H1758" t="s"/>
      <c r="I1758" t="s"/>
      <c r="J1758" t="n">
        <v>0.2023</v>
      </c>
      <c r="K1758" t="n">
        <v>0</v>
      </c>
      <c r="L1758" t="n">
        <v>0.921</v>
      </c>
      <c r="M1758" t="n">
        <v>0.079</v>
      </c>
    </row>
    <row r="1759" spans="1:13">
      <c r="A1759" s="1">
        <f>HYPERLINK("http://www.twitter.com/NathanBLawrence/status/990282540102668290", "990282540102668290")</f>
        <v/>
      </c>
      <c r="B1759" s="2" t="n">
        <v>43218.7306712963</v>
      </c>
      <c r="C1759" t="n">
        <v>0</v>
      </c>
      <c r="D1759" t="n">
        <v>7</v>
      </c>
      <c r="E1759" t="s">
        <v>1758</v>
      </c>
      <c r="F1759" t="s"/>
      <c r="G1759" t="s"/>
      <c r="H1759" t="s"/>
      <c r="I1759" t="s"/>
      <c r="J1759" t="n">
        <v>0.6369</v>
      </c>
      <c r="K1759" t="n">
        <v>0</v>
      </c>
      <c r="L1759" t="n">
        <v>0.766</v>
      </c>
      <c r="M1759" t="n">
        <v>0.234</v>
      </c>
    </row>
    <row r="1760" spans="1:13">
      <c r="A1760" s="1">
        <f>HYPERLINK("http://www.twitter.com/NathanBLawrence/status/990282514542587904", "990282514542587904")</f>
        <v/>
      </c>
      <c r="B1760" s="2" t="n">
        <v>43218.73060185185</v>
      </c>
      <c r="C1760" t="n">
        <v>0</v>
      </c>
      <c r="D1760" t="n">
        <v>16</v>
      </c>
      <c r="E1760" t="s">
        <v>1759</v>
      </c>
      <c r="F1760" t="s"/>
      <c r="G1760" t="s"/>
      <c r="H1760" t="s"/>
      <c r="I1760" t="s"/>
      <c r="J1760" t="n">
        <v>0</v>
      </c>
      <c r="K1760" t="n">
        <v>0</v>
      </c>
      <c r="L1760" t="n">
        <v>1</v>
      </c>
      <c r="M1760" t="n">
        <v>0</v>
      </c>
    </row>
    <row r="1761" spans="1:13">
      <c r="A1761" s="1">
        <f>HYPERLINK("http://www.twitter.com/NathanBLawrence/status/990282498566434817", "990282498566434817")</f>
        <v/>
      </c>
      <c r="B1761" s="2" t="n">
        <v>43218.73055555556</v>
      </c>
      <c r="C1761" t="n">
        <v>0</v>
      </c>
      <c r="D1761" t="n">
        <v>30</v>
      </c>
      <c r="E1761" t="s">
        <v>1760</v>
      </c>
      <c r="F1761" t="s"/>
      <c r="G1761" t="s"/>
      <c r="H1761" t="s"/>
      <c r="I1761" t="s"/>
      <c r="J1761" t="n">
        <v>0.0516</v>
      </c>
      <c r="K1761" t="n">
        <v>0</v>
      </c>
      <c r="L1761" t="n">
        <v>0.9379999999999999</v>
      </c>
      <c r="M1761" t="n">
        <v>0.062</v>
      </c>
    </row>
    <row r="1762" spans="1:13">
      <c r="A1762" s="1">
        <f>HYPERLINK("http://www.twitter.com/NathanBLawrence/status/990282487082422273", "990282487082422273")</f>
        <v/>
      </c>
      <c r="B1762" s="2" t="n">
        <v>43218.7305324074</v>
      </c>
      <c r="C1762" t="n">
        <v>0</v>
      </c>
      <c r="D1762" t="n">
        <v>1</v>
      </c>
      <c r="E1762" t="s">
        <v>1761</v>
      </c>
      <c r="F1762" t="s"/>
      <c r="G1762" t="s"/>
      <c r="H1762" t="s"/>
      <c r="I1762" t="s"/>
      <c r="J1762" t="n">
        <v>-0.6705</v>
      </c>
      <c r="K1762" t="n">
        <v>0.234</v>
      </c>
      <c r="L1762" t="n">
        <v>0.766</v>
      </c>
      <c r="M1762" t="n">
        <v>0</v>
      </c>
    </row>
    <row r="1763" spans="1:13">
      <c r="A1763" s="1">
        <f>HYPERLINK("http://www.twitter.com/NathanBLawrence/status/990282469210492930", "990282469210492930")</f>
        <v/>
      </c>
      <c r="B1763" s="2" t="n">
        <v>43218.73047453703</v>
      </c>
      <c r="C1763" t="n">
        <v>0</v>
      </c>
      <c r="D1763" t="n">
        <v>1</v>
      </c>
      <c r="E1763" t="s">
        <v>1762</v>
      </c>
      <c r="F1763" t="s"/>
      <c r="G1763" t="s"/>
      <c r="H1763" t="s"/>
      <c r="I1763" t="s"/>
      <c r="J1763" t="n">
        <v>0</v>
      </c>
      <c r="K1763" t="n">
        <v>0</v>
      </c>
      <c r="L1763" t="n">
        <v>1</v>
      </c>
      <c r="M1763" t="n">
        <v>0</v>
      </c>
    </row>
    <row r="1764" spans="1:13">
      <c r="A1764" s="1">
        <f>HYPERLINK("http://www.twitter.com/NathanBLawrence/status/990282452802433024", "990282452802433024")</f>
        <v/>
      </c>
      <c r="B1764" s="2" t="n">
        <v>43218.73042824074</v>
      </c>
      <c r="C1764" t="n">
        <v>0</v>
      </c>
      <c r="D1764" t="n">
        <v>921</v>
      </c>
      <c r="E1764" t="s">
        <v>1763</v>
      </c>
      <c r="F1764" t="s"/>
      <c r="G1764" t="s"/>
      <c r="H1764" t="s"/>
      <c r="I1764" t="s"/>
      <c r="J1764" t="n">
        <v>0</v>
      </c>
      <c r="K1764" t="n">
        <v>0</v>
      </c>
      <c r="L1764" t="n">
        <v>1</v>
      </c>
      <c r="M1764" t="n">
        <v>0</v>
      </c>
    </row>
    <row r="1765" spans="1:13">
      <c r="A1765" s="1">
        <f>HYPERLINK("http://www.twitter.com/NathanBLawrence/status/990282387815837696", "990282387815837696")</f>
        <v/>
      </c>
      <c r="B1765" s="2" t="n">
        <v>43218.73025462963</v>
      </c>
      <c r="C1765" t="n">
        <v>0</v>
      </c>
      <c r="D1765" t="n">
        <v>1</v>
      </c>
      <c r="E1765" t="s">
        <v>1764</v>
      </c>
      <c r="F1765">
        <f>HYPERLINK("http://pbs.twimg.com/media/Db2MxHtUwAUUrTP.jpg", "http://pbs.twimg.com/media/Db2MxHtUwAUUrTP.jpg")</f>
        <v/>
      </c>
      <c r="G1765" t="s"/>
      <c r="H1765" t="s"/>
      <c r="I1765" t="s"/>
      <c r="J1765" t="n">
        <v>0</v>
      </c>
      <c r="K1765" t="n">
        <v>0</v>
      </c>
      <c r="L1765" t="n">
        <v>1</v>
      </c>
      <c r="M1765" t="n">
        <v>0</v>
      </c>
    </row>
    <row r="1766" spans="1:13">
      <c r="A1766" s="1">
        <f>HYPERLINK("http://www.twitter.com/NathanBLawrence/status/990282320107261953", "990282320107261953")</f>
        <v/>
      </c>
      <c r="B1766" s="2" t="n">
        <v>43218.73006944444</v>
      </c>
      <c r="C1766" t="n">
        <v>0</v>
      </c>
      <c r="D1766" t="n">
        <v>776</v>
      </c>
      <c r="E1766" t="s">
        <v>1765</v>
      </c>
      <c r="F1766" t="s"/>
      <c r="G1766" t="s"/>
      <c r="H1766" t="s"/>
      <c r="I1766" t="s"/>
      <c r="J1766" t="n">
        <v>0.2075</v>
      </c>
      <c r="K1766" t="n">
        <v>0.062</v>
      </c>
      <c r="L1766" t="n">
        <v>0.846</v>
      </c>
      <c r="M1766" t="n">
        <v>0.092</v>
      </c>
    </row>
    <row r="1767" spans="1:13">
      <c r="A1767" s="1">
        <f>HYPERLINK("http://www.twitter.com/NathanBLawrence/status/990282198732460033", "990282198732460033")</f>
        <v/>
      </c>
      <c r="B1767" s="2" t="n">
        <v>43218.7297337963</v>
      </c>
      <c r="C1767" t="n">
        <v>0</v>
      </c>
      <c r="D1767" t="n">
        <v>3</v>
      </c>
      <c r="E1767" t="s">
        <v>1766</v>
      </c>
      <c r="F1767" t="s"/>
      <c r="G1767" t="s"/>
      <c r="H1767" t="s"/>
      <c r="I1767" t="s"/>
      <c r="J1767" t="n">
        <v>0</v>
      </c>
      <c r="K1767" t="n">
        <v>0</v>
      </c>
      <c r="L1767" t="n">
        <v>1</v>
      </c>
      <c r="M1767" t="n">
        <v>0</v>
      </c>
    </row>
    <row r="1768" spans="1:13">
      <c r="A1768" s="1">
        <f>HYPERLINK("http://www.twitter.com/NathanBLawrence/status/990282157687001089", "990282157687001089")</f>
        <v/>
      </c>
      <c r="B1768" s="2" t="n">
        <v>43218.72961805556</v>
      </c>
      <c r="C1768" t="n">
        <v>0</v>
      </c>
      <c r="D1768" t="n">
        <v>173</v>
      </c>
      <c r="E1768" t="s">
        <v>1767</v>
      </c>
      <c r="F1768" t="s"/>
      <c r="G1768" t="s"/>
      <c r="H1768" t="s"/>
      <c r="I1768" t="s"/>
      <c r="J1768" t="n">
        <v>-0.1531</v>
      </c>
      <c r="K1768" t="n">
        <v>0.068</v>
      </c>
      <c r="L1768" t="n">
        <v>0.9320000000000001</v>
      </c>
      <c r="M1768" t="n">
        <v>0</v>
      </c>
    </row>
    <row r="1769" spans="1:13">
      <c r="A1769" s="1">
        <f>HYPERLINK("http://www.twitter.com/NathanBLawrence/status/990282138934276096", "990282138934276096")</f>
        <v/>
      </c>
      <c r="B1769" s="2" t="n">
        <v>43218.72957175926</v>
      </c>
      <c r="C1769" t="n">
        <v>0</v>
      </c>
      <c r="D1769" t="n">
        <v>7</v>
      </c>
      <c r="E1769" t="s">
        <v>1768</v>
      </c>
      <c r="F1769" t="s"/>
      <c r="G1769" t="s"/>
      <c r="H1769" t="s"/>
      <c r="I1769" t="s"/>
      <c r="J1769" t="n">
        <v>0.2732</v>
      </c>
      <c r="K1769" t="n">
        <v>0</v>
      </c>
      <c r="L1769" t="n">
        <v>0.913</v>
      </c>
      <c r="M1769" t="n">
        <v>0.08699999999999999</v>
      </c>
    </row>
    <row r="1770" spans="1:13">
      <c r="A1770" s="1">
        <f>HYPERLINK("http://www.twitter.com/NathanBLawrence/status/990282109901303808", "990282109901303808")</f>
        <v/>
      </c>
      <c r="B1770" s="2" t="n">
        <v>43218.72949074074</v>
      </c>
      <c r="C1770" t="n">
        <v>0</v>
      </c>
      <c r="D1770" t="n">
        <v>25</v>
      </c>
      <c r="E1770" t="s">
        <v>1769</v>
      </c>
      <c r="F1770" t="s"/>
      <c r="G1770" t="s"/>
      <c r="H1770" t="s"/>
      <c r="I1770" t="s"/>
      <c r="J1770" t="n">
        <v>0.5859</v>
      </c>
      <c r="K1770" t="n">
        <v>0</v>
      </c>
      <c r="L1770" t="n">
        <v>0.78</v>
      </c>
      <c r="M1770" t="n">
        <v>0.22</v>
      </c>
    </row>
    <row r="1771" spans="1:13">
      <c r="A1771" s="1">
        <f>HYPERLINK("http://www.twitter.com/NathanBLawrence/status/990281971384406016", "990281971384406016")</f>
        <v/>
      </c>
      <c r="B1771" s="2" t="n">
        <v>43218.72910879629</v>
      </c>
      <c r="C1771" t="n">
        <v>0</v>
      </c>
      <c r="D1771" t="n">
        <v>11</v>
      </c>
      <c r="E1771" t="s">
        <v>1770</v>
      </c>
      <c r="F1771" t="s"/>
      <c r="G1771" t="s"/>
      <c r="H1771" t="s"/>
      <c r="I1771" t="s"/>
      <c r="J1771" t="n">
        <v>0</v>
      </c>
      <c r="K1771" t="n">
        <v>0</v>
      </c>
      <c r="L1771" t="n">
        <v>1</v>
      </c>
      <c r="M1771" t="n">
        <v>0</v>
      </c>
    </row>
    <row r="1772" spans="1:13">
      <c r="A1772" s="1">
        <f>HYPERLINK("http://www.twitter.com/NathanBLawrence/status/990281956205256706", "990281956205256706")</f>
        <v/>
      </c>
      <c r="B1772" s="2" t="n">
        <v>43218.7290625</v>
      </c>
      <c r="C1772" t="n">
        <v>0</v>
      </c>
      <c r="D1772" t="n">
        <v>28</v>
      </c>
      <c r="E1772" t="s">
        <v>1771</v>
      </c>
      <c r="F1772" t="s"/>
      <c r="G1772" t="s"/>
      <c r="H1772" t="s"/>
      <c r="I1772" t="s"/>
      <c r="J1772" t="n">
        <v>-0.594</v>
      </c>
      <c r="K1772" t="n">
        <v>0.26</v>
      </c>
      <c r="L1772" t="n">
        <v>0.74</v>
      </c>
      <c r="M1772" t="n">
        <v>0</v>
      </c>
    </row>
    <row r="1773" spans="1:13">
      <c r="A1773" s="1">
        <f>HYPERLINK("http://www.twitter.com/NathanBLawrence/status/990281934709370880", "990281934709370880")</f>
        <v/>
      </c>
      <c r="B1773" s="2" t="n">
        <v>43218.72900462963</v>
      </c>
      <c r="C1773" t="n">
        <v>0</v>
      </c>
      <c r="D1773" t="n">
        <v>1</v>
      </c>
      <c r="E1773" t="s">
        <v>1772</v>
      </c>
      <c r="F1773" t="s"/>
      <c r="G1773" t="s"/>
      <c r="H1773" t="s"/>
      <c r="I1773" t="s"/>
      <c r="J1773" t="n">
        <v>-0.2263</v>
      </c>
      <c r="K1773" t="n">
        <v>0.157</v>
      </c>
      <c r="L1773" t="n">
        <v>0.723</v>
      </c>
      <c r="M1773" t="n">
        <v>0.119</v>
      </c>
    </row>
    <row r="1774" spans="1:13">
      <c r="A1774" s="1">
        <f>HYPERLINK("http://www.twitter.com/NathanBLawrence/status/990281842124361728", "990281842124361728")</f>
        <v/>
      </c>
      <c r="B1774" s="2" t="n">
        <v>43218.72875</v>
      </c>
      <c r="C1774" t="n">
        <v>0</v>
      </c>
      <c r="D1774" t="n">
        <v>32772</v>
      </c>
      <c r="E1774" t="s">
        <v>1773</v>
      </c>
      <c r="F1774">
        <f>HYPERLINK("http://pbs.twimg.com/media/DbVBwEZXkAEbk44.jpg", "http://pbs.twimg.com/media/DbVBwEZXkAEbk44.jpg")</f>
        <v/>
      </c>
      <c r="G1774" t="s"/>
      <c r="H1774" t="s"/>
      <c r="I1774" t="s"/>
      <c r="J1774" t="n">
        <v>0.2263</v>
      </c>
      <c r="K1774" t="n">
        <v>0</v>
      </c>
      <c r="L1774" t="n">
        <v>0.917</v>
      </c>
      <c r="M1774" t="n">
        <v>0.083</v>
      </c>
    </row>
    <row r="1775" spans="1:13">
      <c r="A1775" s="1">
        <f>HYPERLINK("http://www.twitter.com/NathanBLawrence/status/990281778521886720", "990281778521886720")</f>
        <v/>
      </c>
      <c r="B1775" s="2" t="n">
        <v>43218.72857638889</v>
      </c>
      <c r="C1775" t="n">
        <v>0</v>
      </c>
      <c r="D1775" t="n">
        <v>0</v>
      </c>
      <c r="E1775" t="s">
        <v>1774</v>
      </c>
      <c r="F1775" t="s"/>
      <c r="G1775" t="s"/>
      <c r="H1775" t="s"/>
      <c r="I1775" t="s"/>
      <c r="J1775" t="n">
        <v>-0.2263</v>
      </c>
      <c r="K1775" t="n">
        <v>0.225</v>
      </c>
      <c r="L1775" t="n">
        <v>0.62</v>
      </c>
      <c r="M1775" t="n">
        <v>0.155</v>
      </c>
    </row>
    <row r="1776" spans="1:13">
      <c r="A1776" s="1">
        <f>HYPERLINK("http://www.twitter.com/NathanBLawrence/status/990281608128290816", "990281608128290816")</f>
        <v/>
      </c>
      <c r="B1776" s="2" t="n">
        <v>43218.72810185186</v>
      </c>
      <c r="C1776" t="n">
        <v>0</v>
      </c>
      <c r="D1776" t="n">
        <v>11</v>
      </c>
      <c r="E1776" t="s">
        <v>1775</v>
      </c>
      <c r="F1776" t="s"/>
      <c r="G1776" t="s"/>
      <c r="H1776" t="s"/>
      <c r="I1776" t="s"/>
      <c r="J1776" t="n">
        <v>0</v>
      </c>
      <c r="K1776" t="n">
        <v>0</v>
      </c>
      <c r="L1776" t="n">
        <v>1</v>
      </c>
      <c r="M1776" t="n">
        <v>0</v>
      </c>
    </row>
    <row r="1777" spans="1:13">
      <c r="A1777" s="1">
        <f>HYPERLINK("http://www.twitter.com/NathanBLawrence/status/990281583998496770", "990281583998496770")</f>
        <v/>
      </c>
      <c r="B1777" s="2" t="n">
        <v>43218.72803240741</v>
      </c>
      <c r="C1777" t="n">
        <v>0</v>
      </c>
      <c r="D1777" t="n">
        <v>41</v>
      </c>
      <c r="E1777" t="s">
        <v>1776</v>
      </c>
      <c r="F1777" t="s"/>
      <c r="G1777" t="s"/>
      <c r="H1777" t="s"/>
      <c r="I1777" t="s"/>
      <c r="J1777" t="n">
        <v>-0.1027</v>
      </c>
      <c r="K1777" t="n">
        <v>0.123</v>
      </c>
      <c r="L1777" t="n">
        <v>0.769</v>
      </c>
      <c r="M1777" t="n">
        <v>0.108</v>
      </c>
    </row>
    <row r="1778" spans="1:13">
      <c r="A1778" s="1">
        <f>HYPERLINK("http://www.twitter.com/NathanBLawrence/status/990281549294817280", "990281549294817280")</f>
        <v/>
      </c>
      <c r="B1778" s="2" t="n">
        <v>43218.72793981482</v>
      </c>
      <c r="C1778" t="n">
        <v>0</v>
      </c>
      <c r="D1778" t="n">
        <v>53</v>
      </c>
      <c r="E1778" t="s">
        <v>1777</v>
      </c>
      <c r="F1778" t="s"/>
      <c r="G1778" t="s"/>
      <c r="H1778" t="s"/>
      <c r="I1778" t="s"/>
      <c r="J1778" t="n">
        <v>-0.4939</v>
      </c>
      <c r="K1778" t="n">
        <v>0.127</v>
      </c>
      <c r="L1778" t="n">
        <v>0.873</v>
      </c>
      <c r="M1778" t="n">
        <v>0</v>
      </c>
    </row>
    <row r="1779" spans="1:13">
      <c r="A1779" s="1">
        <f>HYPERLINK("http://www.twitter.com/NathanBLawrence/status/990281527060819969", "990281527060819969")</f>
        <v/>
      </c>
      <c r="B1779" s="2" t="n">
        <v>43218.72788194445</v>
      </c>
      <c r="C1779" t="n">
        <v>0</v>
      </c>
      <c r="D1779" t="n">
        <v>67</v>
      </c>
      <c r="E1779" t="s">
        <v>1778</v>
      </c>
      <c r="F1779" t="s"/>
      <c r="G1779" t="s"/>
      <c r="H1779" t="s"/>
      <c r="I1779" t="s"/>
      <c r="J1779" t="n">
        <v>-0.4588</v>
      </c>
      <c r="K1779" t="n">
        <v>0.237</v>
      </c>
      <c r="L1779" t="n">
        <v>0.639</v>
      </c>
      <c r="M1779" t="n">
        <v>0.124</v>
      </c>
    </row>
    <row r="1780" spans="1:13">
      <c r="A1780" s="1">
        <f>HYPERLINK("http://www.twitter.com/NathanBLawrence/status/990281421234286593", "990281421234286593")</f>
        <v/>
      </c>
      <c r="B1780" s="2" t="n">
        <v>43218.72759259259</v>
      </c>
      <c r="C1780" t="n">
        <v>0</v>
      </c>
      <c r="D1780" t="n">
        <v>5102</v>
      </c>
      <c r="E1780" t="s">
        <v>1779</v>
      </c>
      <c r="F1780" t="s"/>
      <c r="G1780" t="s"/>
      <c r="H1780" t="s"/>
      <c r="I1780" t="s"/>
      <c r="J1780" t="n">
        <v>-0.4588</v>
      </c>
      <c r="K1780" t="n">
        <v>0.176</v>
      </c>
      <c r="L1780" t="n">
        <v>0.824</v>
      </c>
      <c r="M1780" t="n">
        <v>0</v>
      </c>
    </row>
    <row r="1781" spans="1:13">
      <c r="A1781" s="1">
        <f>HYPERLINK("http://www.twitter.com/NathanBLawrence/status/990281250916233218", "990281250916233218")</f>
        <v/>
      </c>
      <c r="B1781" s="2" t="n">
        <v>43218.72711805555</v>
      </c>
      <c r="C1781" t="n">
        <v>0</v>
      </c>
      <c r="D1781" t="n">
        <v>10</v>
      </c>
      <c r="E1781" t="s">
        <v>1780</v>
      </c>
      <c r="F1781" t="s"/>
      <c r="G1781" t="s"/>
      <c r="H1781" t="s"/>
      <c r="I1781" t="s"/>
      <c r="J1781" t="n">
        <v>-0.4023</v>
      </c>
      <c r="K1781" t="n">
        <v>0.119</v>
      </c>
      <c r="L1781" t="n">
        <v>0.881</v>
      </c>
      <c r="M1781" t="n">
        <v>0</v>
      </c>
    </row>
    <row r="1782" spans="1:13">
      <c r="A1782" s="1">
        <f>HYPERLINK("http://www.twitter.com/NathanBLawrence/status/990281156024197120", "990281156024197120")</f>
        <v/>
      </c>
      <c r="B1782" s="2" t="n">
        <v>43218.72685185185</v>
      </c>
      <c r="C1782" t="n">
        <v>0</v>
      </c>
      <c r="D1782" t="n">
        <v>15</v>
      </c>
      <c r="E1782" t="s">
        <v>1781</v>
      </c>
      <c r="F1782">
        <f>HYPERLINK("http://pbs.twimg.com/media/Db4uD-YWAAAmp1Q.jpg", "http://pbs.twimg.com/media/Db4uD-YWAAAmp1Q.jpg")</f>
        <v/>
      </c>
      <c r="G1782" t="s"/>
      <c r="H1782" t="s"/>
      <c r="I1782" t="s"/>
      <c r="J1782" t="n">
        <v>0</v>
      </c>
      <c r="K1782" t="n">
        <v>0</v>
      </c>
      <c r="L1782" t="n">
        <v>1</v>
      </c>
      <c r="M1782" t="n">
        <v>0</v>
      </c>
    </row>
    <row r="1783" spans="1:13">
      <c r="A1783" s="1">
        <f>HYPERLINK("http://www.twitter.com/NathanBLawrence/status/990056331401887745", "990056331401887745")</f>
        <v/>
      </c>
      <c r="B1783" s="2" t="n">
        <v>43218.10645833334</v>
      </c>
      <c r="C1783" t="n">
        <v>0</v>
      </c>
      <c r="D1783" t="n">
        <v>9</v>
      </c>
      <c r="E1783" t="s">
        <v>1782</v>
      </c>
      <c r="F1783">
        <f>HYPERLINK("http://pbs.twimg.com/media/Db1ZDqEXkAEBRK9.jpg", "http://pbs.twimg.com/media/Db1ZDqEXkAEBRK9.jpg")</f>
        <v/>
      </c>
      <c r="G1783" t="s"/>
      <c r="H1783" t="s"/>
      <c r="I1783" t="s"/>
      <c r="J1783" t="n">
        <v>-0.6114000000000001</v>
      </c>
      <c r="K1783" t="n">
        <v>0.235</v>
      </c>
      <c r="L1783" t="n">
        <v>0.765</v>
      </c>
      <c r="M1783" t="n">
        <v>0</v>
      </c>
    </row>
    <row r="1784" spans="1:13">
      <c r="A1784" s="1">
        <f>HYPERLINK("http://www.twitter.com/NathanBLawrence/status/990056316134621184", "990056316134621184")</f>
        <v/>
      </c>
      <c r="B1784" s="2" t="n">
        <v>43218.10641203704</v>
      </c>
      <c r="C1784" t="n">
        <v>0</v>
      </c>
      <c r="D1784" t="n">
        <v>6</v>
      </c>
      <c r="E1784" t="s">
        <v>1783</v>
      </c>
      <c r="F1784" t="s"/>
      <c r="G1784" t="s"/>
      <c r="H1784" t="s"/>
      <c r="I1784" t="s"/>
      <c r="J1784" t="n">
        <v>0.0516</v>
      </c>
      <c r="K1784" t="n">
        <v>0.159</v>
      </c>
      <c r="L1784" t="n">
        <v>0.625</v>
      </c>
      <c r="M1784" t="n">
        <v>0.216</v>
      </c>
    </row>
    <row r="1785" spans="1:13">
      <c r="A1785" s="1">
        <f>HYPERLINK("http://www.twitter.com/NathanBLawrence/status/990056223033749505", "990056223033749505")</f>
        <v/>
      </c>
      <c r="B1785" s="2" t="n">
        <v>43218.1061574074</v>
      </c>
      <c r="C1785" t="n">
        <v>0</v>
      </c>
      <c r="D1785" t="n">
        <v>17</v>
      </c>
      <c r="E1785" t="s">
        <v>1784</v>
      </c>
      <c r="F1785" t="s"/>
      <c r="G1785" t="s"/>
      <c r="H1785" t="s"/>
      <c r="I1785" t="s"/>
      <c r="J1785" t="n">
        <v>0</v>
      </c>
      <c r="K1785" t="n">
        <v>0</v>
      </c>
      <c r="L1785" t="n">
        <v>1</v>
      </c>
      <c r="M1785" t="n">
        <v>0</v>
      </c>
    </row>
    <row r="1786" spans="1:13">
      <c r="A1786" s="1">
        <f>HYPERLINK("http://www.twitter.com/NathanBLawrence/status/990028797784350721", "990028797784350721")</f>
        <v/>
      </c>
      <c r="B1786" s="2" t="n">
        <v>43218.03047453704</v>
      </c>
      <c r="C1786" t="n">
        <v>0</v>
      </c>
      <c r="D1786" t="n">
        <v>43</v>
      </c>
      <c r="E1786" t="s">
        <v>1785</v>
      </c>
      <c r="F1786" t="s"/>
      <c r="G1786" t="s"/>
      <c r="H1786" t="s"/>
      <c r="I1786" t="s"/>
      <c r="J1786" t="n">
        <v>0.6988</v>
      </c>
      <c r="K1786" t="n">
        <v>0.052</v>
      </c>
      <c r="L1786" t="n">
        <v>0.73</v>
      </c>
      <c r="M1786" t="n">
        <v>0.218</v>
      </c>
    </row>
    <row r="1787" spans="1:13">
      <c r="A1787" s="1">
        <f>HYPERLINK("http://www.twitter.com/NathanBLawrence/status/990028751353319424", "990028751353319424")</f>
        <v/>
      </c>
      <c r="B1787" s="2" t="n">
        <v>43218.03034722222</v>
      </c>
      <c r="C1787" t="n">
        <v>0</v>
      </c>
      <c r="D1787" t="n">
        <v>5</v>
      </c>
      <c r="E1787" t="s">
        <v>1786</v>
      </c>
      <c r="F1787" t="s"/>
      <c r="G1787" t="s"/>
      <c r="H1787" t="s"/>
      <c r="I1787" t="s"/>
      <c r="J1787" t="n">
        <v>0.2163</v>
      </c>
      <c r="K1787" t="n">
        <v>0.189</v>
      </c>
      <c r="L1787" t="n">
        <v>0.594</v>
      </c>
      <c r="M1787" t="n">
        <v>0.217</v>
      </c>
    </row>
    <row r="1788" spans="1:13">
      <c r="A1788" s="1">
        <f>HYPERLINK("http://www.twitter.com/NathanBLawrence/status/990028724870492166", "990028724870492166")</f>
        <v/>
      </c>
      <c r="B1788" s="2" t="n">
        <v>43218.03027777778</v>
      </c>
      <c r="C1788" t="n">
        <v>0</v>
      </c>
      <c r="D1788" t="n">
        <v>12</v>
      </c>
      <c r="E1788" t="s">
        <v>1787</v>
      </c>
      <c r="F1788">
        <f>HYPERLINK("http://pbs.twimg.com/media/Db0-bBPWkAAroey.jpg", "http://pbs.twimg.com/media/Db0-bBPWkAAroey.jpg")</f>
        <v/>
      </c>
      <c r="G1788" t="s"/>
      <c r="H1788" t="s"/>
      <c r="I1788" t="s"/>
      <c r="J1788" t="n">
        <v>0.7985</v>
      </c>
      <c r="K1788" t="n">
        <v>0.118</v>
      </c>
      <c r="L1788" t="n">
        <v>0.577</v>
      </c>
      <c r="M1788" t="n">
        <v>0.305</v>
      </c>
    </row>
    <row r="1789" spans="1:13">
      <c r="A1789" s="1">
        <f>HYPERLINK("http://www.twitter.com/NathanBLawrence/status/990028606305906688", "990028606305906688")</f>
        <v/>
      </c>
      <c r="B1789" s="2" t="n">
        <v>43218.02995370371</v>
      </c>
      <c r="C1789" t="n">
        <v>0</v>
      </c>
      <c r="D1789" t="n">
        <v>13</v>
      </c>
      <c r="E1789" t="s">
        <v>1788</v>
      </c>
      <c r="F1789">
        <f>HYPERLINK("http://pbs.twimg.com/media/Db0DOPkVMAAGdK3.jpg", "http://pbs.twimg.com/media/Db0DOPkVMAAGdK3.jpg")</f>
        <v/>
      </c>
      <c r="G1789" t="s"/>
      <c r="H1789" t="s"/>
      <c r="I1789" t="s"/>
      <c r="J1789" t="n">
        <v>0.1531</v>
      </c>
      <c r="K1789" t="n">
        <v>0.1</v>
      </c>
      <c r="L1789" t="n">
        <v>0.773</v>
      </c>
      <c r="M1789" t="n">
        <v>0.127</v>
      </c>
    </row>
    <row r="1790" spans="1:13">
      <c r="A1790" s="1">
        <f>HYPERLINK("http://www.twitter.com/NathanBLawrence/status/990028567139487744", "990028567139487744")</f>
        <v/>
      </c>
      <c r="B1790" s="2" t="n">
        <v>43218.02983796296</v>
      </c>
      <c r="C1790" t="n">
        <v>0</v>
      </c>
      <c r="D1790" t="n">
        <v>17</v>
      </c>
      <c r="E1790" t="s">
        <v>1789</v>
      </c>
      <c r="F1790" t="s"/>
      <c r="G1790" t="s"/>
      <c r="H1790" t="s"/>
      <c r="I1790" t="s"/>
      <c r="J1790" t="n">
        <v>0</v>
      </c>
      <c r="K1790" t="n">
        <v>0</v>
      </c>
      <c r="L1790" t="n">
        <v>1</v>
      </c>
      <c r="M1790" t="n">
        <v>0</v>
      </c>
    </row>
    <row r="1791" spans="1:13">
      <c r="A1791" s="1">
        <f>HYPERLINK("http://www.twitter.com/NathanBLawrence/status/989929861488742400", "989929861488742400")</f>
        <v/>
      </c>
      <c r="B1791" s="2" t="n">
        <v>43217.75746527778</v>
      </c>
      <c r="C1791" t="n">
        <v>0</v>
      </c>
      <c r="D1791" t="n">
        <v>16</v>
      </c>
      <c r="E1791" t="s">
        <v>1790</v>
      </c>
      <c r="F1791" t="s"/>
      <c r="G1791" t="s"/>
      <c r="H1791" t="s"/>
      <c r="I1791" t="s"/>
      <c r="J1791" t="n">
        <v>0</v>
      </c>
      <c r="K1791" t="n">
        <v>0</v>
      </c>
      <c r="L1791" t="n">
        <v>1</v>
      </c>
      <c r="M1791" t="n">
        <v>0</v>
      </c>
    </row>
    <row r="1792" spans="1:13">
      <c r="A1792" s="1">
        <f>HYPERLINK("http://www.twitter.com/NathanBLawrence/status/989929732757172224", "989929732757172224")</f>
        <v/>
      </c>
      <c r="B1792" s="2" t="n">
        <v>43217.75710648148</v>
      </c>
      <c r="C1792" t="n">
        <v>0</v>
      </c>
      <c r="D1792" t="n">
        <v>12</v>
      </c>
      <c r="E1792" t="s">
        <v>1791</v>
      </c>
      <c r="F1792">
        <f>HYPERLINK("http://pbs.twimg.com/media/DbzJsV-UQAEvRgK.jpg", "http://pbs.twimg.com/media/DbzJsV-UQAEvRgK.jpg")</f>
        <v/>
      </c>
      <c r="G1792" t="s"/>
      <c r="H1792" t="s"/>
      <c r="I1792" t="s"/>
      <c r="J1792" t="n">
        <v>0</v>
      </c>
      <c r="K1792" t="n">
        <v>0</v>
      </c>
      <c r="L1792" t="n">
        <v>1</v>
      </c>
      <c r="M1792" t="n">
        <v>0</v>
      </c>
    </row>
    <row r="1793" spans="1:13">
      <c r="A1793" s="1">
        <f>HYPERLINK("http://www.twitter.com/NathanBLawrence/status/989929696094760960", "989929696094760960")</f>
        <v/>
      </c>
      <c r="B1793" s="2" t="n">
        <v>43217.75701388889</v>
      </c>
      <c r="C1793" t="n">
        <v>0</v>
      </c>
      <c r="D1793" t="n">
        <v>13</v>
      </c>
      <c r="E1793" t="s">
        <v>1792</v>
      </c>
      <c r="F1793" t="s"/>
      <c r="G1793" t="s"/>
      <c r="H1793" t="s"/>
      <c r="I1793" t="s"/>
      <c r="J1793" t="n">
        <v>-0.4215</v>
      </c>
      <c r="K1793" t="n">
        <v>0.135</v>
      </c>
      <c r="L1793" t="n">
        <v>0.865</v>
      </c>
      <c r="M1793" t="n">
        <v>0</v>
      </c>
    </row>
    <row r="1794" spans="1:13">
      <c r="A1794" s="1">
        <f>HYPERLINK("http://www.twitter.com/NathanBLawrence/status/989929682240966657", "989929682240966657")</f>
        <v/>
      </c>
      <c r="B1794" s="2" t="n">
        <v>43217.75696759259</v>
      </c>
      <c r="C1794" t="n">
        <v>0</v>
      </c>
      <c r="D1794" t="n">
        <v>35</v>
      </c>
      <c r="E1794" t="s">
        <v>1793</v>
      </c>
      <c r="F1794" t="s"/>
      <c r="G1794" t="s"/>
      <c r="H1794" t="s"/>
      <c r="I1794" t="s"/>
      <c r="J1794" t="n">
        <v>0.0857</v>
      </c>
      <c r="K1794" t="n">
        <v>0.104</v>
      </c>
      <c r="L1794" t="n">
        <v>0.78</v>
      </c>
      <c r="M1794" t="n">
        <v>0.116</v>
      </c>
    </row>
    <row r="1795" spans="1:13">
      <c r="A1795" s="1">
        <f>HYPERLINK("http://www.twitter.com/NathanBLawrence/status/989926321441689600", "989926321441689600")</f>
        <v/>
      </c>
      <c r="B1795" s="2" t="n">
        <v>43217.74769675926</v>
      </c>
      <c r="C1795" t="n">
        <v>0</v>
      </c>
      <c r="D1795" t="n">
        <v>6</v>
      </c>
      <c r="E1795" t="s">
        <v>1794</v>
      </c>
      <c r="F1795" t="s"/>
      <c r="G1795" t="s"/>
      <c r="H1795" t="s"/>
      <c r="I1795" t="s"/>
      <c r="J1795" t="n">
        <v>-0.4588</v>
      </c>
      <c r="K1795" t="n">
        <v>0.12</v>
      </c>
      <c r="L1795" t="n">
        <v>0.88</v>
      </c>
      <c r="M1795" t="n">
        <v>0</v>
      </c>
    </row>
    <row r="1796" spans="1:13">
      <c r="A1796" s="1">
        <f>HYPERLINK("http://www.twitter.com/NathanBLawrence/status/989926309529866241", "989926309529866241")</f>
        <v/>
      </c>
      <c r="B1796" s="2" t="n">
        <v>43217.74766203704</v>
      </c>
      <c r="C1796" t="n">
        <v>0</v>
      </c>
      <c r="D1796" t="n">
        <v>11</v>
      </c>
      <c r="E1796" t="s">
        <v>1795</v>
      </c>
      <c r="F1796" t="s"/>
      <c r="G1796" t="s"/>
      <c r="H1796" t="s"/>
      <c r="I1796" t="s"/>
      <c r="J1796" t="n">
        <v>0</v>
      </c>
      <c r="K1796" t="n">
        <v>0</v>
      </c>
      <c r="L1796" t="n">
        <v>1</v>
      </c>
      <c r="M1796" t="n">
        <v>0</v>
      </c>
    </row>
    <row r="1797" spans="1:13">
      <c r="A1797" s="1">
        <f>HYPERLINK("http://www.twitter.com/NathanBLawrence/status/989926288902295553", "989926288902295553")</f>
        <v/>
      </c>
      <c r="B1797" s="2" t="n">
        <v>43217.74760416667</v>
      </c>
      <c r="C1797" t="n">
        <v>0</v>
      </c>
      <c r="D1797" t="n">
        <v>7</v>
      </c>
      <c r="E1797" t="s">
        <v>1796</v>
      </c>
      <c r="F1797" t="s"/>
      <c r="G1797" t="s"/>
      <c r="H1797" t="s"/>
      <c r="I1797" t="s"/>
      <c r="J1797" t="n">
        <v>0</v>
      </c>
      <c r="K1797" t="n">
        <v>0</v>
      </c>
      <c r="L1797" t="n">
        <v>1</v>
      </c>
      <c r="M1797" t="n">
        <v>0</v>
      </c>
    </row>
    <row r="1798" spans="1:13">
      <c r="A1798" s="1">
        <f>HYPERLINK("http://www.twitter.com/NathanBLawrence/status/989926252265005058", "989926252265005058")</f>
        <v/>
      </c>
      <c r="B1798" s="2" t="n">
        <v>43217.74751157407</v>
      </c>
      <c r="C1798" t="n">
        <v>0</v>
      </c>
      <c r="D1798" t="n">
        <v>9</v>
      </c>
      <c r="E1798" t="s">
        <v>1797</v>
      </c>
      <c r="F1798" t="s"/>
      <c r="G1798" t="s"/>
      <c r="H1798" t="s"/>
      <c r="I1798" t="s"/>
      <c r="J1798" t="n">
        <v>-0.5106000000000001</v>
      </c>
      <c r="K1798" t="n">
        <v>0.13</v>
      </c>
      <c r="L1798" t="n">
        <v>0.87</v>
      </c>
      <c r="M1798" t="n">
        <v>0</v>
      </c>
    </row>
    <row r="1799" spans="1:13">
      <c r="A1799" s="1">
        <f>HYPERLINK("http://www.twitter.com/NathanBLawrence/status/989926229926084608", "989926229926084608")</f>
        <v/>
      </c>
      <c r="B1799" s="2" t="n">
        <v>43217.74744212963</v>
      </c>
      <c r="C1799" t="n">
        <v>0</v>
      </c>
      <c r="D1799" t="n">
        <v>7</v>
      </c>
      <c r="E1799" t="s">
        <v>1798</v>
      </c>
      <c r="F1799" t="s"/>
      <c r="G1799" t="s"/>
      <c r="H1799" t="s"/>
      <c r="I1799" t="s"/>
      <c r="J1799" t="n">
        <v>0</v>
      </c>
      <c r="K1799" t="n">
        <v>0</v>
      </c>
      <c r="L1799" t="n">
        <v>1</v>
      </c>
      <c r="M1799" t="n">
        <v>0</v>
      </c>
    </row>
    <row r="1800" spans="1:13">
      <c r="A1800" s="1">
        <f>HYPERLINK("http://www.twitter.com/NathanBLawrence/status/989926212645638145", "989926212645638145")</f>
        <v/>
      </c>
      <c r="B1800" s="2" t="n">
        <v>43217.74739583334</v>
      </c>
      <c r="C1800" t="n">
        <v>0</v>
      </c>
      <c r="D1800" t="n">
        <v>5</v>
      </c>
      <c r="E1800" t="s">
        <v>1799</v>
      </c>
      <c r="F1800" t="s"/>
      <c r="G1800" t="s"/>
      <c r="H1800" t="s"/>
      <c r="I1800" t="s"/>
      <c r="J1800" t="n">
        <v>0</v>
      </c>
      <c r="K1800" t="n">
        <v>0</v>
      </c>
      <c r="L1800" t="n">
        <v>1</v>
      </c>
      <c r="M1800" t="n">
        <v>0</v>
      </c>
    </row>
    <row r="1801" spans="1:13">
      <c r="A1801" s="1">
        <f>HYPERLINK("http://www.twitter.com/NathanBLawrence/status/989911750156996609", "989911750156996609")</f>
        <v/>
      </c>
      <c r="B1801" s="2" t="n">
        <v>43217.70748842593</v>
      </c>
      <c r="C1801" t="n">
        <v>0</v>
      </c>
      <c r="D1801" t="n">
        <v>15</v>
      </c>
      <c r="E1801" t="s">
        <v>1800</v>
      </c>
      <c r="F1801" t="s"/>
      <c r="G1801" t="s"/>
      <c r="H1801" t="s"/>
      <c r="I1801" t="s"/>
      <c r="J1801" t="n">
        <v>0</v>
      </c>
      <c r="K1801" t="n">
        <v>0</v>
      </c>
      <c r="L1801" t="n">
        <v>1</v>
      </c>
      <c r="M1801" t="n">
        <v>0</v>
      </c>
    </row>
    <row r="1802" spans="1:13">
      <c r="A1802" s="1">
        <f>HYPERLINK("http://www.twitter.com/NathanBLawrence/status/989911665272639489", "989911665272639489")</f>
        <v/>
      </c>
      <c r="B1802" s="2" t="n">
        <v>43217.70725694444</v>
      </c>
      <c r="C1802" t="n">
        <v>0</v>
      </c>
      <c r="D1802" t="n">
        <v>4</v>
      </c>
      <c r="E1802" t="s">
        <v>1801</v>
      </c>
      <c r="F1802" t="s"/>
      <c r="G1802" t="s"/>
      <c r="H1802" t="s"/>
      <c r="I1802" t="s"/>
      <c r="J1802" t="n">
        <v>0</v>
      </c>
      <c r="K1802" t="n">
        <v>0</v>
      </c>
      <c r="L1802" t="n">
        <v>1</v>
      </c>
      <c r="M1802" t="n">
        <v>0</v>
      </c>
    </row>
    <row r="1803" spans="1:13">
      <c r="A1803" s="1">
        <f>HYPERLINK("http://www.twitter.com/NathanBLawrence/status/989871674874003456", "989871674874003456")</f>
        <v/>
      </c>
      <c r="B1803" s="2" t="n">
        <v>43217.59689814815</v>
      </c>
      <c r="C1803" t="n">
        <v>2</v>
      </c>
      <c r="D1803" t="n">
        <v>1</v>
      </c>
      <c r="E1803" t="s">
        <v>1802</v>
      </c>
      <c r="F1803" t="s"/>
      <c r="G1803" t="s"/>
      <c r="H1803" t="s"/>
      <c r="I1803" t="s"/>
      <c r="J1803" t="n">
        <v>0</v>
      </c>
      <c r="K1803" t="n">
        <v>0</v>
      </c>
      <c r="L1803" t="n">
        <v>1</v>
      </c>
      <c r="M1803" t="n">
        <v>0</v>
      </c>
    </row>
    <row r="1804" spans="1:13">
      <c r="A1804" s="1">
        <f>HYPERLINK("http://www.twitter.com/NathanBLawrence/status/989870886693031936", "989870886693031936")</f>
        <v/>
      </c>
      <c r="B1804" s="2" t="n">
        <v>43217.59472222222</v>
      </c>
      <c r="C1804" t="n">
        <v>0</v>
      </c>
      <c r="D1804" t="n">
        <v>11238</v>
      </c>
      <c r="E1804" t="s">
        <v>1803</v>
      </c>
      <c r="F1804" t="s"/>
      <c r="G1804" t="s"/>
      <c r="H1804" t="s"/>
      <c r="I1804" t="s"/>
      <c r="J1804" t="n">
        <v>0.8516</v>
      </c>
      <c r="K1804" t="n">
        <v>0</v>
      </c>
      <c r="L1804" t="n">
        <v>0.491</v>
      </c>
      <c r="M1804" t="n">
        <v>0.509</v>
      </c>
    </row>
    <row r="1805" spans="1:13">
      <c r="A1805" s="1">
        <f>HYPERLINK("http://www.twitter.com/NathanBLawrence/status/989749005897748480", "989749005897748480")</f>
        <v/>
      </c>
      <c r="B1805" s="2" t="n">
        <v>43217.25840277778</v>
      </c>
      <c r="C1805" t="n">
        <v>0</v>
      </c>
      <c r="D1805" t="n">
        <v>3214</v>
      </c>
      <c r="E1805" t="s">
        <v>1804</v>
      </c>
      <c r="F1805">
        <f>HYPERLINK("http://pbs.twimg.com/media/DHhh4KYUIAQO0fq.jpg", "http://pbs.twimg.com/media/DHhh4KYUIAQO0fq.jpg")</f>
        <v/>
      </c>
      <c r="G1805" t="s"/>
      <c r="H1805" t="s"/>
      <c r="I1805" t="s"/>
      <c r="J1805" t="n">
        <v>0.4019</v>
      </c>
      <c r="K1805" t="n">
        <v>0</v>
      </c>
      <c r="L1805" t="n">
        <v>0.769</v>
      </c>
      <c r="M1805" t="n">
        <v>0.231</v>
      </c>
    </row>
    <row r="1806" spans="1:13">
      <c r="A1806" s="1">
        <f>HYPERLINK("http://www.twitter.com/NathanBLawrence/status/989748958925803521", "989748958925803521")</f>
        <v/>
      </c>
      <c r="B1806" s="2" t="n">
        <v>43217.25827546296</v>
      </c>
      <c r="C1806" t="n">
        <v>0</v>
      </c>
      <c r="D1806" t="n">
        <v>332</v>
      </c>
      <c r="E1806" t="s">
        <v>1805</v>
      </c>
      <c r="F1806">
        <f>HYPERLINK("http://pbs.twimg.com/media/DbppNSmUwAAXHZi.jpg", "http://pbs.twimg.com/media/DbppNSmUwAAXHZi.jpg")</f>
        <v/>
      </c>
      <c r="G1806" t="s"/>
      <c r="H1806" t="s"/>
      <c r="I1806" t="s"/>
      <c r="J1806" t="n">
        <v>-0.6705</v>
      </c>
      <c r="K1806" t="n">
        <v>0.209</v>
      </c>
      <c r="L1806" t="n">
        <v>0.791</v>
      </c>
      <c r="M1806" t="n">
        <v>0</v>
      </c>
    </row>
    <row r="1807" spans="1:13">
      <c r="A1807" s="1">
        <f>HYPERLINK("http://www.twitter.com/NathanBLawrence/status/989748733528035335", "989748733528035335")</f>
        <v/>
      </c>
      <c r="B1807" s="2" t="n">
        <v>43217.25765046296</v>
      </c>
      <c r="C1807" t="n">
        <v>0</v>
      </c>
      <c r="D1807" t="n">
        <v>6</v>
      </c>
      <c r="E1807" t="s">
        <v>1806</v>
      </c>
      <c r="F1807">
        <f>HYPERLINK("http://pbs.twimg.com/media/DbxKGTjVwAIhzrC.jpg", "http://pbs.twimg.com/media/DbxKGTjVwAIhzrC.jpg")</f>
        <v/>
      </c>
      <c r="G1807" t="s"/>
      <c r="H1807" t="s"/>
      <c r="I1807" t="s"/>
      <c r="J1807" t="n">
        <v>0</v>
      </c>
      <c r="K1807" t="n">
        <v>0</v>
      </c>
      <c r="L1807" t="n">
        <v>1</v>
      </c>
      <c r="M1807" t="n">
        <v>0</v>
      </c>
    </row>
    <row r="1808" spans="1:13">
      <c r="A1808" s="1">
        <f>HYPERLINK("http://www.twitter.com/NathanBLawrence/status/989748707632402434", "989748707632402434")</f>
        <v/>
      </c>
      <c r="B1808" s="2" t="n">
        <v>43217.25758101852</v>
      </c>
      <c r="C1808" t="n">
        <v>0</v>
      </c>
      <c r="D1808" t="n">
        <v>11</v>
      </c>
      <c r="E1808" t="s">
        <v>1807</v>
      </c>
      <c r="F1808">
        <f>HYPERLINK("http://pbs.twimg.com/media/DbxKS5wVwAA9KuX.jpg", "http://pbs.twimg.com/media/DbxKS5wVwAA9KuX.jpg")</f>
        <v/>
      </c>
      <c r="G1808" t="s"/>
      <c r="H1808" t="s"/>
      <c r="I1808" t="s"/>
      <c r="J1808" t="n">
        <v>-0.1779</v>
      </c>
      <c r="K1808" t="n">
        <v>0.18</v>
      </c>
      <c r="L1808" t="n">
        <v>0.706</v>
      </c>
      <c r="M1808" t="n">
        <v>0.114</v>
      </c>
    </row>
    <row r="1809" spans="1:13">
      <c r="A1809" s="1">
        <f>HYPERLINK("http://www.twitter.com/NathanBLawrence/status/989748567026810880", "989748567026810880")</f>
        <v/>
      </c>
      <c r="B1809" s="2" t="n">
        <v>43217.2571875</v>
      </c>
      <c r="C1809" t="n">
        <v>2</v>
      </c>
      <c r="D1809" t="n">
        <v>0</v>
      </c>
      <c r="E1809" t="s">
        <v>1808</v>
      </c>
      <c r="F1809" t="s"/>
      <c r="G1809" t="s"/>
      <c r="H1809" t="s"/>
      <c r="I1809" t="s"/>
      <c r="J1809" t="n">
        <v>0</v>
      </c>
      <c r="K1809" t="n">
        <v>0</v>
      </c>
      <c r="L1809" t="n">
        <v>1</v>
      </c>
      <c r="M1809" t="n">
        <v>0</v>
      </c>
    </row>
    <row r="1810" spans="1:13">
      <c r="A1810" s="1">
        <f>HYPERLINK("http://www.twitter.com/NathanBLawrence/status/989748525238968320", "989748525238968320")</f>
        <v/>
      </c>
      <c r="B1810" s="2" t="n">
        <v>43217.25707175926</v>
      </c>
      <c r="C1810" t="n">
        <v>0</v>
      </c>
      <c r="D1810" t="n">
        <v>7</v>
      </c>
      <c r="E1810" t="s">
        <v>1809</v>
      </c>
      <c r="F1810">
        <f>HYPERLINK("http://pbs.twimg.com/media/DbxH9JZVAAAjcy3.jpg", "http://pbs.twimg.com/media/DbxH9JZVAAAjcy3.jpg")</f>
        <v/>
      </c>
      <c r="G1810" t="s"/>
      <c r="H1810" t="s"/>
      <c r="I1810" t="s"/>
      <c r="J1810" t="n">
        <v>0</v>
      </c>
      <c r="K1810" t="n">
        <v>0</v>
      </c>
      <c r="L1810" t="n">
        <v>1</v>
      </c>
      <c r="M1810" t="n">
        <v>0</v>
      </c>
    </row>
    <row r="1811" spans="1:13">
      <c r="A1811" s="1">
        <f>HYPERLINK("http://www.twitter.com/NathanBLawrence/status/989748507857698816", "989748507857698816")</f>
        <v/>
      </c>
      <c r="B1811" s="2" t="n">
        <v>43217.25702546296</v>
      </c>
      <c r="C1811" t="n">
        <v>0</v>
      </c>
      <c r="D1811" t="n">
        <v>10</v>
      </c>
      <c r="E1811" t="s">
        <v>1810</v>
      </c>
      <c r="F1811" t="s"/>
      <c r="G1811" t="s"/>
      <c r="H1811" t="s"/>
      <c r="I1811" t="s"/>
      <c r="J1811" t="n">
        <v>0</v>
      </c>
      <c r="K1811" t="n">
        <v>0</v>
      </c>
      <c r="L1811" t="n">
        <v>1</v>
      </c>
      <c r="M1811" t="n">
        <v>0</v>
      </c>
    </row>
    <row r="1812" spans="1:13">
      <c r="A1812" s="1">
        <f>HYPERLINK("http://www.twitter.com/NathanBLawrence/status/989748424072294401", "989748424072294401")</f>
        <v/>
      </c>
      <c r="B1812" s="2" t="n">
        <v>43217.25679398148</v>
      </c>
      <c r="C1812" t="n">
        <v>0</v>
      </c>
      <c r="D1812" t="n">
        <v>3874</v>
      </c>
      <c r="E1812" t="s">
        <v>1811</v>
      </c>
      <c r="F1812" t="s"/>
      <c r="G1812" t="s"/>
      <c r="H1812" t="s"/>
      <c r="I1812" t="s"/>
      <c r="J1812" t="n">
        <v>0</v>
      </c>
      <c r="K1812" t="n">
        <v>0.12</v>
      </c>
      <c r="L1812" t="n">
        <v>0.76</v>
      </c>
      <c r="M1812" t="n">
        <v>0.12</v>
      </c>
    </row>
    <row r="1813" spans="1:13">
      <c r="A1813" s="1">
        <f>HYPERLINK("http://www.twitter.com/NathanBLawrence/status/989747033140412416", "989747033140412416")</f>
        <v/>
      </c>
      <c r="B1813" s="2" t="n">
        <v>43217.25295138889</v>
      </c>
      <c r="C1813" t="n">
        <v>4</v>
      </c>
      <c r="D1813" t="n">
        <v>2</v>
      </c>
      <c r="E1813" t="s">
        <v>1812</v>
      </c>
      <c r="F1813" t="s"/>
      <c r="G1813" t="s"/>
      <c r="H1813" t="s"/>
      <c r="I1813" t="s"/>
      <c r="J1813" t="n">
        <v>-0.2047</v>
      </c>
      <c r="K1813" t="n">
        <v>0.122</v>
      </c>
      <c r="L1813" t="n">
        <v>0.767</v>
      </c>
      <c r="M1813" t="n">
        <v>0.111</v>
      </c>
    </row>
    <row r="1814" spans="1:13">
      <c r="A1814" s="1">
        <f>HYPERLINK("http://www.twitter.com/NathanBLawrence/status/989746592017076229", "989746592017076229")</f>
        <v/>
      </c>
      <c r="B1814" s="2" t="n">
        <v>43217.25173611111</v>
      </c>
      <c r="C1814" t="n">
        <v>3</v>
      </c>
      <c r="D1814" t="n">
        <v>1</v>
      </c>
      <c r="E1814" t="s">
        <v>1813</v>
      </c>
      <c r="F1814" t="s"/>
      <c r="G1814" t="s"/>
      <c r="H1814" t="s"/>
      <c r="I1814" t="s"/>
      <c r="J1814" t="n">
        <v>-0.5913</v>
      </c>
      <c r="K1814" t="n">
        <v>0.077</v>
      </c>
      <c r="L1814" t="n">
        <v>0.923</v>
      </c>
      <c r="M1814" t="n">
        <v>0</v>
      </c>
    </row>
    <row r="1815" spans="1:13">
      <c r="A1815" s="1">
        <f>HYPERLINK("http://www.twitter.com/NathanBLawrence/status/989746111429492736", "989746111429492736")</f>
        <v/>
      </c>
      <c r="B1815" s="2" t="n">
        <v>43217.25041666667</v>
      </c>
      <c r="C1815" t="n">
        <v>3</v>
      </c>
      <c r="D1815" t="n">
        <v>1</v>
      </c>
      <c r="E1815" t="s">
        <v>1814</v>
      </c>
      <c r="F1815" t="s"/>
      <c r="G1815" t="s"/>
      <c r="H1815" t="s"/>
      <c r="I1815" t="s"/>
      <c r="J1815" t="n">
        <v>-0.7783</v>
      </c>
      <c r="K1815" t="n">
        <v>0.13</v>
      </c>
      <c r="L1815" t="n">
        <v>0.87</v>
      </c>
      <c r="M1815" t="n">
        <v>0</v>
      </c>
    </row>
    <row r="1816" spans="1:13">
      <c r="A1816" s="1">
        <f>HYPERLINK("http://www.twitter.com/NathanBLawrence/status/989745787641843714", "989745787641843714")</f>
        <v/>
      </c>
      <c r="B1816" s="2" t="n">
        <v>43217.24952546296</v>
      </c>
      <c r="C1816" t="n">
        <v>2</v>
      </c>
      <c r="D1816" t="n">
        <v>0</v>
      </c>
      <c r="E1816" t="s">
        <v>1815</v>
      </c>
      <c r="F1816" t="s"/>
      <c r="G1816" t="s"/>
      <c r="H1816" t="s"/>
      <c r="I1816" t="s"/>
      <c r="J1816" t="n">
        <v>0.5023</v>
      </c>
      <c r="K1816" t="n">
        <v>0.032</v>
      </c>
      <c r="L1816" t="n">
        <v>0.881</v>
      </c>
      <c r="M1816" t="n">
        <v>0.08599999999999999</v>
      </c>
    </row>
    <row r="1817" spans="1:13">
      <c r="A1817" s="1">
        <f>HYPERLINK("http://www.twitter.com/NathanBLawrence/status/989736763890397184", "989736763890397184")</f>
        <v/>
      </c>
      <c r="B1817" s="2" t="n">
        <v>43217.22461805555</v>
      </c>
      <c r="C1817" t="n">
        <v>0</v>
      </c>
      <c r="D1817" t="n">
        <v>2401</v>
      </c>
      <c r="E1817" t="s">
        <v>1816</v>
      </c>
      <c r="F1817" t="s"/>
      <c r="G1817" t="s"/>
      <c r="H1817" t="s"/>
      <c r="I1817" t="s"/>
      <c r="J1817" t="n">
        <v>0</v>
      </c>
      <c r="K1817" t="n">
        <v>0</v>
      </c>
      <c r="L1817" t="n">
        <v>1</v>
      </c>
      <c r="M1817" t="n">
        <v>0</v>
      </c>
    </row>
    <row r="1818" spans="1:13">
      <c r="A1818" s="1">
        <f>HYPERLINK("http://www.twitter.com/NathanBLawrence/status/989736622278066176", "989736622278066176")</f>
        <v/>
      </c>
      <c r="B1818" s="2" t="n">
        <v>43217.22422453704</v>
      </c>
      <c r="C1818" t="n">
        <v>0</v>
      </c>
      <c r="D1818" t="n">
        <v>36</v>
      </c>
      <c r="E1818" t="s">
        <v>1817</v>
      </c>
      <c r="F1818" t="s"/>
      <c r="G1818" t="s"/>
      <c r="H1818" t="s"/>
      <c r="I1818" t="s"/>
      <c r="J1818" t="n">
        <v>-0.2263</v>
      </c>
      <c r="K1818" t="n">
        <v>0.123</v>
      </c>
      <c r="L1818" t="n">
        <v>0.785</v>
      </c>
      <c r="M1818" t="n">
        <v>0.092</v>
      </c>
    </row>
    <row r="1819" spans="1:13">
      <c r="A1819" s="1">
        <f>HYPERLINK("http://www.twitter.com/NathanBLawrence/status/989736449347010561", "989736449347010561")</f>
        <v/>
      </c>
      <c r="B1819" s="2" t="n">
        <v>43217.22375</v>
      </c>
      <c r="C1819" t="n">
        <v>0</v>
      </c>
      <c r="D1819" t="n">
        <v>223</v>
      </c>
      <c r="E1819" t="s">
        <v>1818</v>
      </c>
      <c r="F1819" t="s"/>
      <c r="G1819" t="s"/>
      <c r="H1819" t="s"/>
      <c r="I1819" t="s"/>
      <c r="J1819" t="n">
        <v>0.0343</v>
      </c>
      <c r="K1819" t="n">
        <v>0.125</v>
      </c>
      <c r="L1819" t="n">
        <v>0.741</v>
      </c>
      <c r="M1819" t="n">
        <v>0.133</v>
      </c>
    </row>
    <row r="1820" spans="1:13">
      <c r="A1820" s="1">
        <f>HYPERLINK("http://www.twitter.com/NathanBLawrence/status/989736435879104512", "989736435879104512")</f>
        <v/>
      </c>
      <c r="B1820" s="2" t="n">
        <v>43217.22371527777</v>
      </c>
      <c r="C1820" t="n">
        <v>0</v>
      </c>
      <c r="D1820" t="n">
        <v>206</v>
      </c>
      <c r="E1820" t="s">
        <v>1819</v>
      </c>
      <c r="F1820" t="s"/>
      <c r="G1820" t="s"/>
      <c r="H1820" t="s"/>
      <c r="I1820" t="s"/>
      <c r="J1820" t="n">
        <v>0.7783</v>
      </c>
      <c r="K1820" t="n">
        <v>0</v>
      </c>
      <c r="L1820" t="n">
        <v>0.714</v>
      </c>
      <c r="M1820" t="n">
        <v>0.286</v>
      </c>
    </row>
    <row r="1821" spans="1:13">
      <c r="A1821" s="1">
        <f>HYPERLINK("http://www.twitter.com/NathanBLawrence/status/989736409438216193", "989736409438216193")</f>
        <v/>
      </c>
      <c r="B1821" s="2" t="n">
        <v>43217.22364583334</v>
      </c>
      <c r="C1821" t="n">
        <v>0</v>
      </c>
      <c r="D1821" t="n">
        <v>1067</v>
      </c>
      <c r="E1821" t="s">
        <v>1820</v>
      </c>
      <c r="F1821" t="s"/>
      <c r="G1821" t="s"/>
      <c r="H1821" t="s"/>
      <c r="I1821" t="s"/>
      <c r="J1821" t="n">
        <v>-0.4588</v>
      </c>
      <c r="K1821" t="n">
        <v>0.167</v>
      </c>
      <c r="L1821" t="n">
        <v>0.833</v>
      </c>
      <c r="M1821" t="n">
        <v>0</v>
      </c>
    </row>
    <row r="1822" spans="1:13">
      <c r="A1822" s="1">
        <f>HYPERLINK("http://www.twitter.com/NathanBLawrence/status/989736340206972933", "989736340206972933")</f>
        <v/>
      </c>
      <c r="B1822" s="2" t="n">
        <v>43217.22344907407</v>
      </c>
      <c r="C1822" t="n">
        <v>0</v>
      </c>
      <c r="D1822" t="n">
        <v>420</v>
      </c>
      <c r="E1822" t="s">
        <v>1821</v>
      </c>
      <c r="F1822" t="s"/>
      <c r="G1822" t="s"/>
      <c r="H1822" t="s"/>
      <c r="I1822" t="s"/>
      <c r="J1822" t="n">
        <v>0.2732</v>
      </c>
      <c r="K1822" t="n">
        <v>0.114</v>
      </c>
      <c r="L1822" t="n">
        <v>0.733</v>
      </c>
      <c r="M1822" t="n">
        <v>0.154</v>
      </c>
    </row>
    <row r="1823" spans="1:13">
      <c r="A1823" s="1">
        <f>HYPERLINK("http://www.twitter.com/NathanBLawrence/status/989736286389850113", "989736286389850113")</f>
        <v/>
      </c>
      <c r="B1823" s="2" t="n">
        <v>43217.22329861111</v>
      </c>
      <c r="C1823" t="n">
        <v>0</v>
      </c>
      <c r="D1823" t="n">
        <v>781</v>
      </c>
      <c r="E1823" t="s">
        <v>1822</v>
      </c>
      <c r="F1823">
        <f>HYPERLINK("https://video.twimg.com/amplify_video/989647860277772288/vid/1280x720/A_0qgZzGWFx3pklx.mp4?tag=2", "https://video.twimg.com/amplify_video/989647860277772288/vid/1280x720/A_0qgZzGWFx3pklx.mp4?tag=2")</f>
        <v/>
      </c>
      <c r="G1823" t="s"/>
      <c r="H1823" t="s"/>
      <c r="I1823" t="s"/>
      <c r="J1823" t="n">
        <v>-0.6705</v>
      </c>
      <c r="K1823" t="n">
        <v>0.211</v>
      </c>
      <c r="L1823" t="n">
        <v>0.737</v>
      </c>
      <c r="M1823" t="n">
        <v>0.053</v>
      </c>
    </row>
    <row r="1824" spans="1:13">
      <c r="A1824" s="1">
        <f>HYPERLINK("http://www.twitter.com/NathanBLawrence/status/989736239010955266", "989736239010955266")</f>
        <v/>
      </c>
      <c r="B1824" s="2" t="n">
        <v>43217.2231712963</v>
      </c>
      <c r="C1824" t="n">
        <v>0</v>
      </c>
      <c r="D1824" t="n">
        <v>654</v>
      </c>
      <c r="E1824" t="s">
        <v>1823</v>
      </c>
      <c r="F1824" t="s"/>
      <c r="G1824" t="s"/>
      <c r="H1824" t="s"/>
      <c r="I1824" t="s"/>
      <c r="J1824" t="n">
        <v>-0.3182</v>
      </c>
      <c r="K1824" t="n">
        <v>0.108</v>
      </c>
      <c r="L1824" t="n">
        <v>0.892</v>
      </c>
      <c r="M1824" t="n">
        <v>0</v>
      </c>
    </row>
    <row r="1825" spans="1:13">
      <c r="A1825" s="1">
        <f>HYPERLINK("http://www.twitter.com/NathanBLawrence/status/989736055040442368", "989736055040442368")</f>
        <v/>
      </c>
      <c r="B1825" s="2" t="n">
        <v>43217.22266203703</v>
      </c>
      <c r="C1825" t="n">
        <v>0</v>
      </c>
      <c r="D1825" t="n">
        <v>2</v>
      </c>
      <c r="E1825" t="s">
        <v>1824</v>
      </c>
      <c r="F1825">
        <f>HYPERLINK("http://pbs.twimg.com/media/Dbw-vc5VAAIi2Sr.jpg", "http://pbs.twimg.com/media/Dbw-vc5VAAIi2Sr.jpg")</f>
        <v/>
      </c>
      <c r="G1825">
        <f>HYPERLINK("http://pbs.twimg.com/media/Dbw-vc7U8AIC7O9.jpg", "http://pbs.twimg.com/media/Dbw-vc7U8AIC7O9.jpg")</f>
        <v/>
      </c>
      <c r="H1825" t="s"/>
      <c r="I1825" t="s"/>
      <c r="J1825" t="n">
        <v>-0.34</v>
      </c>
      <c r="K1825" t="n">
        <v>0.208</v>
      </c>
      <c r="L1825" t="n">
        <v>0.68</v>
      </c>
      <c r="M1825" t="n">
        <v>0.112</v>
      </c>
    </row>
    <row r="1826" spans="1:13">
      <c r="A1826" s="1">
        <f>HYPERLINK("http://www.twitter.com/NathanBLawrence/status/989735513421590529", "989735513421590529")</f>
        <v/>
      </c>
      <c r="B1826" s="2" t="n">
        <v>43217.22116898148</v>
      </c>
      <c r="C1826" t="n">
        <v>0</v>
      </c>
      <c r="D1826" t="n">
        <v>11111</v>
      </c>
      <c r="E1826" t="s">
        <v>1825</v>
      </c>
      <c r="F1826" t="s"/>
      <c r="G1826" t="s"/>
      <c r="H1826" t="s"/>
      <c r="I1826" t="s"/>
      <c r="J1826" t="n">
        <v>-0.128</v>
      </c>
      <c r="K1826" t="n">
        <v>0.061</v>
      </c>
      <c r="L1826" t="n">
        <v>0.9389999999999999</v>
      </c>
      <c r="M1826" t="n">
        <v>0</v>
      </c>
    </row>
    <row r="1827" spans="1:13">
      <c r="A1827" s="1">
        <f>HYPERLINK("http://www.twitter.com/NathanBLawrence/status/989735407565787136", "989735407565787136")</f>
        <v/>
      </c>
      <c r="B1827" s="2" t="n">
        <v>43217.22087962963</v>
      </c>
      <c r="C1827" t="n">
        <v>0</v>
      </c>
      <c r="D1827" t="n">
        <v>408</v>
      </c>
      <c r="E1827" t="s">
        <v>1826</v>
      </c>
      <c r="F1827">
        <f>HYPERLINK("http://pbs.twimg.com/media/DbvndiHVQAAMKyX.jpg", "http://pbs.twimg.com/media/DbvndiHVQAAMKyX.jpg")</f>
        <v/>
      </c>
      <c r="G1827" t="s"/>
      <c r="H1827" t="s"/>
      <c r="I1827" t="s"/>
      <c r="J1827" t="n">
        <v>0</v>
      </c>
      <c r="K1827" t="n">
        <v>0</v>
      </c>
      <c r="L1827" t="n">
        <v>1</v>
      </c>
      <c r="M1827" t="n">
        <v>0</v>
      </c>
    </row>
    <row r="1828" spans="1:13">
      <c r="A1828" s="1">
        <f>HYPERLINK("http://www.twitter.com/NathanBLawrence/status/989735344022085632", "989735344022085632")</f>
        <v/>
      </c>
      <c r="B1828" s="2" t="n">
        <v>43217.22070601852</v>
      </c>
      <c r="C1828" t="n">
        <v>0</v>
      </c>
      <c r="D1828" t="n">
        <v>47</v>
      </c>
      <c r="E1828" t="s">
        <v>1827</v>
      </c>
      <c r="F1828" t="s"/>
      <c r="G1828" t="s"/>
      <c r="H1828" t="s"/>
      <c r="I1828" t="s"/>
      <c r="J1828" t="n">
        <v>0</v>
      </c>
      <c r="K1828" t="n">
        <v>0</v>
      </c>
      <c r="L1828" t="n">
        <v>1</v>
      </c>
      <c r="M1828" t="n">
        <v>0</v>
      </c>
    </row>
    <row r="1829" spans="1:13">
      <c r="A1829" s="1">
        <f>HYPERLINK("http://www.twitter.com/NathanBLawrence/status/989735316729679874", "989735316729679874")</f>
        <v/>
      </c>
      <c r="B1829" s="2" t="n">
        <v>43217.220625</v>
      </c>
      <c r="C1829" t="n">
        <v>0</v>
      </c>
      <c r="D1829" t="n">
        <v>0</v>
      </c>
      <c r="E1829" t="s">
        <v>1828</v>
      </c>
      <c r="F1829" t="s"/>
      <c r="G1829" t="s"/>
      <c r="H1829" t="s"/>
      <c r="I1829" t="s"/>
      <c r="J1829" t="n">
        <v>0</v>
      </c>
      <c r="K1829" t="n">
        <v>0</v>
      </c>
      <c r="L1829" t="n">
        <v>1</v>
      </c>
      <c r="M1829" t="n">
        <v>0</v>
      </c>
    </row>
    <row r="1830" spans="1:13">
      <c r="A1830" s="1">
        <f>HYPERLINK("http://www.twitter.com/NathanBLawrence/status/989735120494985216", "989735120494985216")</f>
        <v/>
      </c>
      <c r="B1830" s="2" t="n">
        <v>43217.22008101852</v>
      </c>
      <c r="C1830" t="n">
        <v>0</v>
      </c>
      <c r="D1830" t="n">
        <v>1842</v>
      </c>
      <c r="E1830" t="s">
        <v>1829</v>
      </c>
      <c r="F1830" t="s"/>
      <c r="G1830" t="s"/>
      <c r="H1830" t="s"/>
      <c r="I1830" t="s"/>
      <c r="J1830" t="n">
        <v>0</v>
      </c>
      <c r="K1830" t="n">
        <v>0</v>
      </c>
      <c r="L1830" t="n">
        <v>1</v>
      </c>
      <c r="M1830" t="n">
        <v>0</v>
      </c>
    </row>
    <row r="1831" spans="1:13">
      <c r="A1831" s="1">
        <f>HYPERLINK("http://www.twitter.com/NathanBLawrence/status/989735011933810694", "989735011933810694")</f>
        <v/>
      </c>
      <c r="B1831" s="2" t="n">
        <v>43217.21978009259</v>
      </c>
      <c r="C1831" t="n">
        <v>6</v>
      </c>
      <c r="D1831" t="n">
        <v>2</v>
      </c>
      <c r="E1831" t="s">
        <v>1830</v>
      </c>
      <c r="F1831">
        <f>HYPERLINK("http://pbs.twimg.com/media/Dbw-vc5VAAIi2Sr.jpg", "http://pbs.twimg.com/media/Dbw-vc5VAAIi2Sr.jpg")</f>
        <v/>
      </c>
      <c r="G1831">
        <f>HYPERLINK("http://pbs.twimg.com/media/Dbw-vc7U8AIC7O9.jpg", "http://pbs.twimg.com/media/Dbw-vc7U8AIC7O9.jpg")</f>
        <v/>
      </c>
      <c r="H1831" t="s"/>
      <c r="I1831" t="s"/>
      <c r="J1831" t="n">
        <v>-0.4003</v>
      </c>
      <c r="K1831" t="n">
        <v>0.176</v>
      </c>
      <c r="L1831" t="n">
        <v>0.735</v>
      </c>
      <c r="M1831" t="n">
        <v>0.089</v>
      </c>
    </row>
    <row r="1832" spans="1:13">
      <c r="A1832" s="1">
        <f>HYPERLINK("http://www.twitter.com/NathanBLawrence/status/989734561763373056", "989734561763373056")</f>
        <v/>
      </c>
      <c r="B1832" s="2" t="n">
        <v>43217.21854166667</v>
      </c>
      <c r="C1832" t="n">
        <v>5</v>
      </c>
      <c r="D1832" t="n">
        <v>0</v>
      </c>
      <c r="E1832" t="s">
        <v>1831</v>
      </c>
      <c r="F1832" t="s"/>
      <c r="G1832" t="s"/>
      <c r="H1832" t="s"/>
      <c r="I1832" t="s"/>
      <c r="J1832" t="n">
        <v>-0.9633</v>
      </c>
      <c r="K1832" t="n">
        <v>0.361</v>
      </c>
      <c r="L1832" t="n">
        <v>0.639</v>
      </c>
      <c r="M1832" t="n">
        <v>0</v>
      </c>
    </row>
    <row r="1833" spans="1:13">
      <c r="A1833" s="1">
        <f>HYPERLINK("http://www.twitter.com/NathanBLawrence/status/989724968509366273", "989724968509366273")</f>
        <v/>
      </c>
      <c r="B1833" s="2" t="n">
        <v>43217.19207175926</v>
      </c>
      <c r="C1833" t="n">
        <v>0</v>
      </c>
      <c r="D1833" t="n">
        <v>3846</v>
      </c>
      <c r="E1833" t="s">
        <v>1832</v>
      </c>
      <c r="F1833" t="s"/>
      <c r="G1833" t="s"/>
      <c r="H1833" t="s"/>
      <c r="I1833" t="s"/>
      <c r="J1833" t="n">
        <v>0.3818</v>
      </c>
      <c r="K1833" t="n">
        <v>0</v>
      </c>
      <c r="L1833" t="n">
        <v>0.898</v>
      </c>
      <c r="M1833" t="n">
        <v>0.102</v>
      </c>
    </row>
    <row r="1834" spans="1:13">
      <c r="A1834" s="1">
        <f>HYPERLINK("http://www.twitter.com/NathanBLawrence/status/989724947974049792", "989724947974049792")</f>
        <v/>
      </c>
      <c r="B1834" s="2" t="n">
        <v>43217.19201388889</v>
      </c>
      <c r="C1834" t="n">
        <v>0</v>
      </c>
      <c r="D1834" t="n">
        <v>85</v>
      </c>
      <c r="E1834" t="s">
        <v>1833</v>
      </c>
      <c r="F1834">
        <f>HYPERLINK("http://pbs.twimg.com/media/Dbv4-O7V4AA6PHE.jpg", "http://pbs.twimg.com/media/Dbv4-O7V4AA6PHE.jpg")</f>
        <v/>
      </c>
      <c r="G1834" t="s"/>
      <c r="H1834" t="s"/>
      <c r="I1834" t="s"/>
      <c r="J1834" t="n">
        <v>0</v>
      </c>
      <c r="K1834" t="n">
        <v>0</v>
      </c>
      <c r="L1834" t="n">
        <v>1</v>
      </c>
      <c r="M1834" t="n">
        <v>0</v>
      </c>
    </row>
    <row r="1835" spans="1:13">
      <c r="A1835" s="1">
        <f>HYPERLINK("http://www.twitter.com/NathanBLawrence/status/989724914113363969", "989724914113363969")</f>
        <v/>
      </c>
      <c r="B1835" s="2" t="n">
        <v>43217.1919212963</v>
      </c>
      <c r="C1835" t="n">
        <v>0</v>
      </c>
      <c r="D1835" t="n">
        <v>383</v>
      </c>
      <c r="E1835" t="s">
        <v>1834</v>
      </c>
      <c r="F1835">
        <f>HYPERLINK("http://pbs.twimg.com/media/DbwJ2afWsAAK2Pq.jpg", "http://pbs.twimg.com/media/DbwJ2afWsAAK2Pq.jpg")</f>
        <v/>
      </c>
      <c r="G1835" t="s"/>
      <c r="H1835" t="s"/>
      <c r="I1835" t="s"/>
      <c r="J1835" t="n">
        <v>0.802</v>
      </c>
      <c r="K1835" t="n">
        <v>0</v>
      </c>
      <c r="L1835" t="n">
        <v>0.745</v>
      </c>
      <c r="M1835" t="n">
        <v>0.255</v>
      </c>
    </row>
    <row r="1836" spans="1:13">
      <c r="A1836" s="1">
        <f>HYPERLINK("http://www.twitter.com/NathanBLawrence/status/989724692054360067", "989724692054360067")</f>
        <v/>
      </c>
      <c r="B1836" s="2" t="n">
        <v>43217.19130787037</v>
      </c>
      <c r="C1836" t="n">
        <v>0</v>
      </c>
      <c r="D1836" t="n">
        <v>1313</v>
      </c>
      <c r="E1836" t="s">
        <v>1835</v>
      </c>
      <c r="F1836">
        <f>HYPERLINK("http://pbs.twimg.com/media/DbvNEj-XUAUC8TP.jpg", "http://pbs.twimg.com/media/DbvNEj-XUAUC8TP.jpg")</f>
        <v/>
      </c>
      <c r="G1836" t="s"/>
      <c r="H1836" t="s"/>
      <c r="I1836" t="s"/>
      <c r="J1836" t="n">
        <v>-0.6449</v>
      </c>
      <c r="K1836" t="n">
        <v>0.157</v>
      </c>
      <c r="L1836" t="n">
        <v>0.843</v>
      </c>
      <c r="M1836" t="n">
        <v>0</v>
      </c>
    </row>
    <row r="1837" spans="1:13">
      <c r="A1837" s="1">
        <f>HYPERLINK("http://www.twitter.com/NathanBLawrence/status/989724632923095041", "989724632923095041")</f>
        <v/>
      </c>
      <c r="B1837" s="2" t="n">
        <v>43217.19114583333</v>
      </c>
      <c r="C1837" t="n">
        <v>0</v>
      </c>
      <c r="D1837" t="n">
        <v>111</v>
      </c>
      <c r="E1837" t="s">
        <v>1836</v>
      </c>
      <c r="F1837" t="s"/>
      <c r="G1837" t="s"/>
      <c r="H1837" t="s"/>
      <c r="I1837" t="s"/>
      <c r="J1837" t="n">
        <v>0.6298</v>
      </c>
      <c r="K1837" t="n">
        <v>0</v>
      </c>
      <c r="L1837" t="n">
        <v>0.778</v>
      </c>
      <c r="M1837" t="n">
        <v>0.222</v>
      </c>
    </row>
    <row r="1838" spans="1:13">
      <c r="A1838" s="1">
        <f>HYPERLINK("http://www.twitter.com/NathanBLawrence/status/989724045422747650", "989724045422747650")</f>
        <v/>
      </c>
      <c r="B1838" s="2" t="n">
        <v>43217.18952546296</v>
      </c>
      <c r="C1838" t="n">
        <v>0</v>
      </c>
      <c r="D1838" t="n">
        <v>1235</v>
      </c>
      <c r="E1838" t="s">
        <v>1837</v>
      </c>
      <c r="F1838" t="s"/>
      <c r="G1838" t="s"/>
      <c r="H1838" t="s"/>
      <c r="I1838" t="s"/>
      <c r="J1838" t="n">
        <v>-0.3182</v>
      </c>
      <c r="K1838" t="n">
        <v>0.173</v>
      </c>
      <c r="L1838" t="n">
        <v>0.827</v>
      </c>
      <c r="M1838" t="n">
        <v>0</v>
      </c>
    </row>
    <row r="1839" spans="1:13">
      <c r="A1839" s="1">
        <f>HYPERLINK("http://www.twitter.com/NathanBLawrence/status/989724029752823809", "989724029752823809")</f>
        <v/>
      </c>
      <c r="B1839" s="2" t="n">
        <v>43217.18947916666</v>
      </c>
      <c r="C1839" t="n">
        <v>0</v>
      </c>
      <c r="D1839" t="n">
        <v>3179</v>
      </c>
      <c r="E1839" t="s">
        <v>1838</v>
      </c>
      <c r="F1839" t="s"/>
      <c r="G1839" t="s"/>
      <c r="H1839" t="s"/>
      <c r="I1839" t="s"/>
      <c r="J1839" t="n">
        <v>0.4215</v>
      </c>
      <c r="K1839" t="n">
        <v>0</v>
      </c>
      <c r="L1839" t="n">
        <v>0.865</v>
      </c>
      <c r="M1839" t="n">
        <v>0.135</v>
      </c>
    </row>
    <row r="1840" spans="1:13">
      <c r="A1840" s="1">
        <f>HYPERLINK("http://www.twitter.com/NathanBLawrence/status/989723963306602499", "989723963306602499")</f>
        <v/>
      </c>
      <c r="B1840" s="2" t="n">
        <v>43217.18929398148</v>
      </c>
      <c r="C1840" t="n">
        <v>0</v>
      </c>
      <c r="D1840" t="n">
        <v>949</v>
      </c>
      <c r="E1840" t="s">
        <v>1839</v>
      </c>
      <c r="F1840" t="s"/>
      <c r="G1840" t="s"/>
      <c r="H1840" t="s"/>
      <c r="I1840" t="s"/>
      <c r="J1840" t="n">
        <v>0.9323</v>
      </c>
      <c r="K1840" t="n">
        <v>0</v>
      </c>
      <c r="L1840" t="n">
        <v>0.546</v>
      </c>
      <c r="M1840" t="n">
        <v>0.454</v>
      </c>
    </row>
    <row r="1841" spans="1:13">
      <c r="A1841" s="1">
        <f>HYPERLINK("http://www.twitter.com/NathanBLawrence/status/989723866657271808", "989723866657271808")</f>
        <v/>
      </c>
      <c r="B1841" s="2" t="n">
        <v>43217.18902777778</v>
      </c>
      <c r="C1841" t="n">
        <v>0</v>
      </c>
      <c r="D1841" t="n">
        <v>2909</v>
      </c>
      <c r="E1841" t="s">
        <v>1840</v>
      </c>
      <c r="F1841">
        <f>HYPERLINK("https://video.twimg.com/ext_tw_video/971969939639648257/pu/vid/720x720/wZBhvJ7qspYJoy_4.mp4", "https://video.twimg.com/ext_tw_video/971969939639648257/pu/vid/720x720/wZBhvJ7qspYJoy_4.mp4")</f>
        <v/>
      </c>
      <c r="G1841" t="s"/>
      <c r="H1841" t="s"/>
      <c r="I1841" t="s"/>
      <c r="J1841" t="n">
        <v>0.6239</v>
      </c>
      <c r="K1841" t="n">
        <v>0</v>
      </c>
      <c r="L1841" t="n">
        <v>0.849</v>
      </c>
      <c r="M1841" t="n">
        <v>0.151</v>
      </c>
    </row>
    <row r="1842" spans="1:13">
      <c r="A1842" s="1">
        <f>HYPERLINK("http://www.twitter.com/NathanBLawrence/status/989723797543518209", "989723797543518209")</f>
        <v/>
      </c>
      <c r="B1842" s="2" t="n">
        <v>43217.18884259259</v>
      </c>
      <c r="C1842" t="n">
        <v>0</v>
      </c>
      <c r="D1842" t="n">
        <v>3285</v>
      </c>
      <c r="E1842" t="s">
        <v>1841</v>
      </c>
      <c r="F1842" t="s"/>
      <c r="G1842" t="s"/>
      <c r="H1842" t="s"/>
      <c r="I1842" t="s"/>
      <c r="J1842" t="n">
        <v>0</v>
      </c>
      <c r="K1842" t="n">
        <v>0</v>
      </c>
      <c r="L1842" t="n">
        <v>1</v>
      </c>
      <c r="M1842" t="n">
        <v>0</v>
      </c>
    </row>
    <row r="1843" spans="1:13">
      <c r="A1843" s="1">
        <f>HYPERLINK("http://www.twitter.com/NathanBLawrence/status/989723467267260416", "989723467267260416")</f>
        <v/>
      </c>
      <c r="B1843" s="2" t="n">
        <v>43217.18792824074</v>
      </c>
      <c r="C1843" t="n">
        <v>0</v>
      </c>
      <c r="D1843" t="n">
        <v>8</v>
      </c>
      <c r="E1843" t="s">
        <v>1842</v>
      </c>
      <c r="F1843" t="s"/>
      <c r="G1843" t="s"/>
      <c r="H1843" t="s"/>
      <c r="I1843" t="s"/>
      <c r="J1843" t="n">
        <v>-0.7783</v>
      </c>
      <c r="K1843" t="n">
        <v>0.298</v>
      </c>
      <c r="L1843" t="n">
        <v>0.702</v>
      </c>
      <c r="M1843" t="n">
        <v>0</v>
      </c>
    </row>
    <row r="1844" spans="1:13">
      <c r="A1844" s="1">
        <f>HYPERLINK("http://www.twitter.com/NathanBLawrence/status/989723438024552448", "989723438024552448")</f>
        <v/>
      </c>
      <c r="B1844" s="2" t="n">
        <v>43217.18784722222</v>
      </c>
      <c r="C1844" t="n">
        <v>0</v>
      </c>
      <c r="D1844" t="n">
        <v>11</v>
      </c>
      <c r="E1844" t="s">
        <v>1843</v>
      </c>
      <c r="F1844" t="s"/>
      <c r="G1844" t="s"/>
      <c r="H1844" t="s"/>
      <c r="I1844" t="s"/>
      <c r="J1844" t="n">
        <v>0</v>
      </c>
      <c r="K1844" t="n">
        <v>0</v>
      </c>
      <c r="L1844" t="n">
        <v>1</v>
      </c>
      <c r="M1844" t="n">
        <v>0</v>
      </c>
    </row>
    <row r="1845" spans="1:13">
      <c r="A1845" s="1">
        <f>HYPERLINK("http://www.twitter.com/NathanBLawrence/status/989723364200562688", "989723364200562688")</f>
        <v/>
      </c>
      <c r="B1845" s="2" t="n">
        <v>43217.18763888889</v>
      </c>
      <c r="C1845" t="n">
        <v>0</v>
      </c>
      <c r="D1845" t="n">
        <v>0</v>
      </c>
      <c r="E1845" t="s">
        <v>1844</v>
      </c>
      <c r="F1845" t="s"/>
      <c r="G1845" t="s"/>
      <c r="H1845" t="s"/>
      <c r="I1845" t="s"/>
      <c r="J1845" t="n">
        <v>-0.296</v>
      </c>
      <c r="K1845" t="n">
        <v>0.167</v>
      </c>
      <c r="L1845" t="n">
        <v>0.833</v>
      </c>
      <c r="M1845" t="n">
        <v>0</v>
      </c>
    </row>
    <row r="1846" spans="1:13">
      <c r="A1846" s="1">
        <f>HYPERLINK("http://www.twitter.com/NathanBLawrence/status/989723280582979584", "989723280582979584")</f>
        <v/>
      </c>
      <c r="B1846" s="2" t="n">
        <v>43217.18740740741</v>
      </c>
      <c r="C1846" t="n">
        <v>0</v>
      </c>
      <c r="D1846" t="n">
        <v>6</v>
      </c>
      <c r="E1846" t="s">
        <v>1845</v>
      </c>
      <c r="F1846" t="s"/>
      <c r="G1846" t="s"/>
      <c r="H1846" t="s"/>
      <c r="I1846" t="s"/>
      <c r="J1846" t="n">
        <v>-0.0572</v>
      </c>
      <c r="K1846" t="n">
        <v>0.064</v>
      </c>
      <c r="L1846" t="n">
        <v>0.9360000000000001</v>
      </c>
      <c r="M1846" t="n">
        <v>0</v>
      </c>
    </row>
    <row r="1847" spans="1:13">
      <c r="A1847" s="1">
        <f>HYPERLINK("http://www.twitter.com/NathanBLawrence/status/989723237926846464", "989723237926846464")</f>
        <v/>
      </c>
      <c r="B1847" s="2" t="n">
        <v>43217.18729166667</v>
      </c>
      <c r="C1847" t="n">
        <v>0</v>
      </c>
      <c r="D1847" t="n">
        <v>5</v>
      </c>
      <c r="E1847" t="s">
        <v>1846</v>
      </c>
      <c r="F1847" t="s"/>
      <c r="G1847" t="s"/>
      <c r="H1847" t="s"/>
      <c r="I1847" t="s"/>
      <c r="J1847" t="n">
        <v>-0.5266999999999999</v>
      </c>
      <c r="K1847" t="n">
        <v>0.152</v>
      </c>
      <c r="L1847" t="n">
        <v>0.848</v>
      </c>
      <c r="M1847" t="n">
        <v>0</v>
      </c>
    </row>
    <row r="1848" spans="1:13">
      <c r="A1848" s="1">
        <f>HYPERLINK("http://www.twitter.com/NathanBLawrence/status/989723169081573376", "989723169081573376")</f>
        <v/>
      </c>
      <c r="B1848" s="2" t="n">
        <v>43217.18710648148</v>
      </c>
      <c r="C1848" t="n">
        <v>0</v>
      </c>
      <c r="D1848" t="n">
        <v>8</v>
      </c>
      <c r="E1848" t="s">
        <v>1847</v>
      </c>
      <c r="F1848">
        <f>HYPERLINK("http://pbs.twimg.com/media/DbkeEswW4AA-tW1.jpg", "http://pbs.twimg.com/media/DbkeEswW4AA-tW1.jpg")</f>
        <v/>
      </c>
      <c r="G1848" t="s"/>
      <c r="H1848" t="s"/>
      <c r="I1848" t="s"/>
      <c r="J1848" t="n">
        <v>0</v>
      </c>
      <c r="K1848" t="n">
        <v>0</v>
      </c>
      <c r="L1848" t="n">
        <v>1</v>
      </c>
      <c r="M1848" t="n">
        <v>0</v>
      </c>
    </row>
    <row r="1849" spans="1:13">
      <c r="A1849" s="1">
        <f>HYPERLINK("http://www.twitter.com/NathanBLawrence/status/989723116074029057", "989723116074029057")</f>
        <v/>
      </c>
      <c r="B1849" s="2" t="n">
        <v>43217.18695601852</v>
      </c>
      <c r="C1849" t="n">
        <v>0</v>
      </c>
      <c r="D1849" t="n">
        <v>5</v>
      </c>
      <c r="E1849" t="s">
        <v>1848</v>
      </c>
      <c r="F1849" t="s"/>
      <c r="G1849" t="s"/>
      <c r="H1849" t="s"/>
      <c r="I1849" t="s"/>
      <c r="J1849" t="n">
        <v>0</v>
      </c>
      <c r="K1849" t="n">
        <v>0</v>
      </c>
      <c r="L1849" t="n">
        <v>1</v>
      </c>
      <c r="M1849" t="n">
        <v>0</v>
      </c>
    </row>
    <row r="1850" spans="1:13">
      <c r="A1850" s="1">
        <f>HYPERLINK("http://www.twitter.com/NathanBLawrence/status/989722873911689217", "989722873911689217")</f>
        <v/>
      </c>
      <c r="B1850" s="2" t="n">
        <v>43217.18628472222</v>
      </c>
      <c r="C1850" t="n">
        <v>0</v>
      </c>
      <c r="D1850" t="n">
        <v>2</v>
      </c>
      <c r="E1850" t="s">
        <v>1849</v>
      </c>
      <c r="F1850" t="s"/>
      <c r="G1850" t="s"/>
      <c r="H1850" t="s"/>
      <c r="I1850" t="s"/>
      <c r="J1850" t="n">
        <v>-0.3818</v>
      </c>
      <c r="K1850" t="n">
        <v>0.14</v>
      </c>
      <c r="L1850" t="n">
        <v>0.86</v>
      </c>
      <c r="M1850" t="n">
        <v>0</v>
      </c>
    </row>
    <row r="1851" spans="1:13">
      <c r="A1851" s="1">
        <f>HYPERLINK("http://www.twitter.com/NathanBLawrence/status/989722859630030848", "989722859630030848")</f>
        <v/>
      </c>
      <c r="B1851" s="2" t="n">
        <v>43217.18625</v>
      </c>
      <c r="C1851" t="n">
        <v>0</v>
      </c>
      <c r="D1851" t="n">
        <v>14</v>
      </c>
      <c r="E1851" t="s">
        <v>1850</v>
      </c>
      <c r="F1851">
        <f>HYPERLINK("http://pbs.twimg.com/media/Dbu_5swUQAApywE.jpg", "http://pbs.twimg.com/media/Dbu_5swUQAApywE.jpg")</f>
        <v/>
      </c>
      <c r="G1851" t="s"/>
      <c r="H1851" t="s"/>
      <c r="I1851" t="s"/>
      <c r="J1851" t="n">
        <v>0.4717</v>
      </c>
      <c r="K1851" t="n">
        <v>0</v>
      </c>
      <c r="L1851" t="n">
        <v>0.775</v>
      </c>
      <c r="M1851" t="n">
        <v>0.225</v>
      </c>
    </row>
    <row r="1852" spans="1:13">
      <c r="A1852" s="1">
        <f>HYPERLINK("http://www.twitter.com/NathanBLawrence/status/989722582898302977", "989722582898302977")</f>
        <v/>
      </c>
      <c r="B1852" s="2" t="n">
        <v>43217.18548611111</v>
      </c>
      <c r="C1852" t="n">
        <v>0</v>
      </c>
      <c r="D1852" t="n">
        <v>9</v>
      </c>
      <c r="E1852" t="s">
        <v>1851</v>
      </c>
      <c r="F1852" t="s"/>
      <c r="G1852" t="s"/>
      <c r="H1852" t="s"/>
      <c r="I1852" t="s"/>
      <c r="J1852" t="n">
        <v>0</v>
      </c>
      <c r="K1852" t="n">
        <v>0</v>
      </c>
      <c r="L1852" t="n">
        <v>1</v>
      </c>
      <c r="M1852" t="n">
        <v>0</v>
      </c>
    </row>
    <row r="1853" spans="1:13">
      <c r="A1853" s="1">
        <f>HYPERLINK("http://www.twitter.com/NathanBLawrence/status/989722570197909505", "989722570197909505")</f>
        <v/>
      </c>
      <c r="B1853" s="2" t="n">
        <v>43217.18545138889</v>
      </c>
      <c r="C1853" t="n">
        <v>0</v>
      </c>
      <c r="D1853" t="n">
        <v>15</v>
      </c>
      <c r="E1853" t="s">
        <v>1852</v>
      </c>
      <c r="F1853">
        <f>HYPERLINK("http://pbs.twimg.com/media/DbvrX0xVQAAlom5.jpg", "http://pbs.twimg.com/media/DbvrX0xVQAAlom5.jpg")</f>
        <v/>
      </c>
      <c r="G1853" t="s"/>
      <c r="H1853" t="s"/>
      <c r="I1853" t="s"/>
      <c r="J1853" t="n">
        <v>0</v>
      </c>
      <c r="K1853" t="n">
        <v>0</v>
      </c>
      <c r="L1853" t="n">
        <v>1</v>
      </c>
      <c r="M1853" t="n">
        <v>0</v>
      </c>
    </row>
    <row r="1854" spans="1:13">
      <c r="A1854" s="1">
        <f>HYPERLINK("http://www.twitter.com/NathanBLawrence/status/989722554095976448", "989722554095976448")</f>
        <v/>
      </c>
      <c r="B1854" s="2" t="n">
        <v>43217.18540509259</v>
      </c>
      <c r="C1854" t="n">
        <v>0</v>
      </c>
      <c r="D1854" t="n">
        <v>3</v>
      </c>
      <c r="E1854" t="s">
        <v>1853</v>
      </c>
      <c r="F1854" t="s"/>
      <c r="G1854" t="s"/>
      <c r="H1854" t="s"/>
      <c r="I1854" t="s"/>
      <c r="J1854" t="n">
        <v>0</v>
      </c>
      <c r="K1854" t="n">
        <v>0</v>
      </c>
      <c r="L1854" t="n">
        <v>1</v>
      </c>
      <c r="M1854" t="n">
        <v>0</v>
      </c>
    </row>
    <row r="1855" spans="1:13">
      <c r="A1855" s="1">
        <f>HYPERLINK("http://www.twitter.com/NathanBLawrence/status/989722540309295104", "989722540309295104")</f>
        <v/>
      </c>
      <c r="B1855" s="2" t="n">
        <v>43217.18537037037</v>
      </c>
      <c r="C1855" t="n">
        <v>0</v>
      </c>
      <c r="D1855" t="n">
        <v>12</v>
      </c>
      <c r="E1855" t="s">
        <v>1854</v>
      </c>
      <c r="F1855" t="s"/>
      <c r="G1855" t="s"/>
      <c r="H1855" t="s"/>
      <c r="I1855" t="s"/>
      <c r="J1855" t="n">
        <v>-0.296</v>
      </c>
      <c r="K1855" t="n">
        <v>0.095</v>
      </c>
      <c r="L1855" t="n">
        <v>0.905</v>
      </c>
      <c r="M1855" t="n">
        <v>0</v>
      </c>
    </row>
    <row r="1856" spans="1:13">
      <c r="A1856" s="1">
        <f>HYPERLINK("http://www.twitter.com/NathanBLawrence/status/989722493106638848", "989722493106638848")</f>
        <v/>
      </c>
      <c r="B1856" s="2" t="n">
        <v>43217.18524305556</v>
      </c>
      <c r="C1856" t="n">
        <v>0</v>
      </c>
      <c r="D1856" t="n">
        <v>8</v>
      </c>
      <c r="E1856" t="s">
        <v>1855</v>
      </c>
      <c r="F1856" t="s"/>
      <c r="G1856" t="s"/>
      <c r="H1856" t="s"/>
      <c r="I1856" t="s"/>
      <c r="J1856" t="n">
        <v>-0.3164</v>
      </c>
      <c r="K1856" t="n">
        <v>0.2</v>
      </c>
      <c r="L1856" t="n">
        <v>0.638</v>
      </c>
      <c r="M1856" t="n">
        <v>0.161</v>
      </c>
    </row>
    <row r="1857" spans="1:13">
      <c r="A1857" s="1">
        <f>HYPERLINK("http://www.twitter.com/NathanBLawrence/status/989722475314360322", "989722475314360322")</f>
        <v/>
      </c>
      <c r="B1857" s="2" t="n">
        <v>43217.18518518518</v>
      </c>
      <c r="C1857" t="n">
        <v>0</v>
      </c>
      <c r="D1857" t="n">
        <v>12</v>
      </c>
      <c r="E1857" t="s">
        <v>1856</v>
      </c>
      <c r="F1857">
        <f>HYPERLINK("http://pbs.twimg.com/media/Dbv0DbWX4AEtIOr.jpg", "http://pbs.twimg.com/media/Dbv0DbWX4AEtIOr.jpg")</f>
        <v/>
      </c>
      <c r="G1857" t="s"/>
      <c r="H1857" t="s"/>
      <c r="I1857" t="s"/>
      <c r="J1857" t="n">
        <v>0.6588000000000001</v>
      </c>
      <c r="K1857" t="n">
        <v>0</v>
      </c>
      <c r="L1857" t="n">
        <v>0.804</v>
      </c>
      <c r="M1857" t="n">
        <v>0.196</v>
      </c>
    </row>
    <row r="1858" spans="1:13">
      <c r="A1858" s="1">
        <f>HYPERLINK("http://www.twitter.com/NathanBLawrence/status/989722441227255811", "989722441227255811")</f>
        <v/>
      </c>
      <c r="B1858" s="2" t="n">
        <v>43217.18509259259</v>
      </c>
      <c r="C1858" t="n">
        <v>0</v>
      </c>
      <c r="D1858" t="n">
        <v>2</v>
      </c>
      <c r="E1858" t="s">
        <v>1857</v>
      </c>
      <c r="F1858" t="s"/>
      <c r="G1858" t="s"/>
      <c r="H1858" t="s"/>
      <c r="I1858" t="s"/>
      <c r="J1858" t="n">
        <v>0</v>
      </c>
      <c r="K1858" t="n">
        <v>0</v>
      </c>
      <c r="L1858" t="n">
        <v>1</v>
      </c>
      <c r="M1858" t="n">
        <v>0</v>
      </c>
    </row>
    <row r="1859" spans="1:13">
      <c r="A1859" s="1">
        <f>HYPERLINK("http://www.twitter.com/NathanBLawrence/status/989722381508751361", "989722381508751361")</f>
        <v/>
      </c>
      <c r="B1859" s="2" t="n">
        <v>43217.18493055556</v>
      </c>
      <c r="C1859" t="n">
        <v>0</v>
      </c>
      <c r="D1859" t="n">
        <v>13</v>
      </c>
      <c r="E1859" t="s">
        <v>1858</v>
      </c>
      <c r="F1859" t="s"/>
      <c r="G1859" t="s"/>
      <c r="H1859" t="s"/>
      <c r="I1859" t="s"/>
      <c r="J1859" t="n">
        <v>-0.25</v>
      </c>
      <c r="K1859" t="n">
        <v>0.194</v>
      </c>
      <c r="L1859" t="n">
        <v>0.656</v>
      </c>
      <c r="M1859" t="n">
        <v>0.15</v>
      </c>
    </row>
    <row r="1860" spans="1:13">
      <c r="A1860" s="1">
        <f>HYPERLINK("http://www.twitter.com/NathanBLawrence/status/989722368074379264", "989722368074379264")</f>
        <v/>
      </c>
      <c r="B1860" s="2" t="n">
        <v>43217.18489583334</v>
      </c>
      <c r="C1860" t="n">
        <v>0</v>
      </c>
      <c r="D1860" t="n">
        <v>7</v>
      </c>
      <c r="E1860" t="s">
        <v>1859</v>
      </c>
      <c r="F1860" t="s"/>
      <c r="G1860" t="s"/>
      <c r="H1860" t="s"/>
      <c r="I1860" t="s"/>
      <c r="J1860" t="n">
        <v>0</v>
      </c>
      <c r="K1860" t="n">
        <v>0</v>
      </c>
      <c r="L1860" t="n">
        <v>1</v>
      </c>
      <c r="M1860" t="n">
        <v>0</v>
      </c>
    </row>
    <row r="1861" spans="1:13">
      <c r="A1861" s="1">
        <f>HYPERLINK("http://www.twitter.com/NathanBLawrence/status/989722323220480002", "989722323220480002")</f>
        <v/>
      </c>
      <c r="B1861" s="2" t="n">
        <v>43217.18476851852</v>
      </c>
      <c r="C1861" t="n">
        <v>0</v>
      </c>
      <c r="D1861" t="n">
        <v>4</v>
      </c>
      <c r="E1861" t="s">
        <v>1860</v>
      </c>
      <c r="F1861" t="s"/>
      <c r="G1861" t="s"/>
      <c r="H1861" t="s"/>
      <c r="I1861" t="s"/>
      <c r="J1861" t="n">
        <v>0</v>
      </c>
      <c r="K1861" t="n">
        <v>0</v>
      </c>
      <c r="L1861" t="n">
        <v>1</v>
      </c>
      <c r="M1861" t="n">
        <v>0</v>
      </c>
    </row>
    <row r="1862" spans="1:13">
      <c r="A1862" s="1">
        <f>HYPERLINK("http://www.twitter.com/NathanBLawrence/status/989722199970885632", "989722199970885632")</f>
        <v/>
      </c>
      <c r="B1862" s="2" t="n">
        <v>43217.18443287037</v>
      </c>
      <c r="C1862" t="n">
        <v>0</v>
      </c>
      <c r="D1862" t="n">
        <v>3</v>
      </c>
      <c r="E1862" t="s">
        <v>1861</v>
      </c>
      <c r="F1862" t="s"/>
      <c r="G1862" t="s"/>
      <c r="H1862" t="s"/>
      <c r="I1862" t="s"/>
      <c r="J1862" t="n">
        <v>0</v>
      </c>
      <c r="K1862" t="n">
        <v>0</v>
      </c>
      <c r="L1862" t="n">
        <v>1</v>
      </c>
      <c r="M1862" t="n">
        <v>0</v>
      </c>
    </row>
    <row r="1863" spans="1:13">
      <c r="A1863" s="1">
        <f>HYPERLINK("http://www.twitter.com/NathanBLawrence/status/989722183311147008", "989722183311147008")</f>
        <v/>
      </c>
      <c r="B1863" s="2" t="n">
        <v>43217.18438657407</v>
      </c>
      <c r="C1863" t="n">
        <v>0</v>
      </c>
      <c r="D1863" t="n">
        <v>5</v>
      </c>
      <c r="E1863" t="s">
        <v>1862</v>
      </c>
      <c r="F1863" t="s"/>
      <c r="G1863" t="s"/>
      <c r="H1863" t="s"/>
      <c r="I1863" t="s"/>
      <c r="J1863" t="n">
        <v>0.4019</v>
      </c>
      <c r="K1863" t="n">
        <v>0</v>
      </c>
      <c r="L1863" t="n">
        <v>0.899</v>
      </c>
      <c r="M1863" t="n">
        <v>0.101</v>
      </c>
    </row>
    <row r="1864" spans="1:13">
      <c r="A1864" s="1">
        <f>HYPERLINK("http://www.twitter.com/NathanBLawrence/status/989722163895676929", "989722163895676929")</f>
        <v/>
      </c>
      <c r="B1864" s="2" t="n">
        <v>43217.1843287037</v>
      </c>
      <c r="C1864" t="n">
        <v>0</v>
      </c>
      <c r="D1864" t="n">
        <v>1</v>
      </c>
      <c r="E1864" t="s">
        <v>1863</v>
      </c>
      <c r="F1864" t="s"/>
      <c r="G1864" t="s"/>
      <c r="H1864" t="s"/>
      <c r="I1864" t="s"/>
      <c r="J1864" t="n">
        <v>0</v>
      </c>
      <c r="K1864" t="n">
        <v>0</v>
      </c>
      <c r="L1864" t="n">
        <v>1</v>
      </c>
      <c r="M1864" t="n">
        <v>0</v>
      </c>
    </row>
    <row r="1865" spans="1:13">
      <c r="A1865" s="1">
        <f>HYPERLINK("http://www.twitter.com/NathanBLawrence/status/989722078017306624", "989722078017306624")</f>
        <v/>
      </c>
      <c r="B1865" s="2" t="n">
        <v>43217.18409722222</v>
      </c>
      <c r="C1865" t="n">
        <v>0</v>
      </c>
      <c r="D1865" t="n">
        <v>38</v>
      </c>
      <c r="E1865" t="s">
        <v>1787</v>
      </c>
      <c r="F1865">
        <f>HYPERLINK("http://pbs.twimg.com/media/DbwtcplU8AEWq-6.jpg", "http://pbs.twimg.com/media/DbwtcplU8AEWq-6.jpg")</f>
        <v/>
      </c>
      <c r="G1865" t="s"/>
      <c r="H1865" t="s"/>
      <c r="I1865" t="s"/>
      <c r="J1865" t="n">
        <v>0.7985</v>
      </c>
      <c r="K1865" t="n">
        <v>0.118</v>
      </c>
      <c r="L1865" t="n">
        <v>0.577</v>
      </c>
      <c r="M1865" t="n">
        <v>0.305</v>
      </c>
    </row>
    <row r="1866" spans="1:13">
      <c r="A1866" s="1">
        <f>HYPERLINK("http://www.twitter.com/NathanBLawrence/status/989721943505960961", "989721943505960961")</f>
        <v/>
      </c>
      <c r="B1866" s="2" t="n">
        <v>43217.18372685185</v>
      </c>
      <c r="C1866" t="n">
        <v>0</v>
      </c>
      <c r="D1866" t="n">
        <v>0</v>
      </c>
      <c r="E1866" t="s">
        <v>1864</v>
      </c>
      <c r="F1866" t="s"/>
      <c r="G1866" t="s"/>
      <c r="H1866" t="s"/>
      <c r="I1866" t="s"/>
      <c r="J1866" t="n">
        <v>-0.6369</v>
      </c>
      <c r="K1866" t="n">
        <v>0.321</v>
      </c>
      <c r="L1866" t="n">
        <v>0.679</v>
      </c>
      <c r="M1866" t="n">
        <v>0</v>
      </c>
    </row>
    <row r="1867" spans="1:13">
      <c r="A1867" s="1">
        <f>HYPERLINK("http://www.twitter.com/NathanBLawrence/status/989721647438426114", "989721647438426114")</f>
        <v/>
      </c>
      <c r="B1867" s="2" t="n">
        <v>43217.1829050926</v>
      </c>
      <c r="C1867" t="n">
        <v>1</v>
      </c>
      <c r="D1867" t="n">
        <v>1</v>
      </c>
      <c r="E1867" t="s">
        <v>1865</v>
      </c>
      <c r="F1867" t="s"/>
      <c r="G1867" t="s"/>
      <c r="H1867" t="s"/>
      <c r="I1867" t="s"/>
      <c r="J1867" t="n">
        <v>-0.8945</v>
      </c>
      <c r="K1867" t="n">
        <v>0.29</v>
      </c>
      <c r="L1867" t="n">
        <v>0.67</v>
      </c>
      <c r="M1867" t="n">
        <v>0.041</v>
      </c>
    </row>
    <row r="1868" spans="1:13">
      <c r="A1868" s="1">
        <f>HYPERLINK("http://www.twitter.com/NathanBLawrence/status/989720823165431808", "989720823165431808")</f>
        <v/>
      </c>
      <c r="B1868" s="2" t="n">
        <v>43217.18063657408</v>
      </c>
      <c r="C1868" t="n">
        <v>0</v>
      </c>
      <c r="D1868" t="n">
        <v>12</v>
      </c>
      <c r="E1868" t="s">
        <v>1866</v>
      </c>
      <c r="F1868" t="s"/>
      <c r="G1868" t="s"/>
      <c r="H1868" t="s"/>
      <c r="I1868" t="s"/>
      <c r="J1868" t="n">
        <v>0.4199</v>
      </c>
      <c r="K1868" t="n">
        <v>0</v>
      </c>
      <c r="L1868" t="n">
        <v>0.878</v>
      </c>
      <c r="M1868" t="n">
        <v>0.122</v>
      </c>
    </row>
    <row r="1869" spans="1:13">
      <c r="A1869" s="1">
        <f>HYPERLINK("http://www.twitter.com/NathanBLawrence/status/989720813879214080", "989720813879214080")</f>
        <v/>
      </c>
      <c r="B1869" s="2" t="n">
        <v>43217.18060185185</v>
      </c>
      <c r="C1869" t="n">
        <v>0</v>
      </c>
      <c r="D1869" t="n">
        <v>5</v>
      </c>
      <c r="E1869" t="s">
        <v>1867</v>
      </c>
      <c r="F1869" t="s"/>
      <c r="G1869" t="s"/>
      <c r="H1869" t="s"/>
      <c r="I1869" t="s"/>
      <c r="J1869" t="n">
        <v>-0.3716</v>
      </c>
      <c r="K1869" t="n">
        <v>0.096</v>
      </c>
      <c r="L1869" t="n">
        <v>0.904</v>
      </c>
      <c r="M1869" t="n">
        <v>0</v>
      </c>
    </row>
    <row r="1870" spans="1:13">
      <c r="A1870" s="1">
        <f>HYPERLINK("http://www.twitter.com/NathanBLawrence/status/989720750155165698", "989720750155165698")</f>
        <v/>
      </c>
      <c r="B1870" s="2" t="n">
        <v>43217.18042824074</v>
      </c>
      <c r="C1870" t="n">
        <v>0</v>
      </c>
      <c r="D1870" t="n">
        <v>14</v>
      </c>
      <c r="E1870" t="s">
        <v>1868</v>
      </c>
      <c r="F1870">
        <f>HYPERLINK("http://pbs.twimg.com/media/DbuoNWiX0AAGW03.jpg", "http://pbs.twimg.com/media/DbuoNWiX0AAGW03.jpg")</f>
        <v/>
      </c>
      <c r="G1870">
        <f>HYPERLINK("http://pbs.twimg.com/media/DbuoNw6WkAEH4fJ.jpg", "http://pbs.twimg.com/media/DbuoNw6WkAEH4fJ.jpg")</f>
        <v/>
      </c>
      <c r="H1870" t="s"/>
      <c r="I1870" t="s"/>
      <c r="J1870" t="n">
        <v>0</v>
      </c>
      <c r="K1870" t="n">
        <v>0</v>
      </c>
      <c r="L1870" t="n">
        <v>1</v>
      </c>
      <c r="M1870" t="n">
        <v>0</v>
      </c>
    </row>
    <row r="1871" spans="1:13">
      <c r="A1871" s="1">
        <f>HYPERLINK("http://www.twitter.com/NathanBLawrence/status/989693981255720960", "989693981255720960")</f>
        <v/>
      </c>
      <c r="B1871" s="2" t="n">
        <v>43217.1065625</v>
      </c>
      <c r="C1871" t="n">
        <v>0</v>
      </c>
      <c r="D1871" t="n">
        <v>0</v>
      </c>
      <c r="E1871" t="s">
        <v>1869</v>
      </c>
      <c r="F1871" t="s"/>
      <c r="G1871" t="s"/>
      <c r="H1871" t="s"/>
      <c r="I1871" t="s"/>
      <c r="J1871" t="n">
        <v>0.4215</v>
      </c>
      <c r="K1871" t="n">
        <v>0</v>
      </c>
      <c r="L1871" t="n">
        <v>0.8110000000000001</v>
      </c>
      <c r="M1871" t="n">
        <v>0.189</v>
      </c>
    </row>
    <row r="1872" spans="1:13">
      <c r="A1872" s="1">
        <f>HYPERLINK("http://www.twitter.com/NathanBLawrence/status/989693785125859335", "989693785125859335")</f>
        <v/>
      </c>
      <c r="B1872" s="2" t="n">
        <v>43217.10601851852</v>
      </c>
      <c r="C1872" t="n">
        <v>0</v>
      </c>
      <c r="D1872" t="n">
        <v>9</v>
      </c>
      <c r="E1872" t="s">
        <v>1870</v>
      </c>
      <c r="F1872" t="s"/>
      <c r="G1872" t="s"/>
      <c r="H1872" t="s"/>
      <c r="I1872" t="s"/>
      <c r="J1872" t="n">
        <v>0</v>
      </c>
      <c r="K1872" t="n">
        <v>0</v>
      </c>
      <c r="L1872" t="n">
        <v>1</v>
      </c>
      <c r="M1872" t="n">
        <v>0</v>
      </c>
    </row>
    <row r="1873" spans="1:13">
      <c r="A1873" s="1">
        <f>HYPERLINK("http://www.twitter.com/NathanBLawrence/status/989693743795265536", "989693743795265536")</f>
        <v/>
      </c>
      <c r="B1873" s="2" t="n">
        <v>43217.10590277778</v>
      </c>
      <c r="C1873" t="n">
        <v>0</v>
      </c>
      <c r="D1873" t="n">
        <v>8</v>
      </c>
      <c r="E1873" t="s">
        <v>1871</v>
      </c>
      <c r="F1873" t="s"/>
      <c r="G1873" t="s"/>
      <c r="H1873" t="s"/>
      <c r="I1873" t="s"/>
      <c r="J1873" t="n">
        <v>0.5362</v>
      </c>
      <c r="K1873" t="n">
        <v>0</v>
      </c>
      <c r="L1873" t="n">
        <v>0.859</v>
      </c>
      <c r="M1873" t="n">
        <v>0.141</v>
      </c>
    </row>
    <row r="1874" spans="1:13">
      <c r="A1874" s="1">
        <f>HYPERLINK("http://www.twitter.com/NathanBLawrence/status/989693584663334912", "989693584663334912")</f>
        <v/>
      </c>
      <c r="B1874" s="2" t="n">
        <v>43217.10546296297</v>
      </c>
      <c r="C1874" t="n">
        <v>0</v>
      </c>
      <c r="D1874" t="n">
        <v>9</v>
      </c>
      <c r="E1874" t="s">
        <v>1872</v>
      </c>
      <c r="F1874" t="s"/>
      <c r="G1874" t="s"/>
      <c r="H1874" t="s"/>
      <c r="I1874" t="s"/>
      <c r="J1874" t="n">
        <v>-0.3818</v>
      </c>
      <c r="K1874" t="n">
        <v>0.115</v>
      </c>
      <c r="L1874" t="n">
        <v>0.885</v>
      </c>
      <c r="M1874" t="n">
        <v>0</v>
      </c>
    </row>
    <row r="1875" spans="1:13">
      <c r="A1875" s="1">
        <f>HYPERLINK("http://www.twitter.com/NathanBLawrence/status/989693365561282563", "989693365561282563")</f>
        <v/>
      </c>
      <c r="B1875" s="2" t="n">
        <v>43217.10486111111</v>
      </c>
      <c r="C1875" t="n">
        <v>0</v>
      </c>
      <c r="D1875" t="n">
        <v>12</v>
      </c>
      <c r="E1875" t="s">
        <v>1873</v>
      </c>
      <c r="F1875" t="s"/>
      <c r="G1875" t="s"/>
      <c r="H1875" t="s"/>
      <c r="I1875" t="s"/>
      <c r="J1875" t="n">
        <v>0.4973</v>
      </c>
      <c r="K1875" t="n">
        <v>0</v>
      </c>
      <c r="L1875" t="n">
        <v>0.791</v>
      </c>
      <c r="M1875" t="n">
        <v>0.209</v>
      </c>
    </row>
    <row r="1876" spans="1:13">
      <c r="A1876" s="1">
        <f>HYPERLINK("http://www.twitter.com/NathanBLawrence/status/989693290953019393", "989693290953019393")</f>
        <v/>
      </c>
      <c r="B1876" s="2" t="n">
        <v>43217.10465277778</v>
      </c>
      <c r="C1876" t="n">
        <v>0</v>
      </c>
      <c r="D1876" t="n">
        <v>12</v>
      </c>
      <c r="E1876" t="s">
        <v>1874</v>
      </c>
      <c r="F1876" t="s"/>
      <c r="G1876" t="s"/>
      <c r="H1876" t="s"/>
      <c r="I1876" t="s"/>
      <c r="J1876" t="n">
        <v>0</v>
      </c>
      <c r="K1876" t="n">
        <v>0</v>
      </c>
      <c r="L1876" t="n">
        <v>1</v>
      </c>
      <c r="M1876" t="n">
        <v>0</v>
      </c>
    </row>
    <row r="1877" spans="1:13">
      <c r="A1877" s="1">
        <f>HYPERLINK("http://www.twitter.com/NathanBLawrence/status/989693242924044291", "989693242924044291")</f>
        <v/>
      </c>
      <c r="B1877" s="2" t="n">
        <v>43217.10452546296</v>
      </c>
      <c r="C1877" t="n">
        <v>0</v>
      </c>
      <c r="D1877" t="n">
        <v>43</v>
      </c>
      <c r="E1877" t="s">
        <v>1875</v>
      </c>
      <c r="F1877" t="s"/>
      <c r="G1877" t="s"/>
      <c r="H1877" t="s"/>
      <c r="I1877" t="s"/>
      <c r="J1877" t="n">
        <v>0.0985</v>
      </c>
      <c r="K1877" t="n">
        <v>0.08400000000000001</v>
      </c>
      <c r="L1877" t="n">
        <v>0.778</v>
      </c>
      <c r="M1877" t="n">
        <v>0.138</v>
      </c>
    </row>
    <row r="1878" spans="1:13">
      <c r="A1878" s="1">
        <f>HYPERLINK("http://www.twitter.com/NathanBLawrence/status/989693197419974656", "989693197419974656")</f>
        <v/>
      </c>
      <c r="B1878" s="2" t="n">
        <v>43217.10439814815</v>
      </c>
      <c r="C1878" t="n">
        <v>0</v>
      </c>
      <c r="D1878" t="n">
        <v>15</v>
      </c>
      <c r="E1878" t="s">
        <v>1876</v>
      </c>
      <c r="F1878">
        <f>HYPERLINK("http://pbs.twimg.com/media/DbwSpsPVwAAMK8S.jpg", "http://pbs.twimg.com/media/DbwSpsPVwAAMK8S.jpg")</f>
        <v/>
      </c>
      <c r="G1878" t="s"/>
      <c r="H1878" t="s"/>
      <c r="I1878" t="s"/>
      <c r="J1878" t="n">
        <v>0.4019</v>
      </c>
      <c r="K1878" t="n">
        <v>0</v>
      </c>
      <c r="L1878" t="n">
        <v>0.903</v>
      </c>
      <c r="M1878" t="n">
        <v>0.097</v>
      </c>
    </row>
    <row r="1879" spans="1:13">
      <c r="A1879" s="1">
        <f>HYPERLINK("http://www.twitter.com/NathanBLawrence/status/989619499639992320", "989619499639992320")</f>
        <v/>
      </c>
      <c r="B1879" s="2" t="n">
        <v>43216.90103009259</v>
      </c>
      <c r="C1879" t="n">
        <v>2</v>
      </c>
      <c r="D1879" t="n">
        <v>2</v>
      </c>
      <c r="E1879" t="s">
        <v>1877</v>
      </c>
      <c r="F1879" t="s"/>
      <c r="G1879" t="s"/>
      <c r="H1879" t="s"/>
      <c r="I1879" t="s"/>
      <c r="J1879" t="n">
        <v>0</v>
      </c>
      <c r="K1879" t="n">
        <v>0</v>
      </c>
      <c r="L1879" t="n">
        <v>1</v>
      </c>
      <c r="M1879" t="n">
        <v>0</v>
      </c>
    </row>
    <row r="1880" spans="1:13">
      <c r="A1880" s="1">
        <f>HYPERLINK("http://www.twitter.com/NathanBLawrence/status/989619356127629312", "989619356127629312")</f>
        <v/>
      </c>
      <c r="B1880" s="2" t="n">
        <v>43216.90063657407</v>
      </c>
      <c r="C1880" t="n">
        <v>0</v>
      </c>
      <c r="D1880" t="n">
        <v>13</v>
      </c>
      <c r="E1880" t="s">
        <v>1878</v>
      </c>
      <c r="F1880" t="s"/>
      <c r="G1880" t="s"/>
      <c r="H1880" t="s"/>
      <c r="I1880" t="s"/>
      <c r="J1880" t="n">
        <v>-0.2732</v>
      </c>
      <c r="K1880" t="n">
        <v>0.095</v>
      </c>
      <c r="L1880" t="n">
        <v>0.905</v>
      </c>
      <c r="M1880" t="n">
        <v>0</v>
      </c>
    </row>
    <row r="1881" spans="1:13">
      <c r="A1881" s="1">
        <f>HYPERLINK("http://www.twitter.com/NathanBLawrence/status/989619327199531008", "989619327199531008")</f>
        <v/>
      </c>
      <c r="B1881" s="2" t="n">
        <v>43216.90055555556</v>
      </c>
      <c r="C1881" t="n">
        <v>0</v>
      </c>
      <c r="D1881" t="n">
        <v>5</v>
      </c>
      <c r="E1881" t="s">
        <v>1879</v>
      </c>
      <c r="F1881">
        <f>HYPERLINK("http://pbs.twimg.com/media/DbvHKbMXcAUnPL0.jpg", "http://pbs.twimg.com/media/DbvHKbMXcAUnPL0.jpg")</f>
        <v/>
      </c>
      <c r="G1881">
        <f>HYPERLINK("http://pbs.twimg.com/media/DbvHKbLWkAAQRWK.jpg", "http://pbs.twimg.com/media/DbvHKbLWkAAQRWK.jpg")</f>
        <v/>
      </c>
      <c r="H1881" t="s"/>
      <c r="I1881" t="s"/>
      <c r="J1881" t="n">
        <v>0.4404</v>
      </c>
      <c r="K1881" t="n">
        <v>0</v>
      </c>
      <c r="L1881" t="n">
        <v>0.847</v>
      </c>
      <c r="M1881" t="n">
        <v>0.153</v>
      </c>
    </row>
    <row r="1882" spans="1:13">
      <c r="A1882" s="1">
        <f>HYPERLINK("http://www.twitter.com/NathanBLawrence/status/989619311206699008", "989619311206699008")</f>
        <v/>
      </c>
      <c r="B1882" s="2" t="n">
        <v>43216.90050925926</v>
      </c>
      <c r="C1882" t="n">
        <v>0</v>
      </c>
      <c r="D1882" t="n">
        <v>8</v>
      </c>
      <c r="E1882" t="s">
        <v>1880</v>
      </c>
      <c r="F1882" t="s"/>
      <c r="G1882" t="s"/>
      <c r="H1882" t="s"/>
      <c r="I1882" t="s"/>
      <c r="J1882" t="n">
        <v>0.2263</v>
      </c>
      <c r="K1882" t="n">
        <v>0</v>
      </c>
      <c r="L1882" t="n">
        <v>0.924</v>
      </c>
      <c r="M1882" t="n">
        <v>0.076</v>
      </c>
    </row>
    <row r="1883" spans="1:13">
      <c r="A1883" s="1">
        <f>HYPERLINK("http://www.twitter.com/NathanBLawrence/status/989619295377412100", "989619295377412100")</f>
        <v/>
      </c>
      <c r="B1883" s="2" t="n">
        <v>43216.90046296296</v>
      </c>
      <c r="C1883" t="n">
        <v>0</v>
      </c>
      <c r="D1883" t="n">
        <v>3</v>
      </c>
      <c r="E1883" t="s">
        <v>1881</v>
      </c>
      <c r="F1883" t="s"/>
      <c r="G1883" t="s"/>
      <c r="H1883" t="s"/>
      <c r="I1883" t="s"/>
      <c r="J1883" t="n">
        <v>0</v>
      </c>
      <c r="K1883" t="n">
        <v>0</v>
      </c>
      <c r="L1883" t="n">
        <v>1</v>
      </c>
      <c r="M1883" t="n">
        <v>0</v>
      </c>
    </row>
    <row r="1884" spans="1:13">
      <c r="A1884" s="1">
        <f>HYPERLINK("http://www.twitter.com/NathanBLawrence/status/989619273122361344", "989619273122361344")</f>
        <v/>
      </c>
      <c r="B1884" s="2" t="n">
        <v>43216.90040509259</v>
      </c>
      <c r="C1884" t="n">
        <v>0</v>
      </c>
      <c r="D1884" t="n">
        <v>7</v>
      </c>
      <c r="E1884" t="s">
        <v>1882</v>
      </c>
      <c r="F1884" t="s"/>
      <c r="G1884" t="s"/>
      <c r="H1884" t="s"/>
      <c r="I1884" t="s"/>
      <c r="J1884" t="n">
        <v>0.2732</v>
      </c>
      <c r="K1884" t="n">
        <v>0.064</v>
      </c>
      <c r="L1884" t="n">
        <v>0.822</v>
      </c>
      <c r="M1884" t="n">
        <v>0.114</v>
      </c>
    </row>
    <row r="1885" spans="1:13">
      <c r="A1885" s="1">
        <f>HYPERLINK("http://www.twitter.com/NathanBLawrence/status/989619250561200128", "989619250561200128")</f>
        <v/>
      </c>
      <c r="B1885" s="2" t="n">
        <v>43216.90034722222</v>
      </c>
      <c r="C1885" t="n">
        <v>3</v>
      </c>
      <c r="D1885" t="n">
        <v>2</v>
      </c>
      <c r="E1885" t="s">
        <v>1883</v>
      </c>
      <c r="F1885" t="s"/>
      <c r="G1885" t="s"/>
      <c r="H1885" t="s"/>
      <c r="I1885" t="s"/>
      <c r="J1885" t="n">
        <v>0.6124000000000001</v>
      </c>
      <c r="K1885" t="n">
        <v>0</v>
      </c>
      <c r="L1885" t="n">
        <v>0.922</v>
      </c>
      <c r="M1885" t="n">
        <v>0.078</v>
      </c>
    </row>
    <row r="1886" spans="1:13">
      <c r="A1886" s="1">
        <f>HYPERLINK("http://www.twitter.com/NathanBLawrence/status/989618732514381824", "989618732514381824")</f>
        <v/>
      </c>
      <c r="B1886" s="2" t="n">
        <v>43216.89891203704</v>
      </c>
      <c r="C1886" t="n">
        <v>0</v>
      </c>
      <c r="D1886" t="n">
        <v>9</v>
      </c>
      <c r="E1886" t="s">
        <v>1884</v>
      </c>
      <c r="F1886" t="s"/>
      <c r="G1886" t="s"/>
      <c r="H1886" t="s"/>
      <c r="I1886" t="s"/>
      <c r="J1886" t="n">
        <v>-0.296</v>
      </c>
      <c r="K1886" t="n">
        <v>0.123</v>
      </c>
      <c r="L1886" t="n">
        <v>0.797</v>
      </c>
      <c r="M1886" t="n">
        <v>0.08</v>
      </c>
    </row>
    <row r="1887" spans="1:13">
      <c r="A1887" s="1">
        <f>HYPERLINK("http://www.twitter.com/NathanBLawrence/status/989559747597582336", "989559747597582336")</f>
        <v/>
      </c>
      <c r="B1887" s="2" t="n">
        <v>43216.73614583333</v>
      </c>
      <c r="C1887" t="n">
        <v>0</v>
      </c>
      <c r="D1887" t="n">
        <v>38</v>
      </c>
      <c r="E1887" t="s">
        <v>1885</v>
      </c>
      <c r="F1887" t="s"/>
      <c r="G1887" t="s"/>
      <c r="H1887" t="s"/>
      <c r="I1887" t="s"/>
      <c r="J1887" t="n">
        <v>0</v>
      </c>
      <c r="K1887" t="n">
        <v>0</v>
      </c>
      <c r="L1887" t="n">
        <v>1</v>
      </c>
      <c r="M1887" t="n">
        <v>0</v>
      </c>
    </row>
    <row r="1888" spans="1:13">
      <c r="A1888" s="1">
        <f>HYPERLINK("http://www.twitter.com/NathanBLawrence/status/989559715293286400", "989559715293286400")</f>
        <v/>
      </c>
      <c r="B1888" s="2" t="n">
        <v>43216.73605324074</v>
      </c>
      <c r="C1888" t="n">
        <v>0</v>
      </c>
      <c r="D1888" t="n">
        <v>2</v>
      </c>
      <c r="E1888" t="s">
        <v>1886</v>
      </c>
      <c r="F1888" t="s"/>
      <c r="G1888" t="s"/>
      <c r="H1888" t="s"/>
      <c r="I1888" t="s"/>
      <c r="J1888" t="n">
        <v>0</v>
      </c>
      <c r="K1888" t="n">
        <v>0</v>
      </c>
      <c r="L1888" t="n">
        <v>1</v>
      </c>
      <c r="M1888" t="n">
        <v>0</v>
      </c>
    </row>
    <row r="1889" spans="1:13">
      <c r="A1889" s="1">
        <f>HYPERLINK("http://www.twitter.com/NathanBLawrence/status/989559632367669249", "989559632367669249")</f>
        <v/>
      </c>
      <c r="B1889" s="2" t="n">
        <v>43216.73583333333</v>
      </c>
      <c r="C1889" t="n">
        <v>0</v>
      </c>
      <c r="D1889" t="n">
        <v>16</v>
      </c>
      <c r="E1889" t="s">
        <v>1887</v>
      </c>
      <c r="F1889">
        <f>HYPERLINK("http://pbs.twimg.com/media/Dbqf_vcUwAEuyZn.jpg", "http://pbs.twimg.com/media/Dbqf_vcUwAEuyZn.jpg")</f>
        <v/>
      </c>
      <c r="G1889">
        <f>HYPERLINK("http://pbs.twimg.com/media/Dbqf_vXUwAA9KuS.jpg", "http://pbs.twimg.com/media/Dbqf_vXUwAA9KuS.jpg")</f>
        <v/>
      </c>
      <c r="H1889" t="s"/>
      <c r="I1889" t="s"/>
      <c r="J1889" t="n">
        <v>0</v>
      </c>
      <c r="K1889" t="n">
        <v>0</v>
      </c>
      <c r="L1889" t="n">
        <v>1</v>
      </c>
      <c r="M1889" t="n">
        <v>0</v>
      </c>
    </row>
    <row r="1890" spans="1:13">
      <c r="A1890" s="1">
        <f>HYPERLINK("http://www.twitter.com/NathanBLawrence/status/989559583696998400", "989559583696998400")</f>
        <v/>
      </c>
      <c r="B1890" s="2" t="n">
        <v>43216.73569444445</v>
      </c>
      <c r="C1890" t="n">
        <v>0</v>
      </c>
      <c r="D1890" t="n">
        <v>38</v>
      </c>
      <c r="E1890" t="s">
        <v>1888</v>
      </c>
      <c r="F1890" t="s"/>
      <c r="G1890" t="s"/>
      <c r="H1890" t="s"/>
      <c r="I1890" t="s"/>
      <c r="J1890" t="n">
        <v>-0.296</v>
      </c>
      <c r="K1890" t="n">
        <v>0.095</v>
      </c>
      <c r="L1890" t="n">
        <v>0.905</v>
      </c>
      <c r="M1890" t="n">
        <v>0</v>
      </c>
    </row>
    <row r="1891" spans="1:13">
      <c r="A1891" s="1">
        <f>HYPERLINK("http://www.twitter.com/NathanBLawrence/status/989559572988874752", "989559572988874752")</f>
        <v/>
      </c>
      <c r="B1891" s="2" t="n">
        <v>43216.73565972222</v>
      </c>
      <c r="C1891" t="n">
        <v>0</v>
      </c>
      <c r="D1891" t="n">
        <v>11</v>
      </c>
      <c r="E1891" t="s">
        <v>1889</v>
      </c>
      <c r="F1891" t="s"/>
      <c r="G1891" t="s"/>
      <c r="H1891" t="s"/>
      <c r="I1891" t="s"/>
      <c r="J1891" t="n">
        <v>-0.0258</v>
      </c>
      <c r="K1891" t="n">
        <v>0.169</v>
      </c>
      <c r="L1891" t="n">
        <v>0.664</v>
      </c>
      <c r="M1891" t="n">
        <v>0.166</v>
      </c>
    </row>
    <row r="1892" spans="1:13">
      <c r="A1892" s="1">
        <f>HYPERLINK("http://www.twitter.com/NathanBLawrence/status/989559549156823040", "989559549156823040")</f>
        <v/>
      </c>
      <c r="B1892" s="2" t="n">
        <v>43216.73560185185</v>
      </c>
      <c r="C1892" t="n">
        <v>0</v>
      </c>
      <c r="D1892" t="n">
        <v>8</v>
      </c>
      <c r="E1892" t="s">
        <v>1890</v>
      </c>
      <c r="F1892" t="s"/>
      <c r="G1892" t="s"/>
      <c r="H1892" t="s"/>
      <c r="I1892" t="s"/>
      <c r="J1892" t="n">
        <v>-0.0788</v>
      </c>
      <c r="K1892" t="n">
        <v>0.062</v>
      </c>
      <c r="L1892" t="n">
        <v>0.887</v>
      </c>
      <c r="M1892" t="n">
        <v>0.051</v>
      </c>
    </row>
    <row r="1893" spans="1:13">
      <c r="A1893" s="1">
        <f>HYPERLINK("http://www.twitter.com/NathanBLawrence/status/989559502201647104", "989559502201647104")</f>
        <v/>
      </c>
      <c r="B1893" s="2" t="n">
        <v>43216.73547453704</v>
      </c>
      <c r="C1893" t="n">
        <v>0</v>
      </c>
      <c r="D1893" t="n">
        <v>7</v>
      </c>
      <c r="E1893" t="s">
        <v>1891</v>
      </c>
      <c r="F1893" t="s"/>
      <c r="G1893" t="s"/>
      <c r="H1893" t="s"/>
      <c r="I1893" t="s"/>
      <c r="J1893" t="n">
        <v>-0.6239</v>
      </c>
      <c r="K1893" t="n">
        <v>0.221</v>
      </c>
      <c r="L1893" t="n">
        <v>0.779</v>
      </c>
      <c r="M1893" t="n">
        <v>0</v>
      </c>
    </row>
    <row r="1894" spans="1:13">
      <c r="A1894" s="1">
        <f>HYPERLINK("http://www.twitter.com/NathanBLawrence/status/989559221225213954", "989559221225213954")</f>
        <v/>
      </c>
      <c r="B1894" s="2" t="n">
        <v>43216.73469907408</v>
      </c>
      <c r="C1894" t="n">
        <v>0</v>
      </c>
      <c r="D1894" t="n">
        <v>12</v>
      </c>
      <c r="E1894" t="s">
        <v>1892</v>
      </c>
      <c r="F1894" t="s"/>
      <c r="G1894" t="s"/>
      <c r="H1894" t="s"/>
      <c r="I1894" t="s"/>
      <c r="J1894" t="n">
        <v>-0.4588</v>
      </c>
      <c r="K1894" t="n">
        <v>0.241</v>
      </c>
      <c r="L1894" t="n">
        <v>0.667</v>
      </c>
      <c r="M1894" t="n">
        <v>0.093</v>
      </c>
    </row>
    <row r="1895" spans="1:13">
      <c r="A1895" s="1">
        <f>HYPERLINK("http://www.twitter.com/NathanBLawrence/status/989559207509856256", "989559207509856256")</f>
        <v/>
      </c>
      <c r="B1895" s="2" t="n">
        <v>43216.73465277778</v>
      </c>
      <c r="C1895" t="n">
        <v>0</v>
      </c>
      <c r="D1895" t="n">
        <v>16</v>
      </c>
      <c r="E1895" t="s">
        <v>1893</v>
      </c>
      <c r="F1895" t="s"/>
      <c r="G1895" t="s"/>
      <c r="H1895" t="s"/>
      <c r="I1895" t="s"/>
      <c r="J1895" t="n">
        <v>-0.8481</v>
      </c>
      <c r="K1895" t="n">
        <v>0.305</v>
      </c>
      <c r="L1895" t="n">
        <v>0.695</v>
      </c>
      <c r="M1895" t="n">
        <v>0</v>
      </c>
    </row>
    <row r="1896" spans="1:13">
      <c r="A1896" s="1">
        <f>HYPERLINK("http://www.twitter.com/NathanBLawrence/status/989559161426972673", "989559161426972673")</f>
        <v/>
      </c>
      <c r="B1896" s="2" t="n">
        <v>43216.73452546296</v>
      </c>
      <c r="C1896" t="n">
        <v>0</v>
      </c>
      <c r="D1896" t="n">
        <v>12</v>
      </c>
      <c r="E1896" t="s">
        <v>1894</v>
      </c>
      <c r="F1896" t="s"/>
      <c r="G1896" t="s"/>
      <c r="H1896" t="s"/>
      <c r="I1896" t="s"/>
      <c r="J1896" t="n">
        <v>-0.3089</v>
      </c>
      <c r="K1896" t="n">
        <v>0.111</v>
      </c>
      <c r="L1896" t="n">
        <v>0.889</v>
      </c>
      <c r="M1896" t="n">
        <v>0</v>
      </c>
    </row>
    <row r="1897" spans="1:13">
      <c r="A1897" s="1">
        <f>HYPERLINK("http://www.twitter.com/NathanBLawrence/status/989559096348172290", "989559096348172290")</f>
        <v/>
      </c>
      <c r="B1897" s="2" t="n">
        <v>43216.73435185185</v>
      </c>
      <c r="C1897" t="n">
        <v>0</v>
      </c>
      <c r="D1897" t="n">
        <v>2</v>
      </c>
      <c r="E1897" t="s">
        <v>1895</v>
      </c>
      <c r="F1897" t="s"/>
      <c r="G1897" t="s"/>
      <c r="H1897" t="s"/>
      <c r="I1897" t="s"/>
      <c r="J1897" t="n">
        <v>-0.25</v>
      </c>
      <c r="K1897" t="n">
        <v>0.199</v>
      </c>
      <c r="L1897" t="n">
        <v>0.638</v>
      </c>
      <c r="M1897" t="n">
        <v>0.163</v>
      </c>
    </row>
    <row r="1898" spans="1:13">
      <c r="A1898" s="1">
        <f>HYPERLINK("http://www.twitter.com/NathanBLawrence/status/989559002630643712", "989559002630643712")</f>
        <v/>
      </c>
      <c r="B1898" s="2" t="n">
        <v>43216.73409722222</v>
      </c>
      <c r="C1898" t="n">
        <v>0</v>
      </c>
      <c r="D1898" t="n">
        <v>4</v>
      </c>
      <c r="E1898" t="s">
        <v>1896</v>
      </c>
      <c r="F1898">
        <f>HYPERLINK("http://pbs.twimg.com/media/DbudiizVMAA9dBB.jpg", "http://pbs.twimg.com/media/DbudiizVMAA9dBB.jpg")</f>
        <v/>
      </c>
      <c r="G1898">
        <f>HYPERLINK("http://pbs.twimg.com/media/Dbudp2YV4AA2fgN.jpg", "http://pbs.twimg.com/media/Dbudp2YV4AA2fgN.jpg")</f>
        <v/>
      </c>
      <c r="H1898" t="s"/>
      <c r="I1898" t="s"/>
      <c r="J1898" t="n">
        <v>0</v>
      </c>
      <c r="K1898" t="n">
        <v>0</v>
      </c>
      <c r="L1898" t="n">
        <v>1</v>
      </c>
      <c r="M1898" t="n">
        <v>0</v>
      </c>
    </row>
    <row r="1899" spans="1:13">
      <c r="A1899" s="1">
        <f>HYPERLINK("http://www.twitter.com/NathanBLawrence/status/989542042530349056", "989542042530349056")</f>
        <v/>
      </c>
      <c r="B1899" s="2" t="n">
        <v>43216.68729166667</v>
      </c>
      <c r="C1899" t="n">
        <v>0</v>
      </c>
      <c r="D1899" t="n">
        <v>13</v>
      </c>
      <c r="E1899" t="s">
        <v>1897</v>
      </c>
      <c r="F1899" t="s"/>
      <c r="G1899" t="s"/>
      <c r="H1899" t="s"/>
      <c r="I1899" t="s"/>
      <c r="J1899" t="n">
        <v>0</v>
      </c>
      <c r="K1899" t="n">
        <v>0</v>
      </c>
      <c r="L1899" t="n">
        <v>1</v>
      </c>
      <c r="M1899" t="n">
        <v>0</v>
      </c>
    </row>
    <row r="1900" spans="1:13">
      <c r="A1900" s="1">
        <f>HYPERLINK("http://www.twitter.com/NathanBLawrence/status/989542025199538176", "989542025199538176")</f>
        <v/>
      </c>
      <c r="B1900" s="2" t="n">
        <v>43216.68724537037</v>
      </c>
      <c r="C1900" t="n">
        <v>0</v>
      </c>
      <c r="D1900" t="n">
        <v>9</v>
      </c>
      <c r="E1900" t="s">
        <v>1898</v>
      </c>
      <c r="F1900" t="s"/>
      <c r="G1900" t="s"/>
      <c r="H1900" t="s"/>
      <c r="I1900" t="s"/>
      <c r="J1900" t="n">
        <v>-0.0772</v>
      </c>
      <c r="K1900" t="n">
        <v>0.048</v>
      </c>
      <c r="L1900" t="n">
        <v>0.952</v>
      </c>
      <c r="M1900" t="n">
        <v>0</v>
      </c>
    </row>
    <row r="1901" spans="1:13">
      <c r="A1901" s="1">
        <f>HYPERLINK("http://www.twitter.com/NathanBLawrence/status/989541961420951552", "989541961420951552")</f>
        <v/>
      </c>
      <c r="B1901" s="2" t="n">
        <v>43216.68707175926</v>
      </c>
      <c r="C1901" t="n">
        <v>0</v>
      </c>
      <c r="D1901" t="n">
        <v>10</v>
      </c>
      <c r="E1901" t="s">
        <v>1899</v>
      </c>
      <c r="F1901" t="s"/>
      <c r="G1901" t="s"/>
      <c r="H1901" t="s"/>
      <c r="I1901" t="s"/>
      <c r="J1901" t="n">
        <v>-0.3612</v>
      </c>
      <c r="K1901" t="n">
        <v>0.111</v>
      </c>
      <c r="L1901" t="n">
        <v>0.889</v>
      </c>
      <c r="M1901" t="n">
        <v>0</v>
      </c>
    </row>
    <row r="1902" spans="1:13">
      <c r="A1902" s="1">
        <f>HYPERLINK("http://www.twitter.com/NathanBLawrence/status/989541935969898501", "989541935969898501")</f>
        <v/>
      </c>
      <c r="B1902" s="2" t="n">
        <v>43216.68699074074</v>
      </c>
      <c r="C1902" t="n">
        <v>0</v>
      </c>
      <c r="D1902" t="n">
        <v>9</v>
      </c>
      <c r="E1902" t="s">
        <v>1900</v>
      </c>
      <c r="F1902">
        <f>HYPERLINK("http://pbs.twimg.com/media/DbuDwbuWsAAQLUY.jpg", "http://pbs.twimg.com/media/DbuDwbuWsAAQLUY.jpg")</f>
        <v/>
      </c>
      <c r="G1902">
        <f>HYPERLINK("http://pbs.twimg.com/media/DbuDw06X0AEEuAs.jpg", "http://pbs.twimg.com/media/DbuDw06X0AEEuAs.jpg")</f>
        <v/>
      </c>
      <c r="H1902">
        <f>HYPERLINK("http://pbs.twimg.com/media/DbuDxKVWsAASHUo.jpg", "http://pbs.twimg.com/media/DbuDxKVWsAASHUo.jpg")</f>
        <v/>
      </c>
      <c r="I1902">
        <f>HYPERLINK("http://pbs.twimg.com/media/DbuDxuUWkAIXuG0.jpg", "http://pbs.twimg.com/media/DbuDxuUWkAIXuG0.jpg")</f>
        <v/>
      </c>
      <c r="J1902" t="n">
        <v>-0.7906</v>
      </c>
      <c r="K1902" t="n">
        <v>0.269</v>
      </c>
      <c r="L1902" t="n">
        <v>0.731</v>
      </c>
      <c r="M1902" t="n">
        <v>0</v>
      </c>
    </row>
    <row r="1903" spans="1:13">
      <c r="A1903" s="1">
        <f>HYPERLINK("http://www.twitter.com/NathanBLawrence/status/989535999440179200", "989535999440179200")</f>
        <v/>
      </c>
      <c r="B1903" s="2" t="n">
        <v>43216.67061342593</v>
      </c>
      <c r="C1903" t="n">
        <v>0</v>
      </c>
      <c r="D1903" t="n">
        <v>12</v>
      </c>
      <c r="E1903" t="s">
        <v>1901</v>
      </c>
      <c r="F1903" t="s"/>
      <c r="G1903" t="s"/>
      <c r="H1903" t="s"/>
      <c r="I1903" t="s"/>
      <c r="J1903" t="n">
        <v>-0.8126</v>
      </c>
      <c r="K1903" t="n">
        <v>0.318</v>
      </c>
      <c r="L1903" t="n">
        <v>0.6820000000000001</v>
      </c>
      <c r="M1903" t="n">
        <v>0</v>
      </c>
    </row>
    <row r="1904" spans="1:13">
      <c r="A1904" s="1">
        <f>HYPERLINK("http://www.twitter.com/NathanBLawrence/status/989346111713415169", "989346111713415169")</f>
        <v/>
      </c>
      <c r="B1904" s="2" t="n">
        <v>43216.14662037037</v>
      </c>
      <c r="C1904" t="n">
        <v>0</v>
      </c>
      <c r="D1904" t="n">
        <v>5</v>
      </c>
      <c r="E1904" t="s">
        <v>1902</v>
      </c>
      <c r="F1904" t="s"/>
      <c r="G1904" t="s"/>
      <c r="H1904" t="s"/>
      <c r="I1904" t="s"/>
      <c r="J1904" t="n">
        <v>0</v>
      </c>
      <c r="K1904" t="n">
        <v>0</v>
      </c>
      <c r="L1904" t="n">
        <v>1</v>
      </c>
      <c r="M1904" t="n">
        <v>0</v>
      </c>
    </row>
    <row r="1905" spans="1:13">
      <c r="A1905" s="1">
        <f>HYPERLINK("http://www.twitter.com/NathanBLawrence/status/989346072370827265", "989346072370827265")</f>
        <v/>
      </c>
      <c r="B1905" s="2" t="n">
        <v>43216.14651620371</v>
      </c>
      <c r="C1905" t="n">
        <v>0</v>
      </c>
      <c r="D1905" t="n">
        <v>934</v>
      </c>
      <c r="E1905" t="s">
        <v>1903</v>
      </c>
      <c r="F1905">
        <f>HYPERLINK("http://pbs.twimg.com/media/DbrFkEXXUAIGy-X.jpg", "http://pbs.twimg.com/media/DbrFkEXXUAIGy-X.jpg")</f>
        <v/>
      </c>
      <c r="G1905">
        <f>HYPERLINK("http://pbs.twimg.com/media/DbrFxYUWkAEU5Z7.jpg", "http://pbs.twimg.com/media/DbrFxYUWkAEU5Z7.jpg")</f>
        <v/>
      </c>
      <c r="H1905" t="s"/>
      <c r="I1905" t="s"/>
      <c r="J1905" t="n">
        <v>0.4466</v>
      </c>
      <c r="K1905" t="n">
        <v>0</v>
      </c>
      <c r="L1905" t="n">
        <v>0.836</v>
      </c>
      <c r="M1905" t="n">
        <v>0.164</v>
      </c>
    </row>
    <row r="1906" spans="1:13">
      <c r="A1906" s="1">
        <f>HYPERLINK("http://www.twitter.com/NathanBLawrence/status/989345914056822784", "989345914056822784")</f>
        <v/>
      </c>
      <c r="B1906" s="2" t="n">
        <v>43216.14607638889</v>
      </c>
      <c r="C1906" t="n">
        <v>0</v>
      </c>
      <c r="D1906" t="n">
        <v>549</v>
      </c>
      <c r="E1906" t="s">
        <v>1904</v>
      </c>
      <c r="F1906" t="s"/>
      <c r="G1906" t="s"/>
      <c r="H1906" t="s"/>
      <c r="I1906" t="s"/>
      <c r="J1906" t="n">
        <v>0</v>
      </c>
      <c r="K1906" t="n">
        <v>0</v>
      </c>
      <c r="L1906" t="n">
        <v>1</v>
      </c>
      <c r="M1906" t="n">
        <v>0</v>
      </c>
    </row>
    <row r="1907" spans="1:13">
      <c r="A1907" s="1">
        <f>HYPERLINK("http://www.twitter.com/NathanBLawrence/status/989345749753352193", "989345749753352193")</f>
        <v/>
      </c>
      <c r="B1907" s="2" t="n">
        <v>43216.145625</v>
      </c>
      <c r="C1907" t="n">
        <v>0</v>
      </c>
      <c r="D1907" t="n">
        <v>8566</v>
      </c>
      <c r="E1907" t="s">
        <v>1905</v>
      </c>
      <c r="F1907" t="s"/>
      <c r="G1907" t="s"/>
      <c r="H1907" t="s"/>
      <c r="I1907" t="s"/>
      <c r="J1907" t="n">
        <v>-0.7297</v>
      </c>
      <c r="K1907" t="n">
        <v>0.176</v>
      </c>
      <c r="L1907" t="n">
        <v>0.824</v>
      </c>
      <c r="M1907" t="n">
        <v>0</v>
      </c>
    </row>
    <row r="1908" spans="1:13">
      <c r="A1908" s="1">
        <f>HYPERLINK("http://www.twitter.com/NathanBLawrence/status/989345592148201472", "989345592148201472")</f>
        <v/>
      </c>
      <c r="B1908" s="2" t="n">
        <v>43216.14518518518</v>
      </c>
      <c r="C1908" t="n">
        <v>0</v>
      </c>
      <c r="D1908" t="n">
        <v>802</v>
      </c>
      <c r="E1908" t="s">
        <v>1906</v>
      </c>
      <c r="F1908" t="s"/>
      <c r="G1908" t="s"/>
      <c r="H1908" t="s"/>
      <c r="I1908" t="s"/>
      <c r="J1908" t="n">
        <v>0.6625</v>
      </c>
      <c r="K1908" t="n">
        <v>0</v>
      </c>
      <c r="L1908" t="n">
        <v>0.576</v>
      </c>
      <c r="M1908" t="n">
        <v>0.424</v>
      </c>
    </row>
    <row r="1909" spans="1:13">
      <c r="A1909" s="1">
        <f>HYPERLINK("http://www.twitter.com/NathanBLawrence/status/989344702611820544", "989344702611820544")</f>
        <v/>
      </c>
      <c r="B1909" s="2" t="n">
        <v>43216.14273148148</v>
      </c>
      <c r="C1909" t="n">
        <v>0</v>
      </c>
      <c r="D1909" t="n">
        <v>19</v>
      </c>
      <c r="E1909" t="s">
        <v>1907</v>
      </c>
      <c r="F1909">
        <f>HYPERLINK("http://pbs.twimg.com/media/DbqlEKGW0AUdVFf.jpg", "http://pbs.twimg.com/media/DbqlEKGW0AUdVFf.jpg")</f>
        <v/>
      </c>
      <c r="G1909">
        <f>HYPERLINK("http://pbs.twimg.com/media/DbqlEvWWkAEg20c.jpg", "http://pbs.twimg.com/media/DbqlEvWWkAEg20c.jpg")</f>
        <v/>
      </c>
      <c r="H1909" t="s"/>
      <c r="I1909" t="s"/>
      <c r="J1909" t="n">
        <v>-0.5266999999999999</v>
      </c>
      <c r="K1909" t="n">
        <v>0.145</v>
      </c>
      <c r="L1909" t="n">
        <v>0.855</v>
      </c>
      <c r="M1909" t="n">
        <v>0</v>
      </c>
    </row>
    <row r="1910" spans="1:13">
      <c r="A1910" s="1">
        <f>HYPERLINK("http://www.twitter.com/NathanBLawrence/status/989344045024542720", "989344045024542720")</f>
        <v/>
      </c>
      <c r="B1910" s="2" t="n">
        <v>43216.14092592592</v>
      </c>
      <c r="C1910" t="n">
        <v>0</v>
      </c>
      <c r="D1910" t="n">
        <v>7</v>
      </c>
      <c r="E1910" t="s">
        <v>1908</v>
      </c>
      <c r="F1910" t="s"/>
      <c r="G1910" t="s"/>
      <c r="H1910" t="s"/>
      <c r="I1910" t="s"/>
      <c r="J1910" t="n">
        <v>-0.6808</v>
      </c>
      <c r="K1910" t="n">
        <v>0.203</v>
      </c>
      <c r="L1910" t="n">
        <v>0.797</v>
      </c>
      <c r="M1910" t="n">
        <v>0</v>
      </c>
    </row>
    <row r="1911" spans="1:13">
      <c r="A1911" s="1">
        <f>HYPERLINK("http://www.twitter.com/NathanBLawrence/status/989343914271309824", "989343914271309824")</f>
        <v/>
      </c>
      <c r="B1911" s="2" t="n">
        <v>43216.14055555555</v>
      </c>
      <c r="C1911" t="n">
        <v>0</v>
      </c>
      <c r="D1911" t="n">
        <v>8</v>
      </c>
      <c r="E1911" t="s">
        <v>1909</v>
      </c>
      <c r="F1911" t="s"/>
      <c r="G1911" t="s"/>
      <c r="H1911" t="s"/>
      <c r="I1911" t="s"/>
      <c r="J1911" t="n">
        <v>-0.6747</v>
      </c>
      <c r="K1911" t="n">
        <v>0.201</v>
      </c>
      <c r="L1911" t="n">
        <v>0.799</v>
      </c>
      <c r="M1911" t="n">
        <v>0</v>
      </c>
    </row>
    <row r="1912" spans="1:13">
      <c r="A1912" s="1">
        <f>HYPERLINK("http://www.twitter.com/NathanBLawrence/status/989343606224846848", "989343606224846848")</f>
        <v/>
      </c>
      <c r="B1912" s="2" t="n">
        <v>43216.13971064815</v>
      </c>
      <c r="C1912" t="n">
        <v>0</v>
      </c>
      <c r="D1912" t="n">
        <v>6</v>
      </c>
      <c r="E1912" t="s">
        <v>1910</v>
      </c>
      <c r="F1912" t="s"/>
      <c r="G1912" t="s"/>
      <c r="H1912" t="s"/>
      <c r="I1912" t="s"/>
      <c r="J1912" t="n">
        <v>-0.4588</v>
      </c>
      <c r="K1912" t="n">
        <v>0.143</v>
      </c>
      <c r="L1912" t="n">
        <v>0.857</v>
      </c>
      <c r="M1912" t="n">
        <v>0</v>
      </c>
    </row>
    <row r="1913" spans="1:13">
      <c r="A1913" s="1">
        <f>HYPERLINK("http://www.twitter.com/NathanBLawrence/status/989340572006715394", "989340572006715394")</f>
        <v/>
      </c>
      <c r="B1913" s="2" t="n">
        <v>43216.13134259259</v>
      </c>
      <c r="C1913" t="n">
        <v>0</v>
      </c>
      <c r="D1913" t="n">
        <v>15</v>
      </c>
      <c r="E1913" t="s">
        <v>1911</v>
      </c>
      <c r="F1913" t="s"/>
      <c r="G1913" t="s"/>
      <c r="H1913" t="s"/>
      <c r="I1913" t="s"/>
      <c r="J1913" t="n">
        <v>-0.8381</v>
      </c>
      <c r="K1913" t="n">
        <v>0.332</v>
      </c>
      <c r="L1913" t="n">
        <v>0.668</v>
      </c>
      <c r="M1913" t="n">
        <v>0</v>
      </c>
    </row>
    <row r="1914" spans="1:13">
      <c r="A1914" s="1">
        <f>HYPERLINK("http://www.twitter.com/NathanBLawrence/status/989340486799421441", "989340486799421441")</f>
        <v/>
      </c>
      <c r="B1914" s="2" t="n">
        <v>43216.13109953704</v>
      </c>
      <c r="C1914" t="n">
        <v>8</v>
      </c>
      <c r="D1914" t="n">
        <v>7</v>
      </c>
      <c r="E1914" t="s">
        <v>1912</v>
      </c>
      <c r="F1914" t="s"/>
      <c r="G1914" t="s"/>
      <c r="H1914" t="s"/>
      <c r="I1914" t="s"/>
      <c r="J1914" t="n">
        <v>-0.9186</v>
      </c>
      <c r="K1914" t="n">
        <v>0.244</v>
      </c>
      <c r="L1914" t="n">
        <v>0.734</v>
      </c>
      <c r="M1914" t="n">
        <v>0.022</v>
      </c>
    </row>
    <row r="1915" spans="1:13">
      <c r="A1915" s="1">
        <f>HYPERLINK("http://www.twitter.com/NathanBLawrence/status/989339435270660096", "989339435270660096")</f>
        <v/>
      </c>
      <c r="B1915" s="2" t="n">
        <v>43216.12820601852</v>
      </c>
      <c r="C1915" t="n">
        <v>21</v>
      </c>
      <c r="D1915" t="n">
        <v>15</v>
      </c>
      <c r="E1915" t="s">
        <v>1913</v>
      </c>
      <c r="F1915" t="s"/>
      <c r="G1915" t="s"/>
      <c r="H1915" t="s"/>
      <c r="I1915" t="s"/>
      <c r="J1915" t="n">
        <v>-0.5423</v>
      </c>
      <c r="K1915" t="n">
        <v>0.178</v>
      </c>
      <c r="L1915" t="n">
        <v>0.733</v>
      </c>
      <c r="M1915" t="n">
        <v>0.089</v>
      </c>
    </row>
    <row r="1916" spans="1:13">
      <c r="A1916" s="1">
        <f>HYPERLINK("http://www.twitter.com/NathanBLawrence/status/989337807205347329", "989337807205347329")</f>
        <v/>
      </c>
      <c r="B1916" s="2" t="n">
        <v>43216.12370370371</v>
      </c>
      <c r="C1916" t="n">
        <v>0</v>
      </c>
      <c r="D1916" t="n">
        <v>9</v>
      </c>
      <c r="E1916" t="s">
        <v>1914</v>
      </c>
      <c r="F1916" t="s"/>
      <c r="G1916" t="s"/>
      <c r="H1916" t="s"/>
      <c r="I1916" t="s"/>
      <c r="J1916" t="n">
        <v>-0.7088</v>
      </c>
      <c r="K1916" t="n">
        <v>0.219</v>
      </c>
      <c r="L1916" t="n">
        <v>0.781</v>
      </c>
      <c r="M1916" t="n">
        <v>0</v>
      </c>
    </row>
    <row r="1917" spans="1:13">
      <c r="A1917" s="1">
        <f>HYPERLINK("http://www.twitter.com/NathanBLawrence/status/989336100123693062", "989336100123693062")</f>
        <v/>
      </c>
      <c r="B1917" s="2" t="n">
        <v>43216.11899305556</v>
      </c>
      <c r="C1917" t="n">
        <v>0</v>
      </c>
      <c r="D1917" t="n">
        <v>6</v>
      </c>
      <c r="E1917" t="s">
        <v>1915</v>
      </c>
      <c r="F1917" t="s"/>
      <c r="G1917" t="s"/>
      <c r="H1917" t="s"/>
      <c r="I1917" t="s"/>
      <c r="J1917" t="n">
        <v>0.09</v>
      </c>
      <c r="K1917" t="n">
        <v>0.07099999999999999</v>
      </c>
      <c r="L1917" t="n">
        <v>0.843</v>
      </c>
      <c r="M1917" t="n">
        <v>0.08599999999999999</v>
      </c>
    </row>
    <row r="1918" spans="1:13">
      <c r="A1918" s="1">
        <f>HYPERLINK("http://www.twitter.com/NathanBLawrence/status/989245957479989250", "989245957479989250")</f>
        <v/>
      </c>
      <c r="B1918" s="2" t="n">
        <v>43215.87025462963</v>
      </c>
      <c r="C1918" t="n">
        <v>0</v>
      </c>
      <c r="D1918" t="n">
        <v>11</v>
      </c>
      <c r="E1918" t="s">
        <v>1916</v>
      </c>
      <c r="F1918">
        <f>HYPERLINK("http://pbs.twimg.com/media/DbqBkZFXkAE6aJP.jpg", "http://pbs.twimg.com/media/DbqBkZFXkAE6aJP.jpg")</f>
        <v/>
      </c>
      <c r="G1918" t="s"/>
      <c r="H1918" t="s"/>
      <c r="I1918" t="s"/>
      <c r="J1918" t="n">
        <v>0.34</v>
      </c>
      <c r="K1918" t="n">
        <v>0</v>
      </c>
      <c r="L1918" t="n">
        <v>0.876</v>
      </c>
      <c r="M1918" t="n">
        <v>0.124</v>
      </c>
    </row>
    <row r="1919" spans="1:13">
      <c r="A1919" s="1">
        <f>HYPERLINK("http://www.twitter.com/NathanBLawrence/status/989245925783670785", "989245925783670785")</f>
        <v/>
      </c>
      <c r="B1919" s="2" t="n">
        <v>43215.87016203703</v>
      </c>
      <c r="C1919" t="n">
        <v>0</v>
      </c>
      <c r="D1919" t="n">
        <v>0</v>
      </c>
      <c r="E1919" t="s">
        <v>1917</v>
      </c>
      <c r="F1919" t="s"/>
      <c r="G1919" t="s"/>
      <c r="H1919" t="s"/>
      <c r="I1919" t="s"/>
      <c r="J1919" t="n">
        <v>0.25</v>
      </c>
      <c r="K1919" t="n">
        <v>0.08699999999999999</v>
      </c>
      <c r="L1919" t="n">
        <v>0.787</v>
      </c>
      <c r="M1919" t="n">
        <v>0.126</v>
      </c>
    </row>
    <row r="1920" spans="1:13">
      <c r="A1920" s="1">
        <f>HYPERLINK("http://www.twitter.com/NathanBLawrence/status/989244351292301312", "989244351292301312")</f>
        <v/>
      </c>
      <c r="B1920" s="2" t="n">
        <v>43215.86582175926</v>
      </c>
      <c r="C1920" t="n">
        <v>0</v>
      </c>
      <c r="D1920" t="n">
        <v>3</v>
      </c>
      <c r="E1920" t="s">
        <v>1918</v>
      </c>
      <c r="F1920" t="s"/>
      <c r="G1920" t="s"/>
      <c r="H1920" t="s"/>
      <c r="I1920" t="s"/>
      <c r="J1920" t="n">
        <v>0.34</v>
      </c>
      <c r="K1920" t="n">
        <v>0</v>
      </c>
      <c r="L1920" t="n">
        <v>0.854</v>
      </c>
      <c r="M1920" t="n">
        <v>0.146</v>
      </c>
    </row>
    <row r="1921" spans="1:13">
      <c r="A1921" s="1">
        <f>HYPERLINK("http://www.twitter.com/NathanBLawrence/status/989233607981109253", "989233607981109253")</f>
        <v/>
      </c>
      <c r="B1921" s="2" t="n">
        <v>43215.83616898148</v>
      </c>
      <c r="C1921" t="n">
        <v>0</v>
      </c>
      <c r="D1921" t="n">
        <v>7</v>
      </c>
      <c r="E1921" t="s">
        <v>1919</v>
      </c>
      <c r="F1921" t="s"/>
      <c r="G1921" t="s"/>
      <c r="H1921" t="s"/>
      <c r="I1921" t="s"/>
      <c r="J1921" t="n">
        <v>-0.4939</v>
      </c>
      <c r="K1921" t="n">
        <v>0.167</v>
      </c>
      <c r="L1921" t="n">
        <v>0.833</v>
      </c>
      <c r="M1921" t="n">
        <v>0</v>
      </c>
    </row>
    <row r="1922" spans="1:13">
      <c r="A1922" s="1">
        <f>HYPERLINK("http://www.twitter.com/NathanBLawrence/status/989233587399675904", "989233587399675904")</f>
        <v/>
      </c>
      <c r="B1922" s="2" t="n">
        <v>43215.83611111111</v>
      </c>
      <c r="C1922" t="n">
        <v>0</v>
      </c>
      <c r="D1922" t="n">
        <v>9</v>
      </c>
      <c r="E1922" t="s">
        <v>1920</v>
      </c>
      <c r="F1922" t="s"/>
      <c r="G1922" t="s"/>
      <c r="H1922" t="s"/>
      <c r="I1922" t="s"/>
      <c r="J1922" t="n">
        <v>0.7783</v>
      </c>
      <c r="K1922" t="n">
        <v>0</v>
      </c>
      <c r="L1922" t="n">
        <v>0.736</v>
      </c>
      <c r="M1922" t="n">
        <v>0.264</v>
      </c>
    </row>
    <row r="1923" spans="1:13">
      <c r="A1923" s="1">
        <f>HYPERLINK("http://www.twitter.com/NathanBLawrence/status/989233554436640770", "989233554436640770")</f>
        <v/>
      </c>
      <c r="B1923" s="2" t="n">
        <v>43215.83603009259</v>
      </c>
      <c r="C1923" t="n">
        <v>0</v>
      </c>
      <c r="D1923" t="n">
        <v>5</v>
      </c>
      <c r="E1923" t="s">
        <v>1921</v>
      </c>
      <c r="F1923">
        <f>HYPERLINK("http://pbs.twimg.com/media/Dbps2UfW0AUFqTY.jpg", "http://pbs.twimg.com/media/Dbps2UfW0AUFqTY.jpg")</f>
        <v/>
      </c>
      <c r="G1923" t="s"/>
      <c r="H1923" t="s"/>
      <c r="I1923" t="s"/>
      <c r="J1923" t="n">
        <v>0</v>
      </c>
      <c r="K1923" t="n">
        <v>0</v>
      </c>
      <c r="L1923" t="n">
        <v>1</v>
      </c>
      <c r="M1923" t="n">
        <v>0</v>
      </c>
    </row>
    <row r="1924" spans="1:13">
      <c r="A1924" s="1">
        <f>HYPERLINK("http://www.twitter.com/NathanBLawrence/status/989233187174875136", "989233187174875136")</f>
        <v/>
      </c>
      <c r="B1924" s="2" t="n">
        <v>43215.83501157408</v>
      </c>
      <c r="C1924" t="n">
        <v>0</v>
      </c>
      <c r="D1924" t="n">
        <v>224</v>
      </c>
      <c r="E1924" t="s">
        <v>1922</v>
      </c>
      <c r="F1924" t="s"/>
      <c r="G1924" t="s"/>
      <c r="H1924" t="s"/>
      <c r="I1924" t="s"/>
      <c r="J1924" t="n">
        <v>0.2695</v>
      </c>
      <c r="K1924" t="n">
        <v>0.133</v>
      </c>
      <c r="L1924" t="n">
        <v>0.667</v>
      </c>
      <c r="M1924" t="n">
        <v>0.199</v>
      </c>
    </row>
    <row r="1925" spans="1:13">
      <c r="A1925" s="1">
        <f>HYPERLINK("http://www.twitter.com/NathanBLawrence/status/989208515884519425", "989208515884519425")</f>
        <v/>
      </c>
      <c r="B1925" s="2" t="n">
        <v>43215.76693287037</v>
      </c>
      <c r="C1925" t="n">
        <v>0</v>
      </c>
      <c r="D1925" t="n">
        <v>92</v>
      </c>
      <c r="E1925" t="s">
        <v>1923</v>
      </c>
      <c r="F1925">
        <f>HYPERLINK("http://pbs.twimg.com/media/DbpTmEoV4AAZft8.jpg", "http://pbs.twimg.com/media/DbpTmEoV4AAZft8.jpg")</f>
        <v/>
      </c>
      <c r="G1925" t="s"/>
      <c r="H1925" t="s"/>
      <c r="I1925" t="s"/>
      <c r="J1925" t="n">
        <v>-0.5719</v>
      </c>
      <c r="K1925" t="n">
        <v>0.217</v>
      </c>
      <c r="L1925" t="n">
        <v>0.783</v>
      </c>
      <c r="M1925" t="n">
        <v>0</v>
      </c>
    </row>
    <row r="1926" spans="1:13">
      <c r="A1926" s="1">
        <f>HYPERLINK("http://www.twitter.com/NathanBLawrence/status/989208401531080705", "989208401531080705")</f>
        <v/>
      </c>
      <c r="B1926" s="2" t="n">
        <v>43215.76662037037</v>
      </c>
      <c r="C1926" t="n">
        <v>0</v>
      </c>
      <c r="D1926" t="n">
        <v>14718</v>
      </c>
      <c r="E1926" t="s">
        <v>1924</v>
      </c>
      <c r="F1926" t="s"/>
      <c r="G1926" t="s"/>
      <c r="H1926" t="s"/>
      <c r="I1926" t="s"/>
      <c r="J1926" t="n">
        <v>0</v>
      </c>
      <c r="K1926" t="n">
        <v>0</v>
      </c>
      <c r="L1926" t="n">
        <v>1</v>
      </c>
      <c r="M1926" t="n">
        <v>0</v>
      </c>
    </row>
    <row r="1927" spans="1:13">
      <c r="A1927" s="1">
        <f>HYPERLINK("http://www.twitter.com/NathanBLawrence/status/989208048689471488", "989208048689471488")</f>
        <v/>
      </c>
      <c r="B1927" s="2" t="n">
        <v>43215.76564814815</v>
      </c>
      <c r="C1927" t="n">
        <v>0</v>
      </c>
      <c r="D1927" t="n">
        <v>731</v>
      </c>
      <c r="E1927" t="s">
        <v>1925</v>
      </c>
      <c r="F1927">
        <f>HYPERLINK("http://pbs.twimg.com/media/DbkjSjOVwAImKA9.jpg", "http://pbs.twimg.com/media/DbkjSjOVwAImKA9.jpg")</f>
        <v/>
      </c>
      <c r="G1927" t="s"/>
      <c r="H1927" t="s"/>
      <c r="I1927" t="s"/>
      <c r="J1927" t="n">
        <v>0</v>
      </c>
      <c r="K1927" t="n">
        <v>0</v>
      </c>
      <c r="L1927" t="n">
        <v>1</v>
      </c>
      <c r="M1927" t="n">
        <v>0</v>
      </c>
    </row>
    <row r="1928" spans="1:13">
      <c r="A1928" s="1">
        <f>HYPERLINK("http://www.twitter.com/NathanBLawrence/status/989207141713051648", "989207141713051648")</f>
        <v/>
      </c>
      <c r="B1928" s="2" t="n">
        <v>43215.76313657407</v>
      </c>
      <c r="C1928" t="n">
        <v>0</v>
      </c>
      <c r="D1928" t="n">
        <v>0</v>
      </c>
      <c r="E1928" t="s">
        <v>1926</v>
      </c>
      <c r="F1928" t="s"/>
      <c r="G1928" t="s"/>
      <c r="H1928" t="s"/>
      <c r="I1928" t="s"/>
      <c r="J1928" t="n">
        <v>0.1531</v>
      </c>
      <c r="K1928" t="n">
        <v>0.096</v>
      </c>
      <c r="L1928" t="n">
        <v>0.783</v>
      </c>
      <c r="M1928" t="n">
        <v>0.122</v>
      </c>
    </row>
    <row r="1929" spans="1:13">
      <c r="A1929" s="1">
        <f>HYPERLINK("http://www.twitter.com/NathanBLawrence/status/989206902012817409", "989206902012817409")</f>
        <v/>
      </c>
      <c r="B1929" s="2" t="n">
        <v>43215.76247685185</v>
      </c>
      <c r="C1929" t="n">
        <v>1</v>
      </c>
      <c r="D1929" t="n">
        <v>0</v>
      </c>
      <c r="E1929" t="s">
        <v>1927</v>
      </c>
      <c r="F1929" t="s"/>
      <c r="G1929" t="s"/>
      <c r="H1929" t="s"/>
      <c r="I1929" t="s"/>
      <c r="J1929" t="n">
        <v>-0.6486</v>
      </c>
      <c r="K1929" t="n">
        <v>0.164</v>
      </c>
      <c r="L1929" t="n">
        <v>0.76</v>
      </c>
      <c r="M1929" t="n">
        <v>0.076</v>
      </c>
    </row>
    <row r="1930" spans="1:13">
      <c r="A1930" s="1">
        <f>HYPERLINK("http://www.twitter.com/NathanBLawrence/status/989205872114008064", "989205872114008064")</f>
        <v/>
      </c>
      <c r="B1930" s="2" t="n">
        <v>43215.7596412037</v>
      </c>
      <c r="C1930" t="n">
        <v>0</v>
      </c>
      <c r="D1930" t="n">
        <v>9</v>
      </c>
      <c r="E1930" t="s">
        <v>1928</v>
      </c>
      <c r="F1930" t="s"/>
      <c r="G1930" t="s"/>
      <c r="H1930" t="s"/>
      <c r="I1930" t="s"/>
      <c r="J1930" t="n">
        <v>0.128</v>
      </c>
      <c r="K1930" t="n">
        <v>0</v>
      </c>
      <c r="L1930" t="n">
        <v>0.93</v>
      </c>
      <c r="M1930" t="n">
        <v>0.07000000000000001</v>
      </c>
    </row>
    <row r="1931" spans="1:13">
      <c r="A1931" s="1">
        <f>HYPERLINK("http://www.twitter.com/NathanBLawrence/status/989203031647506434", "989203031647506434")</f>
        <v/>
      </c>
      <c r="B1931" s="2" t="n">
        <v>43215.75179398148</v>
      </c>
      <c r="C1931" t="n">
        <v>0</v>
      </c>
      <c r="D1931" t="n">
        <v>13</v>
      </c>
      <c r="E1931" t="s">
        <v>1929</v>
      </c>
      <c r="F1931">
        <f>HYPERLINK("http://pbs.twimg.com/media/DbjxxkyV0AEzlJa.jpg", "http://pbs.twimg.com/media/DbjxxkyV0AEzlJa.jpg")</f>
        <v/>
      </c>
      <c r="G1931" t="s"/>
      <c r="H1931" t="s"/>
      <c r="I1931" t="s"/>
      <c r="J1931" t="n">
        <v>0</v>
      </c>
      <c r="K1931" t="n">
        <v>0</v>
      </c>
      <c r="L1931" t="n">
        <v>1</v>
      </c>
      <c r="M1931" t="n">
        <v>0</v>
      </c>
    </row>
    <row r="1932" spans="1:13">
      <c r="A1932" s="1">
        <f>HYPERLINK("http://www.twitter.com/NathanBLawrence/status/989203000295075840", "989203000295075840")</f>
        <v/>
      </c>
      <c r="B1932" s="2" t="n">
        <v>43215.75171296296</v>
      </c>
      <c r="C1932" t="n">
        <v>0</v>
      </c>
      <c r="D1932" t="n">
        <v>17</v>
      </c>
      <c r="E1932" t="s">
        <v>1930</v>
      </c>
      <c r="F1932">
        <f>HYPERLINK("http://pbs.twimg.com/media/DbkPuqCVwAAqd58.jpg", "http://pbs.twimg.com/media/DbkPuqCVwAAqd58.jpg")</f>
        <v/>
      </c>
      <c r="G1932" t="s"/>
      <c r="H1932" t="s"/>
      <c r="I1932" t="s"/>
      <c r="J1932" t="n">
        <v>0.6486</v>
      </c>
      <c r="K1932" t="n">
        <v>0</v>
      </c>
      <c r="L1932" t="n">
        <v>0.751</v>
      </c>
      <c r="M1932" t="n">
        <v>0.249</v>
      </c>
    </row>
    <row r="1933" spans="1:13">
      <c r="A1933" s="1">
        <f>HYPERLINK("http://www.twitter.com/NathanBLawrence/status/989202910369247232", "989202910369247232")</f>
        <v/>
      </c>
      <c r="B1933" s="2" t="n">
        <v>43215.75145833333</v>
      </c>
      <c r="C1933" t="n">
        <v>0</v>
      </c>
      <c r="D1933" t="n">
        <v>5</v>
      </c>
      <c r="E1933" t="s">
        <v>1931</v>
      </c>
      <c r="F1933" t="s"/>
      <c r="G1933" t="s"/>
      <c r="H1933" t="s"/>
      <c r="I1933" t="s"/>
      <c r="J1933" t="n">
        <v>-0.3612</v>
      </c>
      <c r="K1933" t="n">
        <v>0.116</v>
      </c>
      <c r="L1933" t="n">
        <v>0.884</v>
      </c>
      <c r="M1933" t="n">
        <v>0</v>
      </c>
    </row>
    <row r="1934" spans="1:13">
      <c r="A1934" s="1">
        <f>HYPERLINK("http://www.twitter.com/NathanBLawrence/status/989202870116417537", "989202870116417537")</f>
        <v/>
      </c>
      <c r="B1934" s="2" t="n">
        <v>43215.75135416666</v>
      </c>
      <c r="C1934" t="n">
        <v>0</v>
      </c>
      <c r="D1934" t="n">
        <v>8</v>
      </c>
      <c r="E1934" t="s">
        <v>1932</v>
      </c>
      <c r="F1934" t="s"/>
      <c r="G1934" t="s"/>
      <c r="H1934" t="s"/>
      <c r="I1934" t="s"/>
      <c r="J1934" t="n">
        <v>0.4404</v>
      </c>
      <c r="K1934" t="n">
        <v>0</v>
      </c>
      <c r="L1934" t="n">
        <v>0.868</v>
      </c>
      <c r="M1934" t="n">
        <v>0.132</v>
      </c>
    </row>
    <row r="1935" spans="1:13">
      <c r="A1935" s="1">
        <f>HYPERLINK("http://www.twitter.com/NathanBLawrence/status/989202584165634048", "989202584165634048")</f>
        <v/>
      </c>
      <c r="B1935" s="2" t="n">
        <v>43215.75056712963</v>
      </c>
      <c r="C1935" t="n">
        <v>0</v>
      </c>
      <c r="D1935" t="n">
        <v>9</v>
      </c>
      <c r="E1935" t="s">
        <v>1933</v>
      </c>
      <c r="F1935">
        <f>HYPERLINK("http://pbs.twimg.com/media/DboPyUiU0AEkNSa.jpg", "http://pbs.twimg.com/media/DboPyUiU0AEkNSa.jpg")</f>
        <v/>
      </c>
      <c r="G1935" t="s"/>
      <c r="H1935" t="s"/>
      <c r="I1935" t="s"/>
      <c r="J1935" t="n">
        <v>0.6486</v>
      </c>
      <c r="K1935" t="n">
        <v>0</v>
      </c>
      <c r="L1935" t="n">
        <v>0.751</v>
      </c>
      <c r="M1935" t="n">
        <v>0.249</v>
      </c>
    </row>
    <row r="1936" spans="1:13">
      <c r="A1936" s="1">
        <f>HYPERLINK("http://www.twitter.com/NathanBLawrence/status/989202529450946560", "989202529450946560")</f>
        <v/>
      </c>
      <c r="B1936" s="2" t="n">
        <v>43215.75041666667</v>
      </c>
      <c r="C1936" t="n">
        <v>0</v>
      </c>
      <c r="D1936" t="n">
        <v>10</v>
      </c>
      <c r="E1936" t="s">
        <v>1934</v>
      </c>
      <c r="F1936">
        <f>HYPERLINK("http://pbs.twimg.com/media/DbofFlwWkAAZSSG.jpg", "http://pbs.twimg.com/media/DbofFlwWkAAZSSG.jpg")</f>
        <v/>
      </c>
      <c r="G1936" t="s"/>
      <c r="H1936" t="s"/>
      <c r="I1936" t="s"/>
      <c r="J1936" t="n">
        <v>0.4404</v>
      </c>
      <c r="K1936" t="n">
        <v>0</v>
      </c>
      <c r="L1936" t="n">
        <v>0.8179999999999999</v>
      </c>
      <c r="M1936" t="n">
        <v>0.182</v>
      </c>
    </row>
    <row r="1937" spans="1:13">
      <c r="A1937" s="1">
        <f>HYPERLINK("http://www.twitter.com/NathanBLawrence/status/989202354460397568", "989202354460397568")</f>
        <v/>
      </c>
      <c r="B1937" s="2" t="n">
        <v>43215.74993055555</v>
      </c>
      <c r="C1937" t="n">
        <v>0</v>
      </c>
      <c r="D1937" t="n">
        <v>17</v>
      </c>
      <c r="E1937" t="s">
        <v>1935</v>
      </c>
      <c r="F1937" t="s"/>
      <c r="G1937" t="s"/>
      <c r="H1937" t="s"/>
      <c r="I1937" t="s"/>
      <c r="J1937" t="n">
        <v>0.0258</v>
      </c>
      <c r="K1937" t="n">
        <v>0.103</v>
      </c>
      <c r="L1937" t="n">
        <v>0.791</v>
      </c>
      <c r="M1937" t="n">
        <v>0.107</v>
      </c>
    </row>
    <row r="1938" spans="1:13">
      <c r="A1938" s="1">
        <f>HYPERLINK("http://www.twitter.com/NathanBLawrence/status/989202283480211456", "989202283480211456")</f>
        <v/>
      </c>
      <c r="B1938" s="2" t="n">
        <v>43215.7497337963</v>
      </c>
      <c r="C1938" t="n">
        <v>2</v>
      </c>
      <c r="D1938" t="n">
        <v>0</v>
      </c>
      <c r="E1938" t="s">
        <v>1936</v>
      </c>
      <c r="F1938" t="s"/>
      <c r="G1938" t="s"/>
      <c r="H1938" t="s"/>
      <c r="I1938" t="s"/>
      <c r="J1938" t="n">
        <v>0</v>
      </c>
      <c r="K1938" t="n">
        <v>0</v>
      </c>
      <c r="L1938" t="n">
        <v>1</v>
      </c>
      <c r="M1938" t="n">
        <v>0</v>
      </c>
    </row>
    <row r="1939" spans="1:13">
      <c r="A1939" s="1">
        <f>HYPERLINK("http://www.twitter.com/NathanBLawrence/status/989195084573954048", "989195084573954048")</f>
        <v/>
      </c>
      <c r="B1939" s="2" t="n">
        <v>43215.72987268519</v>
      </c>
      <c r="C1939" t="n">
        <v>0</v>
      </c>
      <c r="D1939" t="n">
        <v>12</v>
      </c>
      <c r="E1939" t="s">
        <v>1937</v>
      </c>
      <c r="F1939">
        <f>HYPERLINK("http://pbs.twimg.com/media/DbpTV0xXkAA7imT.jpg", "http://pbs.twimg.com/media/DbpTV0xXkAA7imT.jpg")</f>
        <v/>
      </c>
      <c r="G1939" t="s"/>
      <c r="H1939" t="s"/>
      <c r="I1939" t="s"/>
      <c r="J1939" t="n">
        <v>0.7184</v>
      </c>
      <c r="K1939" t="n">
        <v>0</v>
      </c>
      <c r="L1939" t="n">
        <v>0.76</v>
      </c>
      <c r="M1939" t="n">
        <v>0.24</v>
      </c>
    </row>
    <row r="1940" spans="1:13">
      <c r="A1940" s="1">
        <f>HYPERLINK("http://www.twitter.com/NathanBLawrence/status/989190892723621888", "989190892723621888")</f>
        <v/>
      </c>
      <c r="B1940" s="2" t="n">
        <v>43215.71829861111</v>
      </c>
      <c r="C1940" t="n">
        <v>0</v>
      </c>
      <c r="D1940" t="n">
        <v>7</v>
      </c>
      <c r="E1940" t="s">
        <v>1938</v>
      </c>
      <c r="F1940" t="s"/>
      <c r="G1940" t="s"/>
      <c r="H1940" t="s"/>
      <c r="I1940" t="s"/>
      <c r="J1940" t="n">
        <v>-0.4019</v>
      </c>
      <c r="K1940" t="n">
        <v>0.153</v>
      </c>
      <c r="L1940" t="n">
        <v>0.847</v>
      </c>
      <c r="M1940" t="n">
        <v>0</v>
      </c>
    </row>
    <row r="1941" spans="1:13">
      <c r="A1941" s="1">
        <f>HYPERLINK("http://www.twitter.com/NathanBLawrence/status/989190802827030528", "989190802827030528")</f>
        <v/>
      </c>
      <c r="B1941" s="2" t="n">
        <v>43215.71805555555</v>
      </c>
      <c r="C1941" t="n">
        <v>0</v>
      </c>
      <c r="D1941" t="n">
        <v>6</v>
      </c>
      <c r="E1941" t="s">
        <v>1939</v>
      </c>
      <c r="F1941" t="s"/>
      <c r="G1941" t="s"/>
      <c r="H1941" t="s"/>
      <c r="I1941" t="s"/>
      <c r="J1941" t="n">
        <v>0.3612</v>
      </c>
      <c r="K1941" t="n">
        <v>0</v>
      </c>
      <c r="L1941" t="n">
        <v>0.878</v>
      </c>
      <c r="M1941" t="n">
        <v>0.122</v>
      </c>
    </row>
    <row r="1942" spans="1:13">
      <c r="A1942" s="1">
        <f>HYPERLINK("http://www.twitter.com/NathanBLawrence/status/989190785940803584", "989190785940803584")</f>
        <v/>
      </c>
      <c r="B1942" s="2" t="n">
        <v>43215.71800925926</v>
      </c>
      <c r="C1942" t="n">
        <v>0</v>
      </c>
      <c r="D1942" t="n">
        <v>5</v>
      </c>
      <c r="E1942" t="s">
        <v>1940</v>
      </c>
      <c r="F1942" t="s"/>
      <c r="G1942" t="s"/>
      <c r="H1942" t="s"/>
      <c r="I1942" t="s"/>
      <c r="J1942" t="n">
        <v>0.3612</v>
      </c>
      <c r="K1942" t="n">
        <v>0</v>
      </c>
      <c r="L1942" t="n">
        <v>0.872</v>
      </c>
      <c r="M1942" t="n">
        <v>0.128</v>
      </c>
    </row>
    <row r="1943" spans="1:13">
      <c r="A1943" s="1">
        <f>HYPERLINK("http://www.twitter.com/NathanBLawrence/status/989190746556260353", "989190746556260353")</f>
        <v/>
      </c>
      <c r="B1943" s="2" t="n">
        <v>43215.71789351852</v>
      </c>
      <c r="C1943" t="n">
        <v>0</v>
      </c>
      <c r="D1943" t="n">
        <v>10</v>
      </c>
      <c r="E1943" t="s">
        <v>1941</v>
      </c>
      <c r="F1943" t="s"/>
      <c r="G1943" t="s"/>
      <c r="H1943" t="s"/>
      <c r="I1943" t="s"/>
      <c r="J1943" t="n">
        <v>-0.7783</v>
      </c>
      <c r="K1943" t="n">
        <v>0.312</v>
      </c>
      <c r="L1943" t="n">
        <v>0.6879999999999999</v>
      </c>
      <c r="M1943" t="n">
        <v>0</v>
      </c>
    </row>
    <row r="1944" spans="1:13">
      <c r="A1944" s="1">
        <f>HYPERLINK("http://www.twitter.com/NathanBLawrence/status/989190709008678912", "989190709008678912")</f>
        <v/>
      </c>
      <c r="B1944" s="2" t="n">
        <v>43215.71778935185</v>
      </c>
      <c r="C1944" t="n">
        <v>0</v>
      </c>
      <c r="D1944" t="n">
        <v>25</v>
      </c>
      <c r="E1944" t="s">
        <v>1942</v>
      </c>
      <c r="F1944">
        <f>HYPERLINK("http://pbs.twimg.com/media/DbpLpd1XUAEWv5a.jpg", "http://pbs.twimg.com/media/DbpLpd1XUAEWv5a.jpg")</f>
        <v/>
      </c>
      <c r="G1944">
        <f>HYPERLINK("http://pbs.twimg.com/media/DbpLpd0X4AAoUkJ.jpg", "http://pbs.twimg.com/media/DbpLpd0X4AAoUkJ.jpg")</f>
        <v/>
      </c>
      <c r="H1944">
        <f>HYPERLINK("http://pbs.twimg.com/media/DbpLpd0XUAUOJp3.jpg", "http://pbs.twimg.com/media/DbpLpd0XUAUOJp3.jpg")</f>
        <v/>
      </c>
      <c r="I1944">
        <f>HYPERLINK("http://pbs.twimg.com/media/DbpLpd3WkAAJ87I.jpg", "http://pbs.twimg.com/media/DbpLpd3WkAAJ87I.jpg")</f>
        <v/>
      </c>
      <c r="J1944" t="n">
        <v>-0.7906</v>
      </c>
      <c r="K1944" t="n">
        <v>0.269</v>
      </c>
      <c r="L1944" t="n">
        <v>0.731</v>
      </c>
      <c r="M1944" t="n">
        <v>0</v>
      </c>
    </row>
    <row r="1945" spans="1:13">
      <c r="A1945" s="1">
        <f>HYPERLINK("http://www.twitter.com/NathanBLawrence/status/989190694404272129", "989190694404272129")</f>
        <v/>
      </c>
      <c r="B1945" s="2" t="n">
        <v>43215.71775462963</v>
      </c>
      <c r="C1945" t="n">
        <v>0</v>
      </c>
      <c r="D1945" t="n">
        <v>8</v>
      </c>
      <c r="E1945" t="s">
        <v>1943</v>
      </c>
      <c r="F1945" t="s"/>
      <c r="G1945" t="s"/>
      <c r="H1945" t="s"/>
      <c r="I1945" t="s"/>
      <c r="J1945" t="n">
        <v>-0.25</v>
      </c>
      <c r="K1945" t="n">
        <v>0.13</v>
      </c>
      <c r="L1945" t="n">
        <v>0.775</v>
      </c>
      <c r="M1945" t="n">
        <v>0.095</v>
      </c>
    </row>
    <row r="1946" spans="1:13">
      <c r="A1946" s="1">
        <f>HYPERLINK("http://www.twitter.com/NathanBLawrence/status/989190671083933698", "989190671083933698")</f>
        <v/>
      </c>
      <c r="B1946" s="2" t="n">
        <v>43215.71768518518</v>
      </c>
      <c r="C1946" t="n">
        <v>0</v>
      </c>
      <c r="D1946" t="n">
        <v>13</v>
      </c>
      <c r="E1946" t="s">
        <v>1887</v>
      </c>
      <c r="F1946">
        <f>HYPERLINK("http://pbs.twimg.com/media/DbpOJ2ZUwAEjEXr.jpg", "http://pbs.twimg.com/media/DbpOJ2ZUwAEjEXr.jpg")</f>
        <v/>
      </c>
      <c r="G1946" t="s"/>
      <c r="H1946" t="s"/>
      <c r="I1946" t="s"/>
      <c r="J1946" t="n">
        <v>0</v>
      </c>
      <c r="K1946" t="n">
        <v>0</v>
      </c>
      <c r="L1946" t="n">
        <v>1</v>
      </c>
      <c r="M1946" t="n">
        <v>0</v>
      </c>
    </row>
    <row r="1947" spans="1:13">
      <c r="A1947" s="1">
        <f>HYPERLINK("http://www.twitter.com/NathanBLawrence/status/989182912829501441", "989182912829501441")</f>
        <v/>
      </c>
      <c r="B1947" s="2" t="n">
        <v>43215.69628472222</v>
      </c>
      <c r="C1947" t="n">
        <v>3</v>
      </c>
      <c r="D1947" t="n">
        <v>0</v>
      </c>
      <c r="E1947" t="s">
        <v>1944</v>
      </c>
      <c r="F1947" t="s"/>
      <c r="G1947" t="s"/>
      <c r="H1947" t="s"/>
      <c r="I1947" t="s"/>
      <c r="J1947" t="n">
        <v>0.0772</v>
      </c>
      <c r="K1947" t="n">
        <v>0.039</v>
      </c>
      <c r="L1947" t="n">
        <v>0.917</v>
      </c>
      <c r="M1947" t="n">
        <v>0.044</v>
      </c>
    </row>
    <row r="1948" spans="1:13">
      <c r="A1948" s="1">
        <f>HYPERLINK("http://www.twitter.com/NathanBLawrence/status/989165949537398784", "989165949537398784")</f>
        <v/>
      </c>
      <c r="B1948" s="2" t="n">
        <v>43215.64946759259</v>
      </c>
      <c r="C1948" t="n">
        <v>0</v>
      </c>
      <c r="D1948" t="n">
        <v>5</v>
      </c>
      <c r="E1948" t="s">
        <v>1945</v>
      </c>
      <c r="F1948">
        <f>HYPERLINK("http://pbs.twimg.com/media/DbonUjXUwAAg_Jp.jpg", "http://pbs.twimg.com/media/DbonUjXUwAAg_Jp.jpg")</f>
        <v/>
      </c>
      <c r="G1948" t="s"/>
      <c r="H1948" t="s"/>
      <c r="I1948" t="s"/>
      <c r="J1948" t="n">
        <v>0.4019</v>
      </c>
      <c r="K1948" t="n">
        <v>0</v>
      </c>
      <c r="L1948" t="n">
        <v>0.87</v>
      </c>
      <c r="M1948" t="n">
        <v>0.13</v>
      </c>
    </row>
    <row r="1949" spans="1:13">
      <c r="A1949" s="1">
        <f>HYPERLINK("http://www.twitter.com/NathanBLawrence/status/989165929102798849", "989165929102798849")</f>
        <v/>
      </c>
      <c r="B1949" s="2" t="n">
        <v>43215.64940972222</v>
      </c>
      <c r="C1949" t="n">
        <v>0</v>
      </c>
      <c r="D1949" t="n">
        <v>9</v>
      </c>
      <c r="E1949" t="s">
        <v>1946</v>
      </c>
      <c r="F1949" t="s"/>
      <c r="G1949" t="s"/>
      <c r="H1949" t="s"/>
      <c r="I1949" t="s"/>
      <c r="J1949" t="n">
        <v>0</v>
      </c>
      <c r="K1949" t="n">
        <v>0</v>
      </c>
      <c r="L1949" t="n">
        <v>1</v>
      </c>
      <c r="M1949" t="n">
        <v>0</v>
      </c>
    </row>
    <row r="1950" spans="1:13">
      <c r="A1950" s="1">
        <f>HYPERLINK("http://www.twitter.com/NathanBLawrence/status/989165858642644992", "989165858642644992")</f>
        <v/>
      </c>
      <c r="B1950" s="2" t="n">
        <v>43215.64922453704</v>
      </c>
      <c r="C1950" t="n">
        <v>0</v>
      </c>
      <c r="D1950" t="n">
        <v>5</v>
      </c>
      <c r="E1950" t="s">
        <v>1947</v>
      </c>
      <c r="F1950">
        <f>HYPERLINK("http://pbs.twimg.com/media/DboqLRPU8AYLaBS.jpg", "http://pbs.twimg.com/media/DboqLRPU8AYLaBS.jpg")</f>
        <v/>
      </c>
      <c r="G1950" t="s"/>
      <c r="H1950" t="s"/>
      <c r="I1950" t="s"/>
      <c r="J1950" t="n">
        <v>-0.8442</v>
      </c>
      <c r="K1950" t="n">
        <v>0.394</v>
      </c>
      <c r="L1950" t="n">
        <v>0.606</v>
      </c>
      <c r="M1950" t="n">
        <v>0</v>
      </c>
    </row>
    <row r="1951" spans="1:13">
      <c r="A1951" s="1">
        <f>HYPERLINK("http://www.twitter.com/NathanBLawrence/status/989165811360321536", "989165811360321536")</f>
        <v/>
      </c>
      <c r="B1951" s="2" t="n">
        <v>43215.64908564815</v>
      </c>
      <c r="C1951" t="n">
        <v>0</v>
      </c>
      <c r="D1951" t="n">
        <v>0</v>
      </c>
      <c r="E1951" t="s">
        <v>1948</v>
      </c>
      <c r="F1951" t="s"/>
      <c r="G1951" t="s"/>
      <c r="H1951" t="s"/>
      <c r="I1951" t="s"/>
      <c r="J1951" t="n">
        <v>-0.1531</v>
      </c>
      <c r="K1951" t="n">
        <v>0.21</v>
      </c>
      <c r="L1951" t="n">
        <v>0.617</v>
      </c>
      <c r="M1951" t="n">
        <v>0.173</v>
      </c>
    </row>
    <row r="1952" spans="1:13">
      <c r="A1952" s="1">
        <f>HYPERLINK("http://www.twitter.com/NathanBLawrence/status/989165635669241856", "989165635669241856")</f>
        <v/>
      </c>
      <c r="B1952" s="2" t="n">
        <v>43215.64861111111</v>
      </c>
      <c r="C1952" t="n">
        <v>0</v>
      </c>
      <c r="D1952" t="n">
        <v>2</v>
      </c>
      <c r="E1952" t="s">
        <v>1949</v>
      </c>
      <c r="F1952">
        <f>HYPERLINK("http://pbs.twimg.com/media/DbovmJDVMAE3N-T.jpg", "http://pbs.twimg.com/media/DbovmJDVMAE3N-T.jpg")</f>
        <v/>
      </c>
      <c r="G1952" t="s"/>
      <c r="H1952" t="s"/>
      <c r="I1952" t="s"/>
      <c r="J1952" t="n">
        <v>0</v>
      </c>
      <c r="K1952" t="n">
        <v>0</v>
      </c>
      <c r="L1952" t="n">
        <v>1</v>
      </c>
      <c r="M1952" t="n">
        <v>0</v>
      </c>
    </row>
    <row r="1953" spans="1:13">
      <c r="A1953" s="1">
        <f>HYPERLINK("http://www.twitter.com/NathanBLawrence/status/989165480429662208", "989165480429662208")</f>
        <v/>
      </c>
      <c r="B1953" s="2" t="n">
        <v>43215.6481712963</v>
      </c>
      <c r="C1953" t="n">
        <v>0</v>
      </c>
      <c r="D1953" t="n">
        <v>10</v>
      </c>
      <c r="E1953" t="s">
        <v>1950</v>
      </c>
      <c r="F1953" t="s"/>
      <c r="G1953" t="s"/>
      <c r="H1953" t="s"/>
      <c r="I1953" t="s"/>
      <c r="J1953" t="n">
        <v>-0.3753</v>
      </c>
      <c r="K1953" t="n">
        <v>0.105</v>
      </c>
      <c r="L1953" t="n">
        <v>0.895</v>
      </c>
      <c r="M1953" t="n">
        <v>0</v>
      </c>
    </row>
    <row r="1954" spans="1:13">
      <c r="A1954" s="1">
        <f>HYPERLINK("http://www.twitter.com/NathanBLawrence/status/989165443104559105", "989165443104559105")</f>
        <v/>
      </c>
      <c r="B1954" s="2" t="n">
        <v>43215.64807870371</v>
      </c>
      <c r="C1954" t="n">
        <v>0</v>
      </c>
      <c r="D1954" t="n">
        <v>6</v>
      </c>
      <c r="E1954" t="s">
        <v>1951</v>
      </c>
      <c r="F1954" t="s"/>
      <c r="G1954" t="s"/>
      <c r="H1954" t="s"/>
      <c r="I1954" t="s"/>
      <c r="J1954" t="n">
        <v>0</v>
      </c>
      <c r="K1954" t="n">
        <v>0</v>
      </c>
      <c r="L1954" t="n">
        <v>1</v>
      </c>
      <c r="M1954" t="n">
        <v>0</v>
      </c>
    </row>
    <row r="1955" spans="1:13">
      <c r="A1955" s="1">
        <f>HYPERLINK("http://www.twitter.com/NathanBLawrence/status/988998070770851840", "988998070770851840")</f>
        <v/>
      </c>
      <c r="B1955" s="2" t="n">
        <v>43215.18621527778</v>
      </c>
      <c r="C1955" t="n">
        <v>0</v>
      </c>
      <c r="D1955" t="n">
        <v>4</v>
      </c>
      <c r="E1955" t="s">
        <v>1952</v>
      </c>
      <c r="F1955" t="s"/>
      <c r="G1955" t="s"/>
      <c r="H1955" t="s"/>
      <c r="I1955" t="s"/>
      <c r="J1955" t="n">
        <v>0.34</v>
      </c>
      <c r="K1955" t="n">
        <v>0</v>
      </c>
      <c r="L1955" t="n">
        <v>0.833</v>
      </c>
      <c r="M1955" t="n">
        <v>0.167</v>
      </c>
    </row>
    <row r="1956" spans="1:13">
      <c r="A1956" s="1">
        <f>HYPERLINK("http://www.twitter.com/NathanBLawrence/status/988998040504668160", "988998040504668160")</f>
        <v/>
      </c>
      <c r="B1956" s="2" t="n">
        <v>43215.18613425926</v>
      </c>
      <c r="C1956" t="n">
        <v>3</v>
      </c>
      <c r="D1956" t="n">
        <v>0</v>
      </c>
      <c r="E1956" t="s">
        <v>1953</v>
      </c>
      <c r="F1956" t="s"/>
      <c r="G1956" t="s"/>
      <c r="H1956" t="s"/>
      <c r="I1956" t="s"/>
      <c r="J1956" t="n">
        <v>0</v>
      </c>
      <c r="K1956" t="n">
        <v>0</v>
      </c>
      <c r="L1956" t="n">
        <v>1</v>
      </c>
      <c r="M1956" t="n">
        <v>0</v>
      </c>
    </row>
    <row r="1957" spans="1:13">
      <c r="A1957" s="1">
        <f>HYPERLINK("http://www.twitter.com/NathanBLawrence/status/988997930722918400", "988997930722918400")</f>
        <v/>
      </c>
      <c r="B1957" s="2" t="n">
        <v>43215.18583333334</v>
      </c>
      <c r="C1957" t="n">
        <v>0</v>
      </c>
      <c r="D1957" t="n">
        <v>164</v>
      </c>
      <c r="E1957" t="s">
        <v>1954</v>
      </c>
      <c r="F1957" t="s"/>
      <c r="G1957" t="s"/>
      <c r="H1957" t="s"/>
      <c r="I1957" t="s"/>
      <c r="J1957" t="n">
        <v>0.0772</v>
      </c>
      <c r="K1957" t="n">
        <v>0</v>
      </c>
      <c r="L1957" t="n">
        <v>0.951</v>
      </c>
      <c r="M1957" t="n">
        <v>0.049</v>
      </c>
    </row>
    <row r="1958" spans="1:13">
      <c r="A1958" s="1">
        <f>HYPERLINK("http://www.twitter.com/NathanBLawrence/status/988997854881636352", "988997854881636352")</f>
        <v/>
      </c>
      <c r="B1958" s="2" t="n">
        <v>43215.18561342593</v>
      </c>
      <c r="C1958" t="n">
        <v>0</v>
      </c>
      <c r="D1958" t="n">
        <v>1692</v>
      </c>
      <c r="E1958" t="s">
        <v>1955</v>
      </c>
      <c r="F1958">
        <f>HYPERLINK("http://pbs.twimg.com/media/DblLAitU8AAMIGI.jpg", "http://pbs.twimg.com/media/DblLAitU8AAMIGI.jpg")</f>
        <v/>
      </c>
      <c r="G1958" t="s"/>
      <c r="H1958" t="s"/>
      <c r="I1958" t="s"/>
      <c r="J1958" t="n">
        <v>0</v>
      </c>
      <c r="K1958" t="n">
        <v>0</v>
      </c>
      <c r="L1958" t="n">
        <v>1</v>
      </c>
      <c r="M1958" t="n">
        <v>0</v>
      </c>
    </row>
    <row r="1959" spans="1:13">
      <c r="A1959" s="1">
        <f>HYPERLINK("http://www.twitter.com/NathanBLawrence/status/988997561611583488", "988997561611583488")</f>
        <v/>
      </c>
      <c r="B1959" s="2" t="n">
        <v>43215.18481481481</v>
      </c>
      <c r="C1959" t="n">
        <v>0</v>
      </c>
      <c r="D1959" t="n">
        <v>8480</v>
      </c>
      <c r="E1959" t="s">
        <v>1956</v>
      </c>
      <c r="F1959" t="s"/>
      <c r="G1959" t="s"/>
      <c r="H1959" t="s"/>
      <c r="I1959" t="s"/>
      <c r="J1959" t="n">
        <v>0.8393</v>
      </c>
      <c r="K1959" t="n">
        <v>0</v>
      </c>
      <c r="L1959" t="n">
        <v>0.471</v>
      </c>
      <c r="M1959" t="n">
        <v>0.529</v>
      </c>
    </row>
    <row r="1960" spans="1:13">
      <c r="A1960" s="1">
        <f>HYPERLINK("http://www.twitter.com/NathanBLawrence/status/988997501293400064", "988997501293400064")</f>
        <v/>
      </c>
      <c r="B1960" s="2" t="n">
        <v>43215.1846412037</v>
      </c>
      <c r="C1960" t="n">
        <v>0</v>
      </c>
      <c r="D1960" t="n">
        <v>200</v>
      </c>
      <c r="E1960" t="s">
        <v>1957</v>
      </c>
      <c r="F1960">
        <f>HYPERLINK("https://video.twimg.com/ext_tw_video/988923041534103552/pu/vid/482x360/-h-rJ7w2Gd-UuohA.mp4?tag=3", "https://video.twimg.com/ext_tw_video/988923041534103552/pu/vid/482x360/-h-rJ7w2Gd-UuohA.mp4?tag=3")</f>
        <v/>
      </c>
      <c r="G1960" t="s"/>
      <c r="H1960" t="s"/>
      <c r="I1960" t="s"/>
      <c r="J1960" t="n">
        <v>0.4588</v>
      </c>
      <c r="K1960" t="n">
        <v>0</v>
      </c>
      <c r="L1960" t="n">
        <v>0.842</v>
      </c>
      <c r="M1960" t="n">
        <v>0.158</v>
      </c>
    </row>
    <row r="1961" spans="1:13">
      <c r="A1961" s="1">
        <f>HYPERLINK("http://www.twitter.com/NathanBLawrence/status/988997389573935104", "988997389573935104")</f>
        <v/>
      </c>
      <c r="B1961" s="2" t="n">
        <v>43215.18434027778</v>
      </c>
      <c r="C1961" t="n">
        <v>0</v>
      </c>
      <c r="D1961" t="n">
        <v>226</v>
      </c>
      <c r="E1961" t="s">
        <v>1958</v>
      </c>
      <c r="F1961">
        <f>HYPERLINK("http://pbs.twimg.com/media/DblYsE0V0AAt_qH.jpg", "http://pbs.twimg.com/media/DblYsE0V0AAt_qH.jpg")</f>
        <v/>
      </c>
      <c r="G1961" t="s"/>
      <c r="H1961" t="s"/>
      <c r="I1961" t="s"/>
      <c r="J1961" t="n">
        <v>0.8479</v>
      </c>
      <c r="K1961" t="n">
        <v>0</v>
      </c>
      <c r="L1961" t="n">
        <v>0.545</v>
      </c>
      <c r="M1961" t="n">
        <v>0.455</v>
      </c>
    </row>
    <row r="1962" spans="1:13">
      <c r="A1962" s="1">
        <f>HYPERLINK("http://www.twitter.com/NathanBLawrence/status/988997291649400832", "988997291649400832")</f>
        <v/>
      </c>
      <c r="B1962" s="2" t="n">
        <v>43215.1840625</v>
      </c>
      <c r="C1962" t="n">
        <v>0</v>
      </c>
      <c r="D1962" t="n">
        <v>130</v>
      </c>
      <c r="E1962" t="s">
        <v>1959</v>
      </c>
      <c r="F1962" t="s"/>
      <c r="G1962" t="s"/>
      <c r="H1962" t="s"/>
      <c r="I1962" t="s"/>
      <c r="J1962" t="n">
        <v>0</v>
      </c>
      <c r="K1962" t="n">
        <v>0</v>
      </c>
      <c r="L1962" t="n">
        <v>1</v>
      </c>
      <c r="M1962" t="n">
        <v>0</v>
      </c>
    </row>
    <row r="1963" spans="1:13">
      <c r="A1963" s="1">
        <f>HYPERLINK("http://www.twitter.com/NathanBLawrence/status/988997175966404608", "988997175966404608")</f>
        <v/>
      </c>
      <c r="B1963" s="2" t="n">
        <v>43215.18375</v>
      </c>
      <c r="C1963" t="n">
        <v>0</v>
      </c>
      <c r="D1963" t="n">
        <v>0</v>
      </c>
      <c r="E1963" t="s">
        <v>1960</v>
      </c>
      <c r="F1963" t="s"/>
      <c r="G1963" t="s"/>
      <c r="H1963" t="s"/>
      <c r="I1963" t="s"/>
      <c r="J1963" t="n">
        <v>0</v>
      </c>
      <c r="K1963" t="n">
        <v>0</v>
      </c>
      <c r="L1963" t="n">
        <v>1</v>
      </c>
      <c r="M1963" t="n">
        <v>0</v>
      </c>
    </row>
    <row r="1964" spans="1:13">
      <c r="A1964" s="1">
        <f>HYPERLINK("http://www.twitter.com/NathanBLawrence/status/988997054037987329", "988997054037987329")</f>
        <v/>
      </c>
      <c r="B1964" s="2" t="n">
        <v>43215.18341435185</v>
      </c>
      <c r="C1964" t="n">
        <v>0</v>
      </c>
      <c r="D1964" t="n">
        <v>8273</v>
      </c>
      <c r="E1964" t="s">
        <v>1961</v>
      </c>
      <c r="F1964">
        <f>HYPERLINK("http://pbs.twimg.com/media/Dbe13yUXUAAhOlW.jpg", "http://pbs.twimg.com/media/Dbe13yUXUAAhOlW.jpg")</f>
        <v/>
      </c>
      <c r="G1964" t="s"/>
      <c r="H1964" t="s"/>
      <c r="I1964" t="s"/>
      <c r="J1964" t="n">
        <v>0.6166</v>
      </c>
      <c r="K1964" t="n">
        <v>0</v>
      </c>
      <c r="L1964" t="n">
        <v>0.845</v>
      </c>
      <c r="M1964" t="n">
        <v>0.155</v>
      </c>
    </row>
    <row r="1965" spans="1:13">
      <c r="A1965" s="1">
        <f>HYPERLINK("http://www.twitter.com/NathanBLawrence/status/988996994168434688", "988996994168434688")</f>
        <v/>
      </c>
      <c r="B1965" s="2" t="n">
        <v>43215.18324074074</v>
      </c>
      <c r="C1965" t="n">
        <v>0</v>
      </c>
      <c r="D1965" t="n">
        <v>431</v>
      </c>
      <c r="E1965" t="s">
        <v>1962</v>
      </c>
      <c r="F1965" t="s"/>
      <c r="G1965" t="s"/>
      <c r="H1965" t="s"/>
      <c r="I1965" t="s"/>
      <c r="J1965" t="n">
        <v>0.5719</v>
      </c>
      <c r="K1965" t="n">
        <v>0.094</v>
      </c>
      <c r="L1965" t="n">
        <v>0.674</v>
      </c>
      <c r="M1965" t="n">
        <v>0.232</v>
      </c>
    </row>
    <row r="1966" spans="1:13">
      <c r="A1966" s="1">
        <f>HYPERLINK("http://www.twitter.com/NathanBLawrence/status/988996828065648641", "988996828065648641")</f>
        <v/>
      </c>
      <c r="B1966" s="2" t="n">
        <v>43215.18278935185</v>
      </c>
      <c r="C1966" t="n">
        <v>0</v>
      </c>
      <c r="D1966" t="n">
        <v>1494</v>
      </c>
      <c r="E1966" t="s">
        <v>1963</v>
      </c>
      <c r="F1966" t="s"/>
      <c r="G1966" t="s"/>
      <c r="H1966" t="s"/>
      <c r="I1966" t="s"/>
      <c r="J1966" t="n">
        <v>0.5106000000000001</v>
      </c>
      <c r="K1966" t="n">
        <v>0.089</v>
      </c>
      <c r="L1966" t="n">
        <v>0.6879999999999999</v>
      </c>
      <c r="M1966" t="n">
        <v>0.223</v>
      </c>
    </row>
    <row r="1967" spans="1:13">
      <c r="A1967" s="1">
        <f>HYPERLINK("http://www.twitter.com/NathanBLawrence/status/988996703486431232", "988996703486431232")</f>
        <v/>
      </c>
      <c r="B1967" s="2" t="n">
        <v>43215.18244212963</v>
      </c>
      <c r="C1967" t="n">
        <v>0</v>
      </c>
      <c r="D1967" t="n">
        <v>3</v>
      </c>
      <c r="E1967" t="s">
        <v>1964</v>
      </c>
      <c r="F1967" t="s"/>
      <c r="G1967" t="s"/>
      <c r="H1967" t="s"/>
      <c r="I1967" t="s"/>
      <c r="J1967" t="n">
        <v>0.4939</v>
      </c>
      <c r="K1967" t="n">
        <v>0</v>
      </c>
      <c r="L1967" t="n">
        <v>0.882</v>
      </c>
      <c r="M1967" t="n">
        <v>0.118</v>
      </c>
    </row>
    <row r="1968" spans="1:13">
      <c r="A1968" s="1">
        <f>HYPERLINK("http://www.twitter.com/NathanBLawrence/status/988996571386785793", "988996571386785793")</f>
        <v/>
      </c>
      <c r="B1968" s="2" t="n">
        <v>43215.18207175926</v>
      </c>
      <c r="C1968" t="n">
        <v>0</v>
      </c>
      <c r="D1968" t="n">
        <v>23</v>
      </c>
      <c r="E1968" t="s">
        <v>1965</v>
      </c>
      <c r="F1968" t="s"/>
      <c r="G1968" t="s"/>
      <c r="H1968" t="s"/>
      <c r="I1968" t="s"/>
      <c r="J1968" t="n">
        <v>-0.743</v>
      </c>
      <c r="K1968" t="n">
        <v>0.208</v>
      </c>
      <c r="L1968" t="n">
        <v>0.792</v>
      </c>
      <c r="M1968" t="n">
        <v>0</v>
      </c>
    </row>
    <row r="1969" spans="1:13">
      <c r="A1969" s="1">
        <f>HYPERLINK("http://www.twitter.com/NathanBLawrence/status/988996375416360960", "988996375416360960")</f>
        <v/>
      </c>
      <c r="B1969" s="2" t="n">
        <v>43215.18153935186</v>
      </c>
      <c r="C1969" t="n">
        <v>0</v>
      </c>
      <c r="D1969" t="n">
        <v>635</v>
      </c>
      <c r="E1969" t="s">
        <v>1966</v>
      </c>
      <c r="F1969" t="s"/>
      <c r="G1969" t="s"/>
      <c r="H1969" t="s"/>
      <c r="I1969" t="s"/>
      <c r="J1969" t="n">
        <v>-0.4019</v>
      </c>
      <c r="K1969" t="n">
        <v>0.105</v>
      </c>
      <c r="L1969" t="n">
        <v>0.895</v>
      </c>
      <c r="M1969" t="n">
        <v>0</v>
      </c>
    </row>
    <row r="1970" spans="1:13">
      <c r="A1970" s="1">
        <f>HYPERLINK("http://www.twitter.com/NathanBLawrence/status/988996348434370560", "988996348434370560")</f>
        <v/>
      </c>
      <c r="B1970" s="2" t="n">
        <v>43215.18145833333</v>
      </c>
      <c r="C1970" t="n">
        <v>0</v>
      </c>
      <c r="D1970" t="n">
        <v>609</v>
      </c>
      <c r="E1970" t="s">
        <v>1967</v>
      </c>
      <c r="F1970" t="s"/>
      <c r="G1970" t="s"/>
      <c r="H1970" t="s"/>
      <c r="I1970" t="s"/>
      <c r="J1970" t="n">
        <v>0.7378</v>
      </c>
      <c r="K1970" t="n">
        <v>0</v>
      </c>
      <c r="L1970" t="n">
        <v>0.638</v>
      </c>
      <c r="M1970" t="n">
        <v>0.362</v>
      </c>
    </row>
    <row r="1971" spans="1:13">
      <c r="A1971" s="1">
        <f>HYPERLINK("http://www.twitter.com/NathanBLawrence/status/988996338007400448", "988996338007400448")</f>
        <v/>
      </c>
      <c r="B1971" s="2" t="n">
        <v>43215.18143518519</v>
      </c>
      <c r="C1971" t="n">
        <v>0</v>
      </c>
      <c r="D1971" t="n">
        <v>343</v>
      </c>
      <c r="E1971" t="s">
        <v>1968</v>
      </c>
      <c r="F1971" t="s"/>
      <c r="G1971" t="s"/>
      <c r="H1971" t="s"/>
      <c r="I1971" t="s"/>
      <c r="J1971" t="n">
        <v>0.0516</v>
      </c>
      <c r="K1971" t="n">
        <v>0.125</v>
      </c>
      <c r="L1971" t="n">
        <v>0.739</v>
      </c>
      <c r="M1971" t="n">
        <v>0.136</v>
      </c>
    </row>
    <row r="1972" spans="1:13">
      <c r="A1972" s="1">
        <f>HYPERLINK("http://www.twitter.com/NathanBLawrence/status/988996284152451072", "988996284152451072")</f>
        <v/>
      </c>
      <c r="B1972" s="2" t="n">
        <v>43215.18128472222</v>
      </c>
      <c r="C1972" t="n">
        <v>0</v>
      </c>
      <c r="D1972" t="n">
        <v>832</v>
      </c>
      <c r="E1972" t="s">
        <v>1969</v>
      </c>
      <c r="F1972" t="s"/>
      <c r="G1972" t="s"/>
      <c r="H1972" t="s"/>
      <c r="I1972" t="s"/>
      <c r="J1972" t="n">
        <v>0</v>
      </c>
      <c r="K1972" t="n">
        <v>0</v>
      </c>
      <c r="L1972" t="n">
        <v>1</v>
      </c>
      <c r="M1972" t="n">
        <v>0</v>
      </c>
    </row>
    <row r="1973" spans="1:13">
      <c r="A1973" s="1">
        <f>HYPERLINK("http://www.twitter.com/NathanBLawrence/status/988995975019745280", "988995975019745280")</f>
        <v/>
      </c>
      <c r="B1973" s="2" t="n">
        <v>43215.18042824074</v>
      </c>
      <c r="C1973" t="n">
        <v>0</v>
      </c>
      <c r="D1973" t="n">
        <v>2475</v>
      </c>
      <c r="E1973" t="s">
        <v>1970</v>
      </c>
      <c r="F1973">
        <f>HYPERLINK("https://video.twimg.com/ext_tw_video/988668946952810496/pu/vid/1280x720/k-XnDDd01r1TkVzb.mp4?tag=3", "https://video.twimg.com/ext_tw_video/988668946952810496/pu/vid/1280x720/k-XnDDd01r1TkVzb.mp4?tag=3")</f>
        <v/>
      </c>
      <c r="G1973" t="s"/>
      <c r="H1973" t="s"/>
      <c r="I1973" t="s"/>
      <c r="J1973" t="n">
        <v>0.0516</v>
      </c>
      <c r="K1973" t="n">
        <v>0.093</v>
      </c>
      <c r="L1973" t="n">
        <v>0.805</v>
      </c>
      <c r="M1973" t="n">
        <v>0.102</v>
      </c>
    </row>
    <row r="1974" spans="1:13">
      <c r="A1974" s="1">
        <f>HYPERLINK("http://www.twitter.com/NathanBLawrence/status/988995951263174656", "988995951263174656")</f>
        <v/>
      </c>
      <c r="B1974" s="2" t="n">
        <v>43215.18037037037</v>
      </c>
      <c r="C1974" t="n">
        <v>0</v>
      </c>
      <c r="D1974" t="n">
        <v>2586</v>
      </c>
      <c r="E1974" t="s">
        <v>1971</v>
      </c>
      <c r="F1974">
        <f>HYPERLINK("https://video.twimg.com/amplify_video/988693413724860416/vid/656x360/wtPbLHdtTwUNH7Xg.mp4?tag=2", "https://video.twimg.com/amplify_video/988693413724860416/vid/656x360/wtPbLHdtTwUNH7Xg.mp4?tag=2")</f>
        <v/>
      </c>
      <c r="G1974" t="s"/>
      <c r="H1974" t="s"/>
      <c r="I1974" t="s"/>
      <c r="J1974" t="n">
        <v>0.7003</v>
      </c>
      <c r="K1974" t="n">
        <v>0.078</v>
      </c>
      <c r="L1974" t="n">
        <v>0.68</v>
      </c>
      <c r="M1974" t="n">
        <v>0.241</v>
      </c>
    </row>
    <row r="1975" spans="1:13">
      <c r="A1975" s="1">
        <f>HYPERLINK("http://www.twitter.com/NathanBLawrence/status/988995934083219456", "988995934083219456")</f>
        <v/>
      </c>
      <c r="B1975" s="2" t="n">
        <v>43215.1803125</v>
      </c>
      <c r="C1975" t="n">
        <v>0</v>
      </c>
      <c r="D1975" t="n">
        <v>361</v>
      </c>
      <c r="E1975" t="s">
        <v>1972</v>
      </c>
      <c r="F1975" t="s"/>
      <c r="G1975" t="s"/>
      <c r="H1975" t="s"/>
      <c r="I1975" t="s"/>
      <c r="J1975" t="n">
        <v>0.765</v>
      </c>
      <c r="K1975" t="n">
        <v>0</v>
      </c>
      <c r="L1975" t="n">
        <v>0.694</v>
      </c>
      <c r="M1975" t="n">
        <v>0.306</v>
      </c>
    </row>
    <row r="1976" spans="1:13">
      <c r="A1976" s="1">
        <f>HYPERLINK("http://www.twitter.com/NathanBLawrence/status/988995920611172352", "988995920611172352")</f>
        <v/>
      </c>
      <c r="B1976" s="2" t="n">
        <v>43215.18027777778</v>
      </c>
      <c r="C1976" t="n">
        <v>0</v>
      </c>
      <c r="D1976" t="n">
        <v>1577</v>
      </c>
      <c r="E1976" t="s">
        <v>1973</v>
      </c>
      <c r="F1976" t="s"/>
      <c r="G1976" t="s"/>
      <c r="H1976" t="s"/>
      <c r="I1976" t="s"/>
      <c r="J1976" t="n">
        <v>0.7339</v>
      </c>
      <c r="K1976" t="n">
        <v>0</v>
      </c>
      <c r="L1976" t="n">
        <v>0.593</v>
      </c>
      <c r="M1976" t="n">
        <v>0.407</v>
      </c>
    </row>
    <row r="1977" spans="1:13">
      <c r="A1977" s="1">
        <f>HYPERLINK("http://www.twitter.com/NathanBLawrence/status/988995646236647425", "988995646236647425")</f>
        <v/>
      </c>
      <c r="B1977" s="2" t="n">
        <v>43215.17952546296</v>
      </c>
      <c r="C1977" t="n">
        <v>0</v>
      </c>
      <c r="D1977" t="n">
        <v>4</v>
      </c>
      <c r="E1977" t="s">
        <v>1974</v>
      </c>
      <c r="F1977">
        <f>HYPERLINK("http://pbs.twimg.com/media/Dbf6BryXcAA5yhu.jpg", "http://pbs.twimg.com/media/Dbf6BryXcAA5yhu.jpg")</f>
        <v/>
      </c>
      <c r="G1977" t="s"/>
      <c r="H1977" t="s"/>
      <c r="I1977" t="s"/>
      <c r="J1977" t="n">
        <v>-0.4215</v>
      </c>
      <c r="K1977" t="n">
        <v>0.149</v>
      </c>
      <c r="L1977" t="n">
        <v>0.851</v>
      </c>
      <c r="M1977" t="n">
        <v>0</v>
      </c>
    </row>
    <row r="1978" spans="1:13">
      <c r="A1978" s="1">
        <f>HYPERLINK("http://www.twitter.com/NathanBLawrence/status/988995509976272896", "988995509976272896")</f>
        <v/>
      </c>
      <c r="B1978" s="2" t="n">
        <v>43215.17914351852</v>
      </c>
      <c r="C1978" t="n">
        <v>0</v>
      </c>
      <c r="D1978" t="n">
        <v>7</v>
      </c>
      <c r="E1978" t="s">
        <v>1975</v>
      </c>
      <c r="F1978" t="s"/>
      <c r="G1978" t="s"/>
      <c r="H1978" t="s"/>
      <c r="I1978" t="s"/>
      <c r="J1978" t="n">
        <v>0</v>
      </c>
      <c r="K1978" t="n">
        <v>0</v>
      </c>
      <c r="L1978" t="n">
        <v>1</v>
      </c>
      <c r="M1978" t="n">
        <v>0</v>
      </c>
    </row>
    <row r="1979" spans="1:13">
      <c r="A1979" s="1">
        <f>HYPERLINK("http://www.twitter.com/NathanBLawrence/status/988995373195780097", "988995373195780097")</f>
        <v/>
      </c>
      <c r="B1979" s="2" t="n">
        <v>43215.17877314815</v>
      </c>
      <c r="C1979" t="n">
        <v>0</v>
      </c>
      <c r="D1979" t="n">
        <v>18</v>
      </c>
      <c r="E1979" t="s">
        <v>1976</v>
      </c>
      <c r="F1979" t="s"/>
      <c r="G1979" t="s"/>
      <c r="H1979" t="s"/>
      <c r="I1979" t="s"/>
      <c r="J1979" t="n">
        <v>-0.296</v>
      </c>
      <c r="K1979" t="n">
        <v>0.128</v>
      </c>
      <c r="L1979" t="n">
        <v>0.872</v>
      </c>
      <c r="M1979" t="n">
        <v>0</v>
      </c>
    </row>
    <row r="1980" spans="1:13">
      <c r="A1980" s="1">
        <f>HYPERLINK("http://www.twitter.com/NathanBLawrence/status/988995360633827329", "988995360633827329")</f>
        <v/>
      </c>
      <c r="B1980" s="2" t="n">
        <v>43215.17873842592</v>
      </c>
      <c r="C1980" t="n">
        <v>0</v>
      </c>
      <c r="D1980" t="n">
        <v>6</v>
      </c>
      <c r="E1980" t="s">
        <v>1977</v>
      </c>
      <c r="F1980">
        <f>HYPERLINK("http://pbs.twimg.com/media/DbgsO7bX0AQWXJh.jpg", "http://pbs.twimg.com/media/DbgsO7bX0AQWXJh.jpg")</f>
        <v/>
      </c>
      <c r="G1980" t="s"/>
      <c r="H1980" t="s"/>
      <c r="I1980" t="s"/>
      <c r="J1980" t="n">
        <v>0.7717000000000001</v>
      </c>
      <c r="K1980" t="n">
        <v>0</v>
      </c>
      <c r="L1980" t="n">
        <v>0.705</v>
      </c>
      <c r="M1980" t="n">
        <v>0.295</v>
      </c>
    </row>
    <row r="1981" spans="1:13">
      <c r="A1981" s="1">
        <f>HYPERLINK("http://www.twitter.com/NathanBLawrence/status/988995302450499585", "988995302450499585")</f>
        <v/>
      </c>
      <c r="B1981" s="2" t="n">
        <v>43215.17857638889</v>
      </c>
      <c r="C1981" t="n">
        <v>0</v>
      </c>
      <c r="D1981" t="n">
        <v>17</v>
      </c>
      <c r="E1981" t="s">
        <v>1978</v>
      </c>
      <c r="F1981" t="s"/>
      <c r="G1981" t="s"/>
      <c r="H1981" t="s"/>
      <c r="I1981" t="s"/>
      <c r="J1981" t="n">
        <v>-0.296</v>
      </c>
      <c r="K1981" t="n">
        <v>0.212</v>
      </c>
      <c r="L1981" t="n">
        <v>0.616</v>
      </c>
      <c r="M1981" t="n">
        <v>0.171</v>
      </c>
    </row>
    <row r="1982" spans="1:13">
      <c r="A1982" s="1">
        <f>HYPERLINK("http://www.twitter.com/NathanBLawrence/status/988995285442551808", "988995285442551808")</f>
        <v/>
      </c>
      <c r="B1982" s="2" t="n">
        <v>43215.17853009259</v>
      </c>
      <c r="C1982" t="n">
        <v>0</v>
      </c>
      <c r="D1982" t="n">
        <v>10</v>
      </c>
      <c r="E1982" t="s">
        <v>1979</v>
      </c>
      <c r="F1982" t="s"/>
      <c r="G1982" t="s"/>
      <c r="H1982" t="s"/>
      <c r="I1982" t="s"/>
      <c r="J1982" t="n">
        <v>-0.128</v>
      </c>
      <c r="K1982" t="n">
        <v>0.146</v>
      </c>
      <c r="L1982" t="n">
        <v>0.73</v>
      </c>
      <c r="M1982" t="n">
        <v>0.124</v>
      </c>
    </row>
    <row r="1983" spans="1:13">
      <c r="A1983" s="1">
        <f>HYPERLINK("http://www.twitter.com/NathanBLawrence/status/988995153544273921", "988995153544273921")</f>
        <v/>
      </c>
      <c r="B1983" s="2" t="n">
        <v>43215.17815972222</v>
      </c>
      <c r="C1983" t="n">
        <v>0</v>
      </c>
      <c r="D1983" t="n">
        <v>16</v>
      </c>
      <c r="E1983" t="s">
        <v>1980</v>
      </c>
      <c r="F1983" t="s"/>
      <c r="G1983" t="s"/>
      <c r="H1983" t="s"/>
      <c r="I1983" t="s"/>
      <c r="J1983" t="n">
        <v>-0.296</v>
      </c>
      <c r="K1983" t="n">
        <v>0.104</v>
      </c>
      <c r="L1983" t="n">
        <v>0.896</v>
      </c>
      <c r="M1983" t="n">
        <v>0</v>
      </c>
    </row>
    <row r="1984" spans="1:13">
      <c r="A1984" s="1">
        <f>HYPERLINK("http://www.twitter.com/NathanBLawrence/status/988995048875483136", "988995048875483136")</f>
        <v/>
      </c>
      <c r="B1984" s="2" t="n">
        <v>43215.17787037037</v>
      </c>
      <c r="C1984" t="n">
        <v>0</v>
      </c>
      <c r="D1984" t="n">
        <v>11</v>
      </c>
      <c r="E1984" t="s">
        <v>1934</v>
      </c>
      <c r="F1984">
        <f>HYPERLINK("http://pbs.twimg.com/media/DbjorioX4AAGSEg.jpg", "http://pbs.twimg.com/media/DbjorioX4AAGSEg.jpg")</f>
        <v/>
      </c>
      <c r="G1984" t="s"/>
      <c r="H1984" t="s"/>
      <c r="I1984" t="s"/>
      <c r="J1984" t="n">
        <v>0.4404</v>
      </c>
      <c r="K1984" t="n">
        <v>0</v>
      </c>
      <c r="L1984" t="n">
        <v>0.8179999999999999</v>
      </c>
      <c r="M1984" t="n">
        <v>0.182</v>
      </c>
    </row>
    <row r="1985" spans="1:13">
      <c r="A1985" s="1">
        <f>HYPERLINK("http://www.twitter.com/NathanBLawrence/status/988994929501360135", "988994929501360135")</f>
        <v/>
      </c>
      <c r="B1985" s="2" t="n">
        <v>43215.1775462963</v>
      </c>
      <c r="C1985" t="n">
        <v>0</v>
      </c>
      <c r="D1985" t="n">
        <v>11</v>
      </c>
      <c r="E1985" t="s">
        <v>1981</v>
      </c>
      <c r="F1985">
        <f>HYPERLINK("https://video.twimg.com/ext_tw_video/988877698549370885/pu/vid/1280x720/N0sqqlxubRUW_iMU.mp4?tag=3", "https://video.twimg.com/ext_tw_video/988877698549370885/pu/vid/1280x720/N0sqqlxubRUW_iMU.mp4?tag=3")</f>
        <v/>
      </c>
      <c r="G1985" t="s"/>
      <c r="H1985" t="s"/>
      <c r="I1985" t="s"/>
      <c r="J1985" t="n">
        <v>0</v>
      </c>
      <c r="K1985" t="n">
        <v>0</v>
      </c>
      <c r="L1985" t="n">
        <v>1</v>
      </c>
      <c r="M1985" t="n">
        <v>0</v>
      </c>
    </row>
    <row r="1986" spans="1:13">
      <c r="A1986" s="1">
        <f>HYPERLINK("http://www.twitter.com/NathanBLawrence/status/988994893891735552", "988994893891735552")</f>
        <v/>
      </c>
      <c r="B1986" s="2" t="n">
        <v>43215.17744212963</v>
      </c>
      <c r="C1986" t="n">
        <v>0</v>
      </c>
      <c r="D1986" t="n">
        <v>6</v>
      </c>
      <c r="E1986" t="s">
        <v>1982</v>
      </c>
      <c r="F1986" t="s"/>
      <c r="G1986" t="s"/>
      <c r="H1986" t="s"/>
      <c r="I1986" t="s"/>
      <c r="J1986" t="n">
        <v>0</v>
      </c>
      <c r="K1986" t="n">
        <v>0</v>
      </c>
      <c r="L1986" t="n">
        <v>1</v>
      </c>
      <c r="M1986" t="n">
        <v>0</v>
      </c>
    </row>
    <row r="1987" spans="1:13">
      <c r="A1987" s="1">
        <f>HYPERLINK("http://www.twitter.com/NathanBLawrence/status/988994824253722624", "988994824253722624")</f>
        <v/>
      </c>
      <c r="B1987" s="2" t="n">
        <v>43215.17725694444</v>
      </c>
      <c r="C1987" t="n">
        <v>0</v>
      </c>
      <c r="D1987" t="n">
        <v>9</v>
      </c>
      <c r="E1987" t="s">
        <v>1983</v>
      </c>
      <c r="F1987">
        <f>HYPERLINK("http://pbs.twimg.com/media/DblTZFvV0AAdE-k.jpg", "http://pbs.twimg.com/media/DblTZFvV0AAdE-k.jpg")</f>
        <v/>
      </c>
      <c r="G1987" t="s"/>
      <c r="H1987" t="s"/>
      <c r="I1987" t="s"/>
      <c r="J1987" t="n">
        <v>-0.5106000000000001</v>
      </c>
      <c r="K1987" t="n">
        <v>0.217</v>
      </c>
      <c r="L1987" t="n">
        <v>0.6860000000000001</v>
      </c>
      <c r="M1987" t="n">
        <v>0.097</v>
      </c>
    </row>
    <row r="1988" spans="1:13">
      <c r="A1988" s="1">
        <f>HYPERLINK("http://www.twitter.com/NathanBLawrence/status/988994780158980102", "988994780158980102")</f>
        <v/>
      </c>
      <c r="B1988" s="2" t="n">
        <v>43215.17712962963</v>
      </c>
      <c r="C1988" t="n">
        <v>0</v>
      </c>
      <c r="D1988" t="n">
        <v>6</v>
      </c>
      <c r="E1988" t="s">
        <v>1984</v>
      </c>
      <c r="F1988" t="s"/>
      <c r="G1988" t="s"/>
      <c r="H1988" t="s"/>
      <c r="I1988" t="s"/>
      <c r="J1988" t="n">
        <v>0</v>
      </c>
      <c r="K1988" t="n">
        <v>0</v>
      </c>
      <c r="L1988" t="n">
        <v>1</v>
      </c>
      <c r="M1988" t="n">
        <v>0</v>
      </c>
    </row>
    <row r="1989" spans="1:13">
      <c r="A1989" s="1">
        <f>HYPERLINK("http://www.twitter.com/NathanBLawrence/status/988994551359655936", "988994551359655936")</f>
        <v/>
      </c>
      <c r="B1989" s="2" t="n">
        <v>43215.17650462963</v>
      </c>
      <c r="C1989" t="n">
        <v>0</v>
      </c>
      <c r="D1989" t="n">
        <v>8</v>
      </c>
      <c r="E1989" t="s">
        <v>1985</v>
      </c>
      <c r="F1989" t="s"/>
      <c r="G1989" t="s"/>
      <c r="H1989" t="s"/>
      <c r="I1989" t="s"/>
      <c r="J1989" t="n">
        <v>-0.2263</v>
      </c>
      <c r="K1989" t="n">
        <v>0.08699999999999999</v>
      </c>
      <c r="L1989" t="n">
        <v>0.913</v>
      </c>
      <c r="M1989" t="n">
        <v>0</v>
      </c>
    </row>
    <row r="1990" spans="1:13">
      <c r="A1990" s="1">
        <f>HYPERLINK("http://www.twitter.com/NathanBLawrence/status/988994393481891840", "988994393481891840")</f>
        <v/>
      </c>
      <c r="B1990" s="2" t="n">
        <v>43215.17606481481</v>
      </c>
      <c r="C1990" t="n">
        <v>0</v>
      </c>
      <c r="D1990" t="n">
        <v>12</v>
      </c>
      <c r="E1990" t="s">
        <v>1946</v>
      </c>
      <c r="F1990" t="s"/>
      <c r="G1990" t="s"/>
      <c r="H1990" t="s"/>
      <c r="I1990" t="s"/>
      <c r="J1990" t="n">
        <v>0</v>
      </c>
      <c r="K1990" t="n">
        <v>0</v>
      </c>
      <c r="L1990" t="n">
        <v>1</v>
      </c>
      <c r="M1990" t="n">
        <v>0</v>
      </c>
    </row>
    <row r="1991" spans="1:13">
      <c r="A1991" s="1">
        <f>HYPERLINK("http://www.twitter.com/NathanBLawrence/status/988994179194900480", "988994179194900480")</f>
        <v/>
      </c>
      <c r="B1991" s="2" t="n">
        <v>43215.17547453703</v>
      </c>
      <c r="C1991" t="n">
        <v>0</v>
      </c>
      <c r="D1991" t="n">
        <v>8</v>
      </c>
      <c r="E1991" t="s">
        <v>1986</v>
      </c>
      <c r="F1991" t="s"/>
      <c r="G1991" t="s"/>
      <c r="H1991" t="s"/>
      <c r="I1991" t="s"/>
      <c r="J1991" t="n">
        <v>0</v>
      </c>
      <c r="K1991" t="n">
        <v>0</v>
      </c>
      <c r="L1991" t="n">
        <v>1</v>
      </c>
      <c r="M1991" t="n">
        <v>0</v>
      </c>
    </row>
    <row r="1992" spans="1:13">
      <c r="A1992" s="1">
        <f>HYPERLINK("http://www.twitter.com/NathanBLawrence/status/988994100350390273", "988994100350390273")</f>
        <v/>
      </c>
      <c r="B1992" s="2" t="n">
        <v>43215.17525462963</v>
      </c>
      <c r="C1992" t="n">
        <v>0</v>
      </c>
      <c r="D1992" t="n">
        <v>3</v>
      </c>
      <c r="E1992" t="s">
        <v>1987</v>
      </c>
      <c r="F1992" t="s"/>
      <c r="G1992" t="s"/>
      <c r="H1992" t="s"/>
      <c r="I1992" t="s"/>
      <c r="J1992" t="n">
        <v>0</v>
      </c>
      <c r="K1992" t="n">
        <v>0</v>
      </c>
      <c r="L1992" t="n">
        <v>1</v>
      </c>
      <c r="M1992" t="n">
        <v>0</v>
      </c>
    </row>
    <row r="1993" spans="1:13">
      <c r="A1993" s="1">
        <f>HYPERLINK("http://www.twitter.com/NathanBLawrence/status/988993996725858304", "988993996725858304")</f>
        <v/>
      </c>
      <c r="B1993" s="2" t="n">
        <v>43215.17497685185</v>
      </c>
      <c r="C1993" t="n">
        <v>0</v>
      </c>
      <c r="D1993" t="n">
        <v>13</v>
      </c>
      <c r="E1993" t="s">
        <v>1988</v>
      </c>
      <c r="F1993">
        <f>HYPERLINK("https://video.twimg.com/ext_tw_video/988936606945030145/pu/vid/640x360/O60U3xZ_k4dlXx0U.mp4?tag=3", "https://video.twimg.com/ext_tw_video/988936606945030145/pu/vid/640x360/O60U3xZ_k4dlXx0U.mp4?tag=3")</f>
        <v/>
      </c>
      <c r="G1993" t="s"/>
      <c r="H1993" t="s"/>
      <c r="I1993" t="s"/>
      <c r="J1993" t="n">
        <v>0.4263</v>
      </c>
      <c r="K1993" t="n">
        <v>0</v>
      </c>
      <c r="L1993" t="n">
        <v>0.871</v>
      </c>
      <c r="M1993" t="n">
        <v>0.129</v>
      </c>
    </row>
    <row r="1994" spans="1:13">
      <c r="A1994" s="1">
        <f>HYPERLINK("http://www.twitter.com/NathanBLawrence/status/988993942866812928", "988993942866812928")</f>
        <v/>
      </c>
      <c r="B1994" s="2" t="n">
        <v>43215.17482638889</v>
      </c>
      <c r="C1994" t="n">
        <v>0</v>
      </c>
      <c r="D1994" t="n">
        <v>6</v>
      </c>
      <c r="E1994" t="s">
        <v>1989</v>
      </c>
      <c r="F1994" t="s"/>
      <c r="G1994" t="s"/>
      <c r="H1994" t="s"/>
      <c r="I1994" t="s"/>
      <c r="J1994" t="n">
        <v>0</v>
      </c>
      <c r="K1994" t="n">
        <v>0</v>
      </c>
      <c r="L1994" t="n">
        <v>1</v>
      </c>
      <c r="M1994" t="n">
        <v>0</v>
      </c>
    </row>
    <row r="1995" spans="1:13">
      <c r="A1995" s="1">
        <f>HYPERLINK("http://www.twitter.com/NathanBLawrence/status/988993920070770689", "988993920070770689")</f>
        <v/>
      </c>
      <c r="B1995" s="2" t="n">
        <v>43215.17475694444</v>
      </c>
      <c r="C1995" t="n">
        <v>0</v>
      </c>
      <c r="D1995" t="n">
        <v>6</v>
      </c>
      <c r="E1995" t="s">
        <v>1990</v>
      </c>
      <c r="F1995" t="s"/>
      <c r="G1995" t="s"/>
      <c r="H1995" t="s"/>
      <c r="I1995" t="s"/>
      <c r="J1995" t="n">
        <v>-0.296</v>
      </c>
      <c r="K1995" t="n">
        <v>0.091</v>
      </c>
      <c r="L1995" t="n">
        <v>0.909</v>
      </c>
      <c r="M1995" t="n">
        <v>0</v>
      </c>
    </row>
    <row r="1996" spans="1:13">
      <c r="A1996" s="1">
        <f>HYPERLINK("http://www.twitter.com/NathanBLawrence/status/988993726579183617", "988993726579183617")</f>
        <v/>
      </c>
      <c r="B1996" s="2" t="n">
        <v>43215.17422453704</v>
      </c>
      <c r="C1996" t="n">
        <v>0</v>
      </c>
      <c r="D1996" t="n">
        <v>2</v>
      </c>
      <c r="E1996" t="s">
        <v>1991</v>
      </c>
      <c r="F1996" t="s"/>
      <c r="G1996" t="s"/>
      <c r="H1996" t="s"/>
      <c r="I1996" t="s"/>
      <c r="J1996" t="n">
        <v>0.6988</v>
      </c>
      <c r="K1996" t="n">
        <v>0</v>
      </c>
      <c r="L1996" t="n">
        <v>0.722</v>
      </c>
      <c r="M1996" t="n">
        <v>0.278</v>
      </c>
    </row>
    <row r="1997" spans="1:13">
      <c r="A1997" s="1">
        <f>HYPERLINK("http://www.twitter.com/NathanBLawrence/status/988993708417847297", "988993708417847297")</f>
        <v/>
      </c>
      <c r="B1997" s="2" t="n">
        <v>43215.17417824074</v>
      </c>
      <c r="C1997" t="n">
        <v>0</v>
      </c>
      <c r="D1997" t="n">
        <v>2</v>
      </c>
      <c r="E1997" t="s">
        <v>1992</v>
      </c>
      <c r="F1997" t="s"/>
      <c r="G1997" t="s"/>
      <c r="H1997" t="s"/>
      <c r="I1997" t="s"/>
      <c r="J1997" t="n">
        <v>-0.6093</v>
      </c>
      <c r="K1997" t="n">
        <v>0.249</v>
      </c>
      <c r="L1997" t="n">
        <v>0.637</v>
      </c>
      <c r="M1997" t="n">
        <v>0.114</v>
      </c>
    </row>
    <row r="1998" spans="1:13">
      <c r="A1998" s="1">
        <f>HYPERLINK("http://www.twitter.com/NathanBLawrence/status/988993693695860737", "988993693695860737")</f>
        <v/>
      </c>
      <c r="B1998" s="2" t="n">
        <v>43215.17413194444</v>
      </c>
      <c r="C1998" t="n">
        <v>0</v>
      </c>
      <c r="D1998" t="n">
        <v>3</v>
      </c>
      <c r="E1998" t="s">
        <v>1993</v>
      </c>
      <c r="F1998" t="s"/>
      <c r="G1998" t="s"/>
      <c r="H1998" t="s"/>
      <c r="I1998" t="s"/>
      <c r="J1998" t="n">
        <v>0</v>
      </c>
      <c r="K1998" t="n">
        <v>0</v>
      </c>
      <c r="L1998" t="n">
        <v>1</v>
      </c>
      <c r="M1998" t="n">
        <v>0</v>
      </c>
    </row>
    <row r="1999" spans="1:13">
      <c r="A1999" s="1">
        <f>HYPERLINK("http://www.twitter.com/NathanBLawrence/status/988993670228729857", "988993670228729857")</f>
        <v/>
      </c>
      <c r="B1999" s="2" t="n">
        <v>43215.17407407407</v>
      </c>
      <c r="C1999" t="n">
        <v>0</v>
      </c>
      <c r="D1999" t="n">
        <v>14</v>
      </c>
      <c r="E1999" t="s">
        <v>1994</v>
      </c>
      <c r="F1999" t="s"/>
      <c r="G1999" t="s"/>
      <c r="H1999" t="s"/>
      <c r="I1999" t="s"/>
      <c r="J1999" t="n">
        <v>-0.8316</v>
      </c>
      <c r="K1999" t="n">
        <v>0.353</v>
      </c>
      <c r="L1999" t="n">
        <v>0.647</v>
      </c>
      <c r="M1999" t="n">
        <v>0</v>
      </c>
    </row>
    <row r="2000" spans="1:13">
      <c r="A2000" s="1">
        <f>HYPERLINK("http://www.twitter.com/NathanBLawrence/status/988993622577242113", "988993622577242113")</f>
        <v/>
      </c>
      <c r="B2000" s="2" t="n">
        <v>43215.17393518519</v>
      </c>
      <c r="C2000" t="n">
        <v>0</v>
      </c>
      <c r="D2000" t="n">
        <v>4</v>
      </c>
      <c r="E2000" t="s">
        <v>1995</v>
      </c>
      <c r="F2000" t="s"/>
      <c r="G2000" t="s"/>
      <c r="H2000" t="s"/>
      <c r="I2000" t="s"/>
      <c r="J2000" t="n">
        <v>-0.8316</v>
      </c>
      <c r="K2000" t="n">
        <v>0.366</v>
      </c>
      <c r="L2000" t="n">
        <v>0.634</v>
      </c>
      <c r="M2000" t="n">
        <v>0</v>
      </c>
    </row>
    <row r="2001" spans="1:13">
      <c r="A2001" s="1">
        <f>HYPERLINK("http://www.twitter.com/NathanBLawrence/status/988993598547996673", "988993598547996673")</f>
        <v/>
      </c>
      <c r="B2001" s="2" t="n">
        <v>43215.17387731482</v>
      </c>
      <c r="C2001" t="n">
        <v>0</v>
      </c>
      <c r="D2001" t="n">
        <v>4</v>
      </c>
      <c r="E2001" t="s">
        <v>1996</v>
      </c>
      <c r="F2001" t="s"/>
      <c r="G2001" t="s"/>
      <c r="H2001" t="s"/>
      <c r="I2001" t="s"/>
      <c r="J2001" t="n">
        <v>0.5282</v>
      </c>
      <c r="K2001" t="n">
        <v>0</v>
      </c>
      <c r="L2001" t="n">
        <v>0.86</v>
      </c>
      <c r="M2001" t="n">
        <v>0.14</v>
      </c>
    </row>
    <row r="2002" spans="1:13">
      <c r="A2002" s="1">
        <f>HYPERLINK("http://www.twitter.com/NathanBLawrence/status/988993571113009152", "988993571113009152")</f>
        <v/>
      </c>
      <c r="B2002" s="2" t="n">
        <v>43215.17379629629</v>
      </c>
      <c r="C2002" t="n">
        <v>0</v>
      </c>
      <c r="D2002" t="n">
        <v>3</v>
      </c>
      <c r="E2002" t="s">
        <v>1997</v>
      </c>
      <c r="F2002" t="s"/>
      <c r="G2002" t="s"/>
      <c r="H2002" t="s"/>
      <c r="I2002" t="s"/>
      <c r="J2002" t="n">
        <v>-0.25</v>
      </c>
      <c r="K2002" t="n">
        <v>0.109</v>
      </c>
      <c r="L2002" t="n">
        <v>0.826</v>
      </c>
      <c r="M2002" t="n">
        <v>0.065</v>
      </c>
    </row>
    <row r="2003" spans="1:13">
      <c r="A2003" s="1">
        <f>HYPERLINK("http://www.twitter.com/NathanBLawrence/status/988993549990494208", "988993549990494208")</f>
        <v/>
      </c>
      <c r="B2003" s="2" t="n">
        <v>43215.17373842592</v>
      </c>
      <c r="C2003" t="n">
        <v>0</v>
      </c>
      <c r="D2003" t="n">
        <v>4</v>
      </c>
      <c r="E2003" t="s">
        <v>1998</v>
      </c>
      <c r="F2003" t="s"/>
      <c r="G2003" t="s"/>
      <c r="H2003" t="s"/>
      <c r="I2003" t="s"/>
      <c r="J2003" t="n">
        <v>-0.836</v>
      </c>
      <c r="K2003" t="n">
        <v>0.355</v>
      </c>
      <c r="L2003" t="n">
        <v>0.645</v>
      </c>
      <c r="M2003" t="n">
        <v>0</v>
      </c>
    </row>
    <row r="2004" spans="1:13">
      <c r="A2004" s="1">
        <f>HYPERLINK("http://www.twitter.com/NathanBLawrence/status/988942833204809728", "988942833204809728")</f>
        <v/>
      </c>
      <c r="B2004" s="2" t="n">
        <v>43215.03378472223</v>
      </c>
      <c r="C2004" t="n">
        <v>0</v>
      </c>
      <c r="D2004" t="n">
        <v>9</v>
      </c>
      <c r="E2004" t="s">
        <v>1999</v>
      </c>
      <c r="F2004" t="s"/>
      <c r="G2004" t="s"/>
      <c r="H2004" t="s"/>
      <c r="I2004" t="s"/>
      <c r="J2004" t="n">
        <v>0</v>
      </c>
      <c r="K2004" t="n">
        <v>0</v>
      </c>
      <c r="L2004" t="n">
        <v>1</v>
      </c>
      <c r="M2004" t="n">
        <v>0</v>
      </c>
    </row>
    <row r="2005" spans="1:13">
      <c r="A2005" s="1">
        <f>HYPERLINK("http://www.twitter.com/NathanBLawrence/status/988923928625254400", "988923928625254400")</f>
        <v/>
      </c>
      <c r="B2005" s="2" t="n">
        <v>43214.98162037037</v>
      </c>
      <c r="C2005" t="n">
        <v>0</v>
      </c>
      <c r="D2005" t="n">
        <v>7</v>
      </c>
      <c r="E2005" t="s">
        <v>2000</v>
      </c>
      <c r="F2005" t="s"/>
      <c r="G2005" t="s"/>
      <c r="H2005" t="s"/>
      <c r="I2005" t="s"/>
      <c r="J2005" t="n">
        <v>0.25</v>
      </c>
      <c r="K2005" t="n">
        <v>0</v>
      </c>
      <c r="L2005" t="n">
        <v>0.905</v>
      </c>
      <c r="M2005" t="n">
        <v>0.095</v>
      </c>
    </row>
    <row r="2006" spans="1:13">
      <c r="A2006" s="1">
        <f>HYPERLINK("http://www.twitter.com/NathanBLawrence/status/988923684810354699", "988923684810354699")</f>
        <v/>
      </c>
      <c r="B2006" s="2" t="n">
        <v>43214.98094907407</v>
      </c>
      <c r="C2006" t="n">
        <v>0</v>
      </c>
      <c r="D2006" t="n">
        <v>0</v>
      </c>
      <c r="E2006" t="s">
        <v>2001</v>
      </c>
      <c r="F2006" t="s"/>
      <c r="G2006" t="s"/>
      <c r="H2006" t="s"/>
      <c r="I2006" t="s"/>
      <c r="J2006" t="n">
        <v>-0.6077</v>
      </c>
      <c r="K2006" t="n">
        <v>0.261</v>
      </c>
      <c r="L2006" t="n">
        <v>0.655</v>
      </c>
      <c r="M2006" t="n">
        <v>0.083</v>
      </c>
    </row>
    <row r="2007" spans="1:13">
      <c r="A2007" s="1">
        <f>HYPERLINK("http://www.twitter.com/NathanBLawrence/status/988919360369692672", "988919360369692672")</f>
        <v/>
      </c>
      <c r="B2007" s="2" t="n">
        <v>43214.9690162037</v>
      </c>
      <c r="C2007" t="n">
        <v>0</v>
      </c>
      <c r="D2007" t="n">
        <v>0</v>
      </c>
      <c r="E2007" t="s">
        <v>2002</v>
      </c>
      <c r="F2007" t="s"/>
      <c r="G2007" t="s"/>
      <c r="H2007" t="s"/>
      <c r="I2007" t="s"/>
      <c r="J2007" t="n">
        <v>0.7096</v>
      </c>
      <c r="K2007" t="n">
        <v>0.07000000000000001</v>
      </c>
      <c r="L2007" t="n">
        <v>0.671</v>
      </c>
      <c r="M2007" t="n">
        <v>0.259</v>
      </c>
    </row>
    <row r="2008" spans="1:13">
      <c r="A2008" s="1">
        <f>HYPERLINK("http://www.twitter.com/NathanBLawrence/status/988919075865800705", "988919075865800705")</f>
        <v/>
      </c>
      <c r="B2008" s="2" t="n">
        <v>43214.96822916667</v>
      </c>
      <c r="C2008" t="n">
        <v>1</v>
      </c>
      <c r="D2008" t="n">
        <v>0</v>
      </c>
      <c r="E2008" t="s">
        <v>2003</v>
      </c>
      <c r="F2008" t="s"/>
      <c r="G2008" t="s"/>
      <c r="H2008" t="s"/>
      <c r="I2008" t="s"/>
      <c r="J2008" t="n">
        <v>-0.2382</v>
      </c>
      <c r="K2008" t="n">
        <v>0.233</v>
      </c>
      <c r="L2008" t="n">
        <v>0.637</v>
      </c>
      <c r="M2008" t="n">
        <v>0.13</v>
      </c>
    </row>
    <row r="2009" spans="1:13">
      <c r="A2009" s="1">
        <f>HYPERLINK("http://www.twitter.com/NathanBLawrence/status/988918767081197568", "988918767081197568")</f>
        <v/>
      </c>
      <c r="B2009" s="2" t="n">
        <v>43214.96737268518</v>
      </c>
      <c r="C2009" t="n">
        <v>1</v>
      </c>
      <c r="D2009" t="n">
        <v>0</v>
      </c>
      <c r="E2009" t="s">
        <v>2004</v>
      </c>
      <c r="F2009" t="s"/>
      <c r="G2009" t="s"/>
      <c r="H2009" t="s"/>
      <c r="I2009" t="s"/>
      <c r="J2009" t="n">
        <v>0.6597</v>
      </c>
      <c r="K2009" t="n">
        <v>0</v>
      </c>
      <c r="L2009" t="n">
        <v>0.891</v>
      </c>
      <c r="M2009" t="n">
        <v>0.109</v>
      </c>
    </row>
    <row r="2010" spans="1:13">
      <c r="A2010" s="1">
        <f>HYPERLINK("http://www.twitter.com/NathanBLawrence/status/988915478860042240", "988915478860042240")</f>
        <v/>
      </c>
      <c r="B2010" s="2" t="n">
        <v>43214.95829861111</v>
      </c>
      <c r="C2010" t="n">
        <v>2</v>
      </c>
      <c r="D2010" t="n">
        <v>0</v>
      </c>
      <c r="E2010" t="s">
        <v>2005</v>
      </c>
      <c r="F2010" t="s"/>
      <c r="G2010" t="s"/>
      <c r="H2010" t="s"/>
      <c r="I2010" t="s"/>
      <c r="J2010" t="n">
        <v>0.1045</v>
      </c>
      <c r="K2010" t="n">
        <v>0.043</v>
      </c>
      <c r="L2010" t="n">
        <v>0.906</v>
      </c>
      <c r="M2010" t="n">
        <v>0.051</v>
      </c>
    </row>
    <row r="2011" spans="1:13">
      <c r="A2011" s="1">
        <f>HYPERLINK("http://www.twitter.com/NathanBLawrence/status/988915060692176896", "988915060692176896")</f>
        <v/>
      </c>
      <c r="B2011" s="2" t="n">
        <v>43214.95715277778</v>
      </c>
      <c r="C2011" t="n">
        <v>4</v>
      </c>
      <c r="D2011" t="n">
        <v>1</v>
      </c>
      <c r="E2011" t="s">
        <v>2006</v>
      </c>
      <c r="F2011" t="s"/>
      <c r="G2011" t="s"/>
      <c r="H2011" t="s"/>
      <c r="I2011" t="s"/>
      <c r="J2011" t="n">
        <v>0.0516</v>
      </c>
      <c r="K2011" t="n">
        <v>0.07199999999999999</v>
      </c>
      <c r="L2011" t="n">
        <v>0.853</v>
      </c>
      <c r="M2011" t="n">
        <v>0.076</v>
      </c>
    </row>
    <row r="2012" spans="1:13">
      <c r="A2012" s="1">
        <f>HYPERLINK("http://www.twitter.com/NathanBLawrence/status/988911811075497984", "988911811075497984")</f>
        <v/>
      </c>
      <c r="B2012" s="2" t="n">
        <v>43214.94818287037</v>
      </c>
      <c r="C2012" t="n">
        <v>1</v>
      </c>
      <c r="D2012" t="n">
        <v>0</v>
      </c>
      <c r="E2012" t="s">
        <v>2007</v>
      </c>
      <c r="F2012" t="s"/>
      <c r="G2012" t="s"/>
      <c r="H2012" t="s"/>
      <c r="I2012" t="s"/>
      <c r="J2012" t="n">
        <v>-0.4019</v>
      </c>
      <c r="K2012" t="n">
        <v>0.119</v>
      </c>
      <c r="L2012" t="n">
        <v>0.881</v>
      </c>
      <c r="M2012" t="n">
        <v>0</v>
      </c>
    </row>
    <row r="2013" spans="1:13">
      <c r="A2013" s="1">
        <f>HYPERLINK("http://www.twitter.com/NathanBLawrence/status/988911321780576257", "988911321780576257")</f>
        <v/>
      </c>
      <c r="B2013" s="2" t="n">
        <v>43214.9468287037</v>
      </c>
      <c r="C2013" t="n">
        <v>5</v>
      </c>
      <c r="D2013" t="n">
        <v>3</v>
      </c>
      <c r="E2013" t="s">
        <v>2008</v>
      </c>
      <c r="F2013" t="s"/>
      <c r="G2013" t="s"/>
      <c r="H2013" t="s"/>
      <c r="I2013" t="s"/>
      <c r="J2013" t="n">
        <v>0</v>
      </c>
      <c r="K2013" t="n">
        <v>0</v>
      </c>
      <c r="L2013" t="n">
        <v>1</v>
      </c>
      <c r="M2013" t="n">
        <v>0</v>
      </c>
    </row>
    <row r="2014" spans="1:13">
      <c r="A2014" s="1">
        <f>HYPERLINK("http://www.twitter.com/NathanBLawrence/status/988911079752429568", "988911079752429568")</f>
        <v/>
      </c>
      <c r="B2014" s="2" t="n">
        <v>43214.94616898148</v>
      </c>
      <c r="C2014" t="n">
        <v>1</v>
      </c>
      <c r="D2014" t="n">
        <v>0</v>
      </c>
      <c r="E2014" t="s">
        <v>2009</v>
      </c>
      <c r="F2014" t="s"/>
      <c r="G2014" t="s"/>
      <c r="H2014" t="s"/>
      <c r="I2014" t="s"/>
      <c r="J2014" t="n">
        <v>0</v>
      </c>
      <c r="K2014" t="n">
        <v>0</v>
      </c>
      <c r="L2014" t="n">
        <v>1</v>
      </c>
      <c r="M2014" t="n">
        <v>0</v>
      </c>
    </row>
    <row r="2015" spans="1:13">
      <c r="A2015" s="1">
        <f>HYPERLINK("http://www.twitter.com/NathanBLawrence/status/988904315317379072", "988904315317379072")</f>
        <v/>
      </c>
      <c r="B2015" s="2" t="n">
        <v>43214.9275</v>
      </c>
      <c r="C2015" t="n">
        <v>0</v>
      </c>
      <c r="D2015" t="n">
        <v>10</v>
      </c>
      <c r="E2015" t="s">
        <v>2010</v>
      </c>
      <c r="F2015" t="s"/>
      <c r="G2015" t="s"/>
      <c r="H2015" t="s"/>
      <c r="I2015" t="s"/>
      <c r="J2015" t="n">
        <v>-0.4268</v>
      </c>
      <c r="K2015" t="n">
        <v>0.191</v>
      </c>
      <c r="L2015" t="n">
        <v>0.719</v>
      </c>
      <c r="M2015" t="n">
        <v>0.09</v>
      </c>
    </row>
    <row r="2016" spans="1:13">
      <c r="A2016" s="1">
        <f>HYPERLINK("http://www.twitter.com/NathanBLawrence/status/988904248065880065", "988904248065880065")</f>
        <v/>
      </c>
      <c r="B2016" s="2" t="n">
        <v>43214.92731481481</v>
      </c>
      <c r="C2016" t="n">
        <v>0</v>
      </c>
      <c r="D2016" t="n">
        <v>21</v>
      </c>
      <c r="E2016" t="s">
        <v>2011</v>
      </c>
      <c r="F2016" t="s"/>
      <c r="G2016" t="s"/>
      <c r="H2016" t="s"/>
      <c r="I2016" t="s"/>
      <c r="J2016" t="n">
        <v>0.4767</v>
      </c>
      <c r="K2016" t="n">
        <v>0</v>
      </c>
      <c r="L2016" t="n">
        <v>0.897</v>
      </c>
      <c r="M2016" t="n">
        <v>0.103</v>
      </c>
    </row>
    <row r="2017" spans="1:13">
      <c r="A2017" s="1">
        <f>HYPERLINK("http://www.twitter.com/NathanBLawrence/status/988904115295129601", "988904115295129601")</f>
        <v/>
      </c>
      <c r="B2017" s="2" t="n">
        <v>43214.92694444444</v>
      </c>
      <c r="C2017" t="n">
        <v>0</v>
      </c>
      <c r="D2017" t="n">
        <v>20</v>
      </c>
      <c r="E2017" t="s">
        <v>2012</v>
      </c>
      <c r="F2017" t="s"/>
      <c r="G2017" t="s"/>
      <c r="H2017" t="s"/>
      <c r="I2017" t="s"/>
      <c r="J2017" t="n">
        <v>-0.5994</v>
      </c>
      <c r="K2017" t="n">
        <v>0.259</v>
      </c>
      <c r="L2017" t="n">
        <v>0.741</v>
      </c>
      <c r="M2017" t="n">
        <v>0</v>
      </c>
    </row>
    <row r="2018" spans="1:13">
      <c r="A2018" s="1">
        <f>HYPERLINK("http://www.twitter.com/NathanBLawrence/status/988904058969870337", "988904058969870337")</f>
        <v/>
      </c>
      <c r="B2018" s="2" t="n">
        <v>43214.92679398148</v>
      </c>
      <c r="C2018" t="n">
        <v>0</v>
      </c>
      <c r="D2018" t="n">
        <v>56</v>
      </c>
      <c r="E2018" t="s">
        <v>2013</v>
      </c>
      <c r="F2018" t="s"/>
      <c r="G2018" t="s"/>
      <c r="H2018" t="s"/>
      <c r="I2018" t="s"/>
      <c r="J2018" t="n">
        <v>-0.6486</v>
      </c>
      <c r="K2018" t="n">
        <v>0.209</v>
      </c>
      <c r="L2018" t="n">
        <v>0.791</v>
      </c>
      <c r="M2018" t="n">
        <v>0</v>
      </c>
    </row>
    <row r="2019" spans="1:13">
      <c r="A2019" s="1">
        <f>HYPERLINK("http://www.twitter.com/NathanBLawrence/status/988904028041109505", "988904028041109505")</f>
        <v/>
      </c>
      <c r="B2019" s="2" t="n">
        <v>43214.92670138889</v>
      </c>
      <c r="C2019" t="n">
        <v>0</v>
      </c>
      <c r="D2019" t="n">
        <v>83</v>
      </c>
      <c r="E2019" t="s">
        <v>2014</v>
      </c>
      <c r="F2019" t="s"/>
      <c r="G2019" t="s"/>
      <c r="H2019" t="s"/>
      <c r="I2019" t="s"/>
      <c r="J2019" t="n">
        <v>0.128</v>
      </c>
      <c r="K2019" t="n">
        <v>0.213</v>
      </c>
      <c r="L2019" t="n">
        <v>0.523</v>
      </c>
      <c r="M2019" t="n">
        <v>0.265</v>
      </c>
    </row>
    <row r="2020" spans="1:13">
      <c r="A2020" s="1">
        <f>HYPERLINK("http://www.twitter.com/NathanBLawrence/status/988904014510206977", "988904014510206977")</f>
        <v/>
      </c>
      <c r="B2020" s="2" t="n">
        <v>43214.92666666667</v>
      </c>
      <c r="C2020" t="n">
        <v>0</v>
      </c>
      <c r="D2020" t="n">
        <v>14</v>
      </c>
      <c r="E2020" t="s">
        <v>2015</v>
      </c>
      <c r="F2020" t="s"/>
      <c r="G2020" t="s"/>
      <c r="H2020" t="s"/>
      <c r="I2020" t="s"/>
      <c r="J2020" t="n">
        <v>0</v>
      </c>
      <c r="K2020" t="n">
        <v>0</v>
      </c>
      <c r="L2020" t="n">
        <v>1</v>
      </c>
      <c r="M2020" t="n">
        <v>0</v>
      </c>
    </row>
    <row r="2021" spans="1:13">
      <c r="A2021" s="1">
        <f>HYPERLINK("http://www.twitter.com/NathanBLawrence/status/988903914748641280", "988903914748641280")</f>
        <v/>
      </c>
      <c r="B2021" s="2" t="n">
        <v>43214.92638888889</v>
      </c>
      <c r="C2021" t="n">
        <v>0</v>
      </c>
      <c r="D2021" t="n">
        <v>26</v>
      </c>
      <c r="E2021" t="s">
        <v>2016</v>
      </c>
      <c r="F2021" t="s"/>
      <c r="G2021" t="s"/>
      <c r="H2021" t="s"/>
      <c r="I2021" t="s"/>
      <c r="J2021" t="n">
        <v>0</v>
      </c>
      <c r="K2021" t="n">
        <v>0</v>
      </c>
      <c r="L2021" t="n">
        <v>1</v>
      </c>
      <c r="M2021" t="n">
        <v>0</v>
      </c>
    </row>
    <row r="2022" spans="1:13">
      <c r="A2022" s="1">
        <f>HYPERLINK("http://www.twitter.com/NathanBLawrence/status/988903869458591744", "988903869458591744")</f>
        <v/>
      </c>
      <c r="B2022" s="2" t="n">
        <v>43214.92627314815</v>
      </c>
      <c r="C2022" t="n">
        <v>0</v>
      </c>
      <c r="D2022" t="n">
        <v>62</v>
      </c>
      <c r="E2022" t="s">
        <v>2017</v>
      </c>
      <c r="F2022" t="s"/>
      <c r="G2022" t="s"/>
      <c r="H2022" t="s"/>
      <c r="I2022" t="s"/>
      <c r="J2022" t="n">
        <v>-0.4588</v>
      </c>
      <c r="K2022" t="n">
        <v>0.177</v>
      </c>
      <c r="L2022" t="n">
        <v>0.6850000000000001</v>
      </c>
      <c r="M2022" t="n">
        <v>0.137</v>
      </c>
    </row>
    <row r="2023" spans="1:13">
      <c r="A2023" s="1">
        <f>HYPERLINK("http://www.twitter.com/NathanBLawrence/status/988903786155528192", "988903786155528192")</f>
        <v/>
      </c>
      <c r="B2023" s="2" t="n">
        <v>43214.92604166667</v>
      </c>
      <c r="C2023" t="n">
        <v>0</v>
      </c>
      <c r="D2023" t="n">
        <v>268</v>
      </c>
      <c r="E2023" t="s">
        <v>2018</v>
      </c>
      <c r="F2023" t="s"/>
      <c r="G2023" t="s"/>
      <c r="H2023" t="s"/>
      <c r="I2023" t="s"/>
      <c r="J2023" t="n">
        <v>-0.2732</v>
      </c>
      <c r="K2023" t="n">
        <v>0.176</v>
      </c>
      <c r="L2023" t="n">
        <v>0.717</v>
      </c>
      <c r="M2023" t="n">
        <v>0.107</v>
      </c>
    </row>
    <row r="2024" spans="1:13">
      <c r="A2024" s="1">
        <f>HYPERLINK("http://www.twitter.com/NathanBLawrence/status/988903748499066880", "988903748499066880")</f>
        <v/>
      </c>
      <c r="B2024" s="2" t="n">
        <v>43214.9259375</v>
      </c>
      <c r="C2024" t="n">
        <v>0</v>
      </c>
      <c r="D2024" t="n">
        <v>258</v>
      </c>
      <c r="E2024" t="s">
        <v>2019</v>
      </c>
      <c r="F2024" t="s"/>
      <c r="G2024" t="s"/>
      <c r="H2024" t="s"/>
      <c r="I2024" t="s"/>
      <c r="J2024" t="n">
        <v>-0.0258</v>
      </c>
      <c r="K2024" t="n">
        <v>0.149</v>
      </c>
      <c r="L2024" t="n">
        <v>0.709</v>
      </c>
      <c r="M2024" t="n">
        <v>0.142</v>
      </c>
    </row>
    <row r="2025" spans="1:13">
      <c r="A2025" s="1">
        <f>HYPERLINK("http://www.twitter.com/NathanBLawrence/status/988903651849666566", "988903651849666566")</f>
        <v/>
      </c>
      <c r="B2025" s="2" t="n">
        <v>43214.9256712963</v>
      </c>
      <c r="C2025" t="n">
        <v>0</v>
      </c>
      <c r="D2025" t="n">
        <v>900</v>
      </c>
      <c r="E2025" t="s">
        <v>2020</v>
      </c>
      <c r="F2025">
        <f>HYPERLINK("http://pbs.twimg.com/media/DbjYazJUwAAJ6YP.jpg", "http://pbs.twimg.com/media/DbjYazJUwAAJ6YP.jpg")</f>
        <v/>
      </c>
      <c r="G2025" t="s"/>
      <c r="H2025" t="s"/>
      <c r="I2025" t="s"/>
      <c r="J2025" t="n">
        <v>0.4588</v>
      </c>
      <c r="K2025" t="n">
        <v>0</v>
      </c>
      <c r="L2025" t="n">
        <v>0.833</v>
      </c>
      <c r="M2025" t="n">
        <v>0.167</v>
      </c>
    </row>
    <row r="2026" spans="1:13">
      <c r="A2026" s="1">
        <f>HYPERLINK("http://www.twitter.com/NathanBLawrence/status/988903511910907905", "988903511910907905")</f>
        <v/>
      </c>
      <c r="B2026" s="2" t="n">
        <v>43214.92527777778</v>
      </c>
      <c r="C2026" t="n">
        <v>2</v>
      </c>
      <c r="D2026" t="n">
        <v>0</v>
      </c>
      <c r="E2026" t="s">
        <v>2021</v>
      </c>
      <c r="F2026" t="s"/>
      <c r="G2026" t="s"/>
      <c r="H2026" t="s"/>
      <c r="I2026" t="s"/>
      <c r="J2026" t="n">
        <v>0</v>
      </c>
      <c r="K2026" t="n">
        <v>0</v>
      </c>
      <c r="L2026" t="n">
        <v>1</v>
      </c>
      <c r="M2026" t="n">
        <v>0</v>
      </c>
    </row>
    <row r="2027" spans="1:13">
      <c r="A2027" s="1">
        <f>HYPERLINK("http://www.twitter.com/NathanBLawrence/status/988903436417630208", "988903436417630208")</f>
        <v/>
      </c>
      <c r="B2027" s="2" t="n">
        <v>43214.92506944444</v>
      </c>
      <c r="C2027" t="n">
        <v>0</v>
      </c>
      <c r="D2027" t="n">
        <v>0</v>
      </c>
      <c r="E2027" t="s">
        <v>2022</v>
      </c>
      <c r="F2027" t="s"/>
      <c r="G2027" t="s"/>
      <c r="H2027" t="s"/>
      <c r="I2027" t="s"/>
      <c r="J2027" t="n">
        <v>-0.6442</v>
      </c>
      <c r="K2027" t="n">
        <v>0.467</v>
      </c>
      <c r="L2027" t="n">
        <v>0.533</v>
      </c>
      <c r="M2027" t="n">
        <v>0</v>
      </c>
    </row>
    <row r="2028" spans="1:13">
      <c r="A2028" s="1">
        <f>HYPERLINK("http://www.twitter.com/NathanBLawrence/status/988903291848462337", "988903291848462337")</f>
        <v/>
      </c>
      <c r="B2028" s="2" t="n">
        <v>43214.92467592593</v>
      </c>
      <c r="C2028" t="n">
        <v>0</v>
      </c>
      <c r="D2028" t="n">
        <v>0</v>
      </c>
      <c r="E2028" t="s">
        <v>2023</v>
      </c>
      <c r="F2028" t="s"/>
      <c r="G2028" t="s"/>
      <c r="H2028" t="s"/>
      <c r="I2028" t="s"/>
      <c r="J2028" t="n">
        <v>-0.0387</v>
      </c>
      <c r="K2028" t="n">
        <v>0.048</v>
      </c>
      <c r="L2028" t="n">
        <v>0.952</v>
      </c>
      <c r="M2028" t="n">
        <v>0</v>
      </c>
    </row>
    <row r="2029" spans="1:13">
      <c r="A2029" s="1">
        <f>HYPERLINK("http://www.twitter.com/NathanBLawrence/status/988902812728819712", "988902812728819712")</f>
        <v/>
      </c>
      <c r="B2029" s="2" t="n">
        <v>43214.92335648148</v>
      </c>
      <c r="C2029" t="n">
        <v>0</v>
      </c>
      <c r="D2029" t="n">
        <v>0</v>
      </c>
      <c r="E2029" t="s">
        <v>2024</v>
      </c>
      <c r="F2029" t="s"/>
      <c r="G2029" t="s"/>
      <c r="H2029" t="s"/>
      <c r="I2029" t="s"/>
      <c r="J2029" t="n">
        <v>0.34</v>
      </c>
      <c r="K2029" t="n">
        <v>0.115</v>
      </c>
      <c r="L2029" t="n">
        <v>0.747</v>
      </c>
      <c r="M2029" t="n">
        <v>0.138</v>
      </c>
    </row>
    <row r="2030" spans="1:13">
      <c r="A2030" s="1">
        <f>HYPERLINK("http://www.twitter.com/NathanBLawrence/status/988901506777780224", "988901506777780224")</f>
        <v/>
      </c>
      <c r="B2030" s="2" t="n">
        <v>43214.91974537037</v>
      </c>
      <c r="C2030" t="n">
        <v>0</v>
      </c>
      <c r="D2030" t="n">
        <v>29</v>
      </c>
      <c r="E2030" t="s">
        <v>2025</v>
      </c>
      <c r="F2030" t="s"/>
      <c r="G2030" t="s"/>
      <c r="H2030" t="s"/>
      <c r="I2030" t="s"/>
      <c r="J2030" t="n">
        <v>0</v>
      </c>
      <c r="K2030" t="n">
        <v>0</v>
      </c>
      <c r="L2030" t="n">
        <v>1</v>
      </c>
      <c r="M2030" t="n">
        <v>0</v>
      </c>
    </row>
    <row r="2031" spans="1:13">
      <c r="A2031" s="1">
        <f>HYPERLINK("http://www.twitter.com/NathanBLawrence/status/988901205958160384", "988901205958160384")</f>
        <v/>
      </c>
      <c r="B2031" s="2" t="n">
        <v>43214.91892361111</v>
      </c>
      <c r="C2031" t="n">
        <v>0</v>
      </c>
      <c r="D2031" t="n">
        <v>5</v>
      </c>
      <c r="E2031" t="s">
        <v>2026</v>
      </c>
      <c r="F2031" t="s"/>
      <c r="G2031" t="s"/>
      <c r="H2031" t="s"/>
      <c r="I2031" t="s"/>
      <c r="J2031" t="n">
        <v>0.2023</v>
      </c>
      <c r="K2031" t="n">
        <v>0.12</v>
      </c>
      <c r="L2031" t="n">
        <v>0.721</v>
      </c>
      <c r="M2031" t="n">
        <v>0.159</v>
      </c>
    </row>
    <row r="2032" spans="1:13">
      <c r="A2032" s="1">
        <f>HYPERLINK("http://www.twitter.com/NathanBLawrence/status/988901171241848833", "988901171241848833")</f>
        <v/>
      </c>
      <c r="B2032" s="2" t="n">
        <v>43214.91881944444</v>
      </c>
      <c r="C2032" t="n">
        <v>2</v>
      </c>
      <c r="D2032" t="n">
        <v>0</v>
      </c>
      <c r="E2032" t="s">
        <v>2027</v>
      </c>
      <c r="F2032" t="s"/>
      <c r="G2032" t="s"/>
      <c r="H2032" t="s"/>
      <c r="I2032" t="s"/>
      <c r="J2032" t="n">
        <v>-0.296</v>
      </c>
      <c r="K2032" t="n">
        <v>0.128</v>
      </c>
      <c r="L2032" t="n">
        <v>0.872</v>
      </c>
      <c r="M2032" t="n">
        <v>0</v>
      </c>
    </row>
    <row r="2033" spans="1:13">
      <c r="A2033" s="1">
        <f>HYPERLINK("http://www.twitter.com/NathanBLawrence/status/988900887602098176", "988900887602098176")</f>
        <v/>
      </c>
      <c r="B2033" s="2" t="n">
        <v>43214.91804398148</v>
      </c>
      <c r="C2033" t="n">
        <v>1</v>
      </c>
      <c r="D2033" t="n">
        <v>0</v>
      </c>
      <c r="E2033" t="s">
        <v>2028</v>
      </c>
      <c r="F2033" t="s"/>
      <c r="G2033" t="s"/>
      <c r="H2033" t="s"/>
      <c r="I2033" t="s"/>
      <c r="J2033" t="n">
        <v>0</v>
      </c>
      <c r="K2033" t="n">
        <v>0</v>
      </c>
      <c r="L2033" t="n">
        <v>1</v>
      </c>
      <c r="M2033" t="n">
        <v>0</v>
      </c>
    </row>
    <row r="2034" spans="1:13">
      <c r="A2034" s="1">
        <f>HYPERLINK("http://www.twitter.com/NathanBLawrence/status/988900822200279042", "988900822200279042")</f>
        <v/>
      </c>
      <c r="B2034" s="2" t="n">
        <v>43214.9178587963</v>
      </c>
      <c r="C2034" t="n">
        <v>0</v>
      </c>
      <c r="D2034" t="n">
        <v>37</v>
      </c>
      <c r="E2034" t="s">
        <v>2029</v>
      </c>
      <c r="F2034">
        <f>HYPERLINK("http://pbs.twimg.com/media/Dbk7dbWWsAAxU0n.jpg", "http://pbs.twimg.com/media/Dbk7dbWWsAAxU0n.jpg")</f>
        <v/>
      </c>
      <c r="G2034" t="s"/>
      <c r="H2034" t="s"/>
      <c r="I2034" t="s"/>
      <c r="J2034" t="n">
        <v>0</v>
      </c>
      <c r="K2034" t="n">
        <v>0</v>
      </c>
      <c r="L2034" t="n">
        <v>1</v>
      </c>
      <c r="M2034" t="n">
        <v>0</v>
      </c>
    </row>
    <row r="2035" spans="1:13">
      <c r="A2035" s="1">
        <f>HYPERLINK("http://www.twitter.com/NathanBLawrence/status/988900808350674947", "988900808350674947")</f>
        <v/>
      </c>
      <c r="B2035" s="2" t="n">
        <v>43214.91782407407</v>
      </c>
      <c r="C2035" t="n">
        <v>0</v>
      </c>
      <c r="D2035" t="n">
        <v>11</v>
      </c>
      <c r="E2035" t="s">
        <v>2030</v>
      </c>
      <c r="F2035" t="s"/>
      <c r="G2035" t="s"/>
      <c r="H2035" t="s"/>
      <c r="I2035" t="s"/>
      <c r="J2035" t="n">
        <v>0.6588000000000001</v>
      </c>
      <c r="K2035" t="n">
        <v>0</v>
      </c>
      <c r="L2035" t="n">
        <v>0.747</v>
      </c>
      <c r="M2035" t="n">
        <v>0.253</v>
      </c>
    </row>
    <row r="2036" spans="1:13">
      <c r="A2036" s="1">
        <f>HYPERLINK("http://www.twitter.com/NathanBLawrence/status/988900644378509313", "988900644378509313")</f>
        <v/>
      </c>
      <c r="B2036" s="2" t="n">
        <v>43214.91737268519</v>
      </c>
      <c r="C2036" t="n">
        <v>1</v>
      </c>
      <c r="D2036" t="n">
        <v>0</v>
      </c>
      <c r="E2036" t="s">
        <v>2031</v>
      </c>
      <c r="F2036" t="s"/>
      <c r="G2036" t="s"/>
      <c r="H2036" t="s"/>
      <c r="I2036" t="s"/>
      <c r="J2036" t="n">
        <v>0.34</v>
      </c>
      <c r="K2036" t="n">
        <v>0</v>
      </c>
      <c r="L2036" t="n">
        <v>0.556</v>
      </c>
      <c r="M2036" t="n">
        <v>0.444</v>
      </c>
    </row>
    <row r="2037" spans="1:13">
      <c r="A2037" s="1">
        <f>HYPERLINK("http://www.twitter.com/NathanBLawrence/status/988900417772969984", "988900417772969984")</f>
        <v/>
      </c>
      <c r="B2037" s="2" t="n">
        <v>43214.91674768519</v>
      </c>
      <c r="C2037" t="n">
        <v>0</v>
      </c>
      <c r="D2037" t="n">
        <v>40</v>
      </c>
      <c r="E2037" t="s">
        <v>2032</v>
      </c>
      <c r="F2037">
        <f>HYPERLINK("http://pbs.twimg.com/media/DbkvezMU8AAbM9l.jpg", "http://pbs.twimg.com/media/DbkvezMU8AAbM9l.jpg")</f>
        <v/>
      </c>
      <c r="G2037">
        <f>HYPERLINK("http://pbs.twimg.com/media/DbkveOIVwAA_3HZ.jpg", "http://pbs.twimg.com/media/DbkveOIVwAA_3HZ.jpg")</f>
        <v/>
      </c>
      <c r="H2037">
        <f>HYPERLINK("http://pbs.twimg.com/media/DbkveOLV4AE_Hhi.jpg", "http://pbs.twimg.com/media/DbkveOLV4AE_Hhi.jpg")</f>
        <v/>
      </c>
      <c r="I2037" t="s"/>
      <c r="J2037" t="n">
        <v>0.8399</v>
      </c>
      <c r="K2037" t="n">
        <v>0</v>
      </c>
      <c r="L2037" t="n">
        <v>0.6919999999999999</v>
      </c>
      <c r="M2037" t="n">
        <v>0.308</v>
      </c>
    </row>
    <row r="2038" spans="1:13">
      <c r="A2038" s="1">
        <f>HYPERLINK("http://www.twitter.com/NathanBLawrence/status/988899882097430528", "988899882097430528")</f>
        <v/>
      </c>
      <c r="B2038" s="2" t="n">
        <v>43214.9152662037</v>
      </c>
      <c r="C2038" t="n">
        <v>9</v>
      </c>
      <c r="D2038" t="n">
        <v>9</v>
      </c>
      <c r="E2038" t="s">
        <v>2033</v>
      </c>
      <c r="F2038" t="s"/>
      <c r="G2038" t="s"/>
      <c r="H2038" t="s"/>
      <c r="I2038" t="s"/>
      <c r="J2038" t="n">
        <v>0.8156</v>
      </c>
      <c r="K2038" t="n">
        <v>0</v>
      </c>
      <c r="L2038" t="n">
        <v>0.849</v>
      </c>
      <c r="M2038" t="n">
        <v>0.151</v>
      </c>
    </row>
    <row r="2039" spans="1:13">
      <c r="A2039" s="1">
        <f>HYPERLINK("http://www.twitter.com/NathanBLawrence/status/988898405668786178", "988898405668786178")</f>
        <v/>
      </c>
      <c r="B2039" s="2" t="n">
        <v>43214.91119212963</v>
      </c>
      <c r="C2039" t="n">
        <v>0</v>
      </c>
      <c r="D2039" t="n">
        <v>45</v>
      </c>
      <c r="E2039" t="s">
        <v>2034</v>
      </c>
      <c r="F2039" t="s"/>
      <c r="G2039" t="s"/>
      <c r="H2039" t="s"/>
      <c r="I2039" t="s"/>
      <c r="J2039" t="n">
        <v>0.128</v>
      </c>
      <c r="K2039" t="n">
        <v>0.103</v>
      </c>
      <c r="L2039" t="n">
        <v>0.773</v>
      </c>
      <c r="M2039" t="n">
        <v>0.124</v>
      </c>
    </row>
    <row r="2040" spans="1:13">
      <c r="A2040" s="1">
        <f>HYPERLINK("http://www.twitter.com/NathanBLawrence/status/988871420573822976", "988871420573822976")</f>
        <v/>
      </c>
      <c r="B2040" s="2" t="n">
        <v>43214.83672453704</v>
      </c>
      <c r="C2040" t="n">
        <v>0</v>
      </c>
      <c r="D2040" t="n">
        <v>9</v>
      </c>
      <c r="E2040" t="s">
        <v>2035</v>
      </c>
      <c r="F2040" t="s"/>
      <c r="G2040" t="s"/>
      <c r="H2040" t="s"/>
      <c r="I2040" t="s"/>
      <c r="J2040" t="n">
        <v>-0.3182</v>
      </c>
      <c r="K2040" t="n">
        <v>0.113</v>
      </c>
      <c r="L2040" t="n">
        <v>0.887</v>
      </c>
      <c r="M2040" t="n">
        <v>0</v>
      </c>
    </row>
    <row r="2041" spans="1:13">
      <c r="A2041" s="1">
        <f>HYPERLINK("http://www.twitter.com/NathanBLawrence/status/988871392933408768", "988871392933408768")</f>
        <v/>
      </c>
      <c r="B2041" s="2" t="n">
        <v>43214.83665509259</v>
      </c>
      <c r="C2041" t="n">
        <v>0</v>
      </c>
      <c r="D2041" t="n">
        <v>9</v>
      </c>
      <c r="E2041" t="s">
        <v>2036</v>
      </c>
      <c r="F2041" t="s"/>
      <c r="G2041" t="s"/>
      <c r="H2041" t="s"/>
      <c r="I2041" t="s"/>
      <c r="J2041" t="n">
        <v>0</v>
      </c>
      <c r="K2041" t="n">
        <v>0</v>
      </c>
      <c r="L2041" t="n">
        <v>1</v>
      </c>
      <c r="M2041" t="n">
        <v>0</v>
      </c>
    </row>
    <row r="2042" spans="1:13">
      <c r="A2042" s="1">
        <f>HYPERLINK("http://www.twitter.com/NathanBLawrence/status/988871210720202752", "988871210720202752")</f>
        <v/>
      </c>
      <c r="B2042" s="2" t="n">
        <v>43214.83614583333</v>
      </c>
      <c r="C2042" t="n">
        <v>0</v>
      </c>
      <c r="D2042" t="n">
        <v>10</v>
      </c>
      <c r="E2042" t="s">
        <v>2037</v>
      </c>
      <c r="F2042" t="s"/>
      <c r="G2042" t="s"/>
      <c r="H2042" t="s"/>
      <c r="I2042" t="s"/>
      <c r="J2042" t="n">
        <v>0.7506</v>
      </c>
      <c r="K2042" t="n">
        <v>0</v>
      </c>
      <c r="L2042" t="n">
        <v>0.726</v>
      </c>
      <c r="M2042" t="n">
        <v>0.274</v>
      </c>
    </row>
    <row r="2043" spans="1:13">
      <c r="A2043" s="1">
        <f>HYPERLINK("http://www.twitter.com/NathanBLawrence/status/988871171646074880", "988871171646074880")</f>
        <v/>
      </c>
      <c r="B2043" s="2" t="n">
        <v>43214.83604166667</v>
      </c>
      <c r="C2043" t="n">
        <v>0</v>
      </c>
      <c r="D2043" t="n">
        <v>12</v>
      </c>
      <c r="E2043" t="s">
        <v>2038</v>
      </c>
      <c r="F2043">
        <f>HYPERLINK("http://pbs.twimg.com/media/DbklY4nWkAACgWt.jpg", "http://pbs.twimg.com/media/DbklY4nWkAACgWt.jpg")</f>
        <v/>
      </c>
      <c r="G2043" t="s"/>
      <c r="H2043" t="s"/>
      <c r="I2043" t="s"/>
      <c r="J2043" t="n">
        <v>0</v>
      </c>
      <c r="K2043" t="n">
        <v>0</v>
      </c>
      <c r="L2043" t="n">
        <v>1</v>
      </c>
      <c r="M2043" t="n">
        <v>0</v>
      </c>
    </row>
    <row r="2044" spans="1:13">
      <c r="A2044" s="1">
        <f>HYPERLINK("http://www.twitter.com/NathanBLawrence/status/988871155275718657", "988871155275718657")</f>
        <v/>
      </c>
      <c r="B2044" s="2" t="n">
        <v>43214.83599537037</v>
      </c>
      <c r="C2044" t="n">
        <v>0</v>
      </c>
      <c r="D2044" t="n">
        <v>16</v>
      </c>
      <c r="E2044" t="s">
        <v>2039</v>
      </c>
      <c r="F2044" t="s"/>
      <c r="G2044" t="s"/>
      <c r="H2044" t="s"/>
      <c r="I2044" t="s"/>
      <c r="J2044" t="n">
        <v>-0.3182</v>
      </c>
      <c r="K2044" t="n">
        <v>0.113</v>
      </c>
      <c r="L2044" t="n">
        <v>0.887</v>
      </c>
      <c r="M2044" t="n">
        <v>0</v>
      </c>
    </row>
    <row r="2045" spans="1:13">
      <c r="A2045" s="1">
        <f>HYPERLINK("http://www.twitter.com/NathanBLawrence/status/988871046861291529", "988871046861291529")</f>
        <v/>
      </c>
      <c r="B2045" s="2" t="n">
        <v>43214.83569444445</v>
      </c>
      <c r="C2045" t="n">
        <v>0</v>
      </c>
      <c r="D2045" t="n">
        <v>18</v>
      </c>
      <c r="E2045" t="s">
        <v>2040</v>
      </c>
      <c r="F2045">
        <f>HYPERLINK("http://pbs.twimg.com/media/DbkoPj5U0AEjpHc.jpg", "http://pbs.twimg.com/media/DbkoPj5U0AEjpHc.jpg")</f>
        <v/>
      </c>
      <c r="G2045" t="s"/>
      <c r="H2045" t="s"/>
      <c r="I2045" t="s"/>
      <c r="J2045" t="n">
        <v>0</v>
      </c>
      <c r="K2045" t="n">
        <v>0</v>
      </c>
      <c r="L2045" t="n">
        <v>1</v>
      </c>
      <c r="M2045" t="n">
        <v>0</v>
      </c>
    </row>
    <row r="2046" spans="1:13">
      <c r="A2046" s="1">
        <f>HYPERLINK("http://www.twitter.com/NathanBLawrence/status/988870922336657410", "988870922336657410")</f>
        <v/>
      </c>
      <c r="B2046" s="2" t="n">
        <v>43214.83534722222</v>
      </c>
      <c r="C2046" t="n">
        <v>0</v>
      </c>
      <c r="D2046" t="n">
        <v>13</v>
      </c>
      <c r="E2046" t="s">
        <v>2041</v>
      </c>
      <c r="F2046">
        <f>HYPERLINK("https://video.twimg.com/ext_tw_video/988867887837392896/pu/vid/1280x720/dUmudyaNvVHSLU8N.mp4?tag=3", "https://video.twimg.com/ext_tw_video/988867887837392896/pu/vid/1280x720/dUmudyaNvVHSLU8N.mp4?tag=3")</f>
        <v/>
      </c>
      <c r="G2046" t="s"/>
      <c r="H2046" t="s"/>
      <c r="I2046" t="s"/>
      <c r="J2046" t="n">
        <v>0.4263</v>
      </c>
      <c r="K2046" t="n">
        <v>0</v>
      </c>
      <c r="L2046" t="n">
        <v>0.871</v>
      </c>
      <c r="M2046" t="n">
        <v>0.129</v>
      </c>
    </row>
    <row r="2047" spans="1:13">
      <c r="A2047" s="1">
        <f>HYPERLINK("http://www.twitter.com/NathanBLawrence/status/988870597320077312", "988870597320077312")</f>
        <v/>
      </c>
      <c r="B2047" s="2" t="n">
        <v>43214.83445601852</v>
      </c>
      <c r="C2047" t="n">
        <v>0</v>
      </c>
      <c r="D2047" t="n">
        <v>3</v>
      </c>
      <c r="E2047" t="s">
        <v>2042</v>
      </c>
      <c r="F2047">
        <f>HYPERLINK("https://video.twimg.com/ext_tw_video/988868986921086978/pu/vid/1280x720/PHsEl8L8lyb7DGN0.mp4?tag=3", "https://video.twimg.com/ext_tw_video/988868986921086978/pu/vid/1280x720/PHsEl8L8lyb7DGN0.mp4?tag=3")</f>
        <v/>
      </c>
      <c r="G2047" t="s"/>
      <c r="H2047" t="s"/>
      <c r="I2047" t="s"/>
      <c r="J2047" t="n">
        <v>0</v>
      </c>
      <c r="K2047" t="n">
        <v>0</v>
      </c>
      <c r="L2047" t="n">
        <v>1</v>
      </c>
      <c r="M2047" t="n">
        <v>0</v>
      </c>
    </row>
    <row r="2048" spans="1:13">
      <c r="A2048" s="1">
        <f>HYPERLINK("http://www.twitter.com/NathanBLawrence/status/988785346296057856", "988785346296057856")</f>
        <v/>
      </c>
      <c r="B2048" s="2" t="n">
        <v>43214.59920138889</v>
      </c>
      <c r="C2048" t="n">
        <v>0</v>
      </c>
      <c r="D2048" t="n">
        <v>3719</v>
      </c>
      <c r="E2048" t="s">
        <v>2043</v>
      </c>
      <c r="F2048" t="s"/>
      <c r="G2048" t="s"/>
      <c r="H2048" t="s"/>
      <c r="I2048" t="s"/>
      <c r="J2048" t="n">
        <v>0.6249</v>
      </c>
      <c r="K2048" t="n">
        <v>0</v>
      </c>
      <c r="L2048" t="n">
        <v>0.836</v>
      </c>
      <c r="M2048" t="n">
        <v>0.164</v>
      </c>
    </row>
    <row r="2049" spans="1:13">
      <c r="A2049" s="1">
        <f>HYPERLINK("http://www.twitter.com/NathanBLawrence/status/988785309155504128", "988785309155504128")</f>
        <v/>
      </c>
      <c r="B2049" s="2" t="n">
        <v>43214.5991087963</v>
      </c>
      <c r="C2049" t="n">
        <v>0</v>
      </c>
      <c r="D2049" t="n">
        <v>4275</v>
      </c>
      <c r="E2049" t="s">
        <v>2044</v>
      </c>
      <c r="F2049" t="s"/>
      <c r="G2049" t="s"/>
      <c r="H2049" t="s"/>
      <c r="I2049" t="s"/>
      <c r="J2049" t="n">
        <v>0.8118</v>
      </c>
      <c r="K2049" t="n">
        <v>0</v>
      </c>
      <c r="L2049" t="n">
        <v>0.74</v>
      </c>
      <c r="M2049" t="n">
        <v>0.26</v>
      </c>
    </row>
    <row r="2050" spans="1:13">
      <c r="A2050" s="1">
        <f>HYPERLINK("http://www.twitter.com/NathanBLawrence/status/988785286447599616", "988785286447599616")</f>
        <v/>
      </c>
      <c r="B2050" s="2" t="n">
        <v>43214.59903935185</v>
      </c>
      <c r="C2050" t="n">
        <v>0</v>
      </c>
      <c r="D2050" t="n">
        <v>1</v>
      </c>
      <c r="E2050" t="s">
        <v>2045</v>
      </c>
      <c r="F2050" t="s"/>
      <c r="G2050" t="s"/>
      <c r="H2050" t="s"/>
      <c r="I2050" t="s"/>
      <c r="J2050" t="n">
        <v>0.7034</v>
      </c>
      <c r="K2050" t="n">
        <v>0</v>
      </c>
      <c r="L2050" t="n">
        <v>0.695</v>
      </c>
      <c r="M2050" t="n">
        <v>0.305</v>
      </c>
    </row>
    <row r="2051" spans="1:13">
      <c r="A2051" s="1">
        <f>HYPERLINK("http://www.twitter.com/NathanBLawrence/status/988785278620962816", "988785278620962816")</f>
        <v/>
      </c>
      <c r="B2051" s="2" t="n">
        <v>43214.59901620371</v>
      </c>
      <c r="C2051" t="n">
        <v>0</v>
      </c>
      <c r="D2051" t="n">
        <v>3167</v>
      </c>
      <c r="E2051" t="s">
        <v>2046</v>
      </c>
      <c r="F2051" t="s"/>
      <c r="G2051" t="s"/>
      <c r="H2051" t="s"/>
      <c r="I2051" t="s"/>
      <c r="J2051" t="n">
        <v>0</v>
      </c>
      <c r="K2051" t="n">
        <v>0</v>
      </c>
      <c r="L2051" t="n">
        <v>1</v>
      </c>
      <c r="M2051" t="n">
        <v>0</v>
      </c>
    </row>
    <row r="2052" spans="1:13">
      <c r="A2052" s="1">
        <f>HYPERLINK("http://www.twitter.com/NathanBLawrence/status/988784904535146497", "988784904535146497")</f>
        <v/>
      </c>
      <c r="B2052" s="2" t="n">
        <v>43214.59798611111</v>
      </c>
      <c r="C2052" t="n">
        <v>0</v>
      </c>
      <c r="D2052" t="n">
        <v>8500</v>
      </c>
      <c r="E2052" t="s">
        <v>2047</v>
      </c>
      <c r="F2052">
        <f>HYPERLINK("https://video.twimg.com/ext_tw_video/988779344368726016/pu/vid/480x480/u6jEnJq-oXydKDwN.mp4?tag=3", "https://video.twimg.com/ext_tw_video/988779344368726016/pu/vid/480x480/u6jEnJq-oXydKDwN.mp4?tag=3")</f>
        <v/>
      </c>
      <c r="G2052" t="s"/>
      <c r="H2052" t="s"/>
      <c r="I2052" t="s"/>
      <c r="J2052" t="n">
        <v>-0.8126</v>
      </c>
      <c r="K2052" t="n">
        <v>0.28</v>
      </c>
      <c r="L2052" t="n">
        <v>0.72</v>
      </c>
      <c r="M2052" t="n">
        <v>0</v>
      </c>
    </row>
    <row r="2053" spans="1:13">
      <c r="A2053" s="1">
        <f>HYPERLINK("http://www.twitter.com/NathanBLawrence/status/988784868816539648", "988784868816539648")</f>
        <v/>
      </c>
      <c r="B2053" s="2" t="n">
        <v>43214.59789351852</v>
      </c>
      <c r="C2053" t="n">
        <v>0</v>
      </c>
      <c r="D2053" t="n">
        <v>1</v>
      </c>
      <c r="E2053" t="s">
        <v>2048</v>
      </c>
      <c r="F2053" t="s"/>
      <c r="G2053" t="s"/>
      <c r="H2053" t="s"/>
      <c r="I2053" t="s"/>
      <c r="J2053" t="n">
        <v>0</v>
      </c>
      <c r="K2053" t="n">
        <v>0</v>
      </c>
      <c r="L2053" t="n">
        <v>1</v>
      </c>
      <c r="M2053" t="n">
        <v>0</v>
      </c>
    </row>
    <row r="2054" spans="1:13">
      <c r="A2054" s="1">
        <f>HYPERLINK("http://www.twitter.com/NathanBLawrence/status/988784755838803968", "988784755838803968")</f>
        <v/>
      </c>
      <c r="B2054" s="2" t="n">
        <v>43214.59758101852</v>
      </c>
      <c r="C2054" t="n">
        <v>9</v>
      </c>
      <c r="D2054" t="n">
        <v>4</v>
      </c>
      <c r="E2054" t="s">
        <v>2049</v>
      </c>
      <c r="F2054" t="s"/>
      <c r="G2054" t="s"/>
      <c r="H2054" t="s"/>
      <c r="I2054" t="s"/>
      <c r="J2054" t="n">
        <v>-0.6553</v>
      </c>
      <c r="K2054" t="n">
        <v>0.178</v>
      </c>
      <c r="L2054" t="n">
        <v>0.716</v>
      </c>
      <c r="M2054" t="n">
        <v>0.106</v>
      </c>
    </row>
    <row r="2055" spans="1:13">
      <c r="A2055" s="1">
        <f>HYPERLINK("http://www.twitter.com/NathanBLawrence/status/988783758047416321", "988783758047416321")</f>
        <v/>
      </c>
      <c r="B2055" s="2" t="n">
        <v>43214.59482638889</v>
      </c>
      <c r="C2055" t="n">
        <v>0</v>
      </c>
      <c r="D2055" t="n">
        <v>5</v>
      </c>
      <c r="E2055" t="s">
        <v>2050</v>
      </c>
      <c r="F2055" t="s"/>
      <c r="G2055" t="s"/>
      <c r="H2055" t="s"/>
      <c r="I2055" t="s"/>
      <c r="J2055" t="n">
        <v>0</v>
      </c>
      <c r="K2055" t="n">
        <v>0</v>
      </c>
      <c r="L2055" t="n">
        <v>1</v>
      </c>
      <c r="M2055" t="n">
        <v>0</v>
      </c>
    </row>
    <row r="2056" spans="1:13">
      <c r="A2056" s="1">
        <f>HYPERLINK("http://www.twitter.com/NathanBLawrence/status/988783379343728646", "988783379343728646")</f>
        <v/>
      </c>
      <c r="B2056" s="2" t="n">
        <v>43214.59377314815</v>
      </c>
      <c r="C2056" t="n">
        <v>0</v>
      </c>
      <c r="D2056" t="n">
        <v>6</v>
      </c>
      <c r="E2056" t="s">
        <v>2051</v>
      </c>
      <c r="F2056">
        <f>HYPERLINK("http://pbs.twimg.com/media/DbjcaB0U8AAAUlX.jpg", "http://pbs.twimg.com/media/DbjcaB0U8AAAUlX.jpg")</f>
        <v/>
      </c>
      <c r="G2056" t="s"/>
      <c r="H2056" t="s"/>
      <c r="I2056" t="s"/>
      <c r="J2056" t="n">
        <v>0</v>
      </c>
      <c r="K2056" t="n">
        <v>0</v>
      </c>
      <c r="L2056" t="n">
        <v>1</v>
      </c>
      <c r="M2056" t="n">
        <v>0</v>
      </c>
    </row>
    <row r="2057" spans="1:13">
      <c r="A2057" s="1">
        <f>HYPERLINK("http://www.twitter.com/NathanBLawrence/status/988783281142489088", "988783281142489088")</f>
        <v/>
      </c>
      <c r="B2057" s="2" t="n">
        <v>43214.59350694445</v>
      </c>
      <c r="C2057" t="n">
        <v>0</v>
      </c>
      <c r="D2057" t="n">
        <v>0</v>
      </c>
      <c r="E2057" t="s">
        <v>2052</v>
      </c>
      <c r="F2057" t="s"/>
      <c r="G2057" t="s"/>
      <c r="H2057" t="s"/>
      <c r="I2057" t="s"/>
      <c r="J2057" t="n">
        <v>0.1779</v>
      </c>
      <c r="K2057" t="n">
        <v>0.08400000000000001</v>
      </c>
      <c r="L2057" t="n">
        <v>0.804</v>
      </c>
      <c r="M2057" t="n">
        <v>0.112</v>
      </c>
    </row>
    <row r="2058" spans="1:13">
      <c r="A2058" s="1">
        <f>HYPERLINK("http://www.twitter.com/NathanBLawrence/status/988782686595702789", "988782686595702789")</f>
        <v/>
      </c>
      <c r="B2058" s="2" t="n">
        <v>43214.59186342593</v>
      </c>
      <c r="C2058" t="n">
        <v>0</v>
      </c>
      <c r="D2058" t="n">
        <v>17</v>
      </c>
      <c r="E2058" t="s">
        <v>2053</v>
      </c>
      <c r="F2058">
        <f>HYPERLINK("http://pbs.twimg.com/media/DbU7w_YU0AAeVpI.jpg", "http://pbs.twimg.com/media/DbU7w_YU0AAeVpI.jpg")</f>
        <v/>
      </c>
      <c r="G2058" t="s"/>
      <c r="H2058" t="s"/>
      <c r="I2058" t="s"/>
      <c r="J2058" t="n">
        <v>0.7178</v>
      </c>
      <c r="K2058" t="n">
        <v>0.07000000000000001</v>
      </c>
      <c r="L2058" t="n">
        <v>0.701</v>
      </c>
      <c r="M2058" t="n">
        <v>0.229</v>
      </c>
    </row>
    <row r="2059" spans="1:13">
      <c r="A2059" s="1">
        <f>HYPERLINK("http://www.twitter.com/NathanBLawrence/status/988782395708137472", "988782395708137472")</f>
        <v/>
      </c>
      <c r="B2059" s="2" t="n">
        <v>43214.59106481481</v>
      </c>
      <c r="C2059" t="n">
        <v>0</v>
      </c>
      <c r="D2059" t="n">
        <v>10</v>
      </c>
      <c r="E2059" t="s">
        <v>2054</v>
      </c>
      <c r="F2059" t="s"/>
      <c r="G2059" t="s"/>
      <c r="H2059" t="s"/>
      <c r="I2059" t="s"/>
      <c r="J2059" t="n">
        <v>0</v>
      </c>
      <c r="K2059" t="n">
        <v>0</v>
      </c>
      <c r="L2059" t="n">
        <v>1</v>
      </c>
      <c r="M2059" t="n">
        <v>0</v>
      </c>
    </row>
    <row r="2060" spans="1:13">
      <c r="A2060" s="1">
        <f>HYPERLINK("http://www.twitter.com/NathanBLawrence/status/988782280104730624", "988782280104730624")</f>
        <v/>
      </c>
      <c r="B2060" s="2" t="n">
        <v>43214.59074074074</v>
      </c>
      <c r="C2060" t="n">
        <v>0</v>
      </c>
      <c r="D2060" t="n">
        <v>4</v>
      </c>
      <c r="E2060" t="s">
        <v>2055</v>
      </c>
      <c r="F2060">
        <f>HYPERLINK("http://pbs.twimg.com/media/Dbf0oyfU8AA4Tbe.jpg", "http://pbs.twimg.com/media/Dbf0oyfU8AA4Tbe.jpg")</f>
        <v/>
      </c>
      <c r="G2060" t="s"/>
      <c r="H2060" t="s"/>
      <c r="I2060" t="s"/>
      <c r="J2060" t="n">
        <v>0</v>
      </c>
      <c r="K2060" t="n">
        <v>0</v>
      </c>
      <c r="L2060" t="n">
        <v>1</v>
      </c>
      <c r="M2060" t="n">
        <v>0</v>
      </c>
    </row>
    <row r="2061" spans="1:13">
      <c r="A2061" s="1">
        <f>HYPERLINK("http://www.twitter.com/NathanBLawrence/status/988782140073631751", "988782140073631751")</f>
        <v/>
      </c>
      <c r="B2061" s="2" t="n">
        <v>43214.5903587963</v>
      </c>
      <c r="C2061" t="n">
        <v>0</v>
      </c>
      <c r="D2061" t="n">
        <v>13</v>
      </c>
      <c r="E2061" t="s">
        <v>2056</v>
      </c>
      <c r="F2061">
        <f>HYPERLINK("http://pbs.twimg.com/media/Dbf3eRYV4AA_9vt.jpg", "http://pbs.twimg.com/media/Dbf3eRYV4AA_9vt.jpg")</f>
        <v/>
      </c>
      <c r="G2061" t="s"/>
      <c r="H2061" t="s"/>
      <c r="I2061" t="s"/>
      <c r="J2061" t="n">
        <v>-0.5719</v>
      </c>
      <c r="K2061" t="n">
        <v>0.144</v>
      </c>
      <c r="L2061" t="n">
        <v>0.856</v>
      </c>
      <c r="M2061" t="n">
        <v>0</v>
      </c>
    </row>
    <row r="2062" spans="1:13">
      <c r="A2062" s="1">
        <f>HYPERLINK("http://www.twitter.com/NathanBLawrence/status/988782091801387010", "988782091801387010")</f>
        <v/>
      </c>
      <c r="B2062" s="2" t="n">
        <v>43214.59023148148</v>
      </c>
      <c r="C2062" t="n">
        <v>0</v>
      </c>
      <c r="D2062" t="n">
        <v>3</v>
      </c>
      <c r="E2062" t="s">
        <v>2057</v>
      </c>
      <c r="F2062" t="s"/>
      <c r="G2062" t="s"/>
      <c r="H2062" t="s"/>
      <c r="I2062" t="s"/>
      <c r="J2062" t="n">
        <v>0.4926</v>
      </c>
      <c r="K2062" t="n">
        <v>0</v>
      </c>
      <c r="L2062" t="n">
        <v>0.758</v>
      </c>
      <c r="M2062" t="n">
        <v>0.242</v>
      </c>
    </row>
    <row r="2063" spans="1:13">
      <c r="A2063" s="1">
        <f>HYPERLINK("http://www.twitter.com/NathanBLawrence/status/988781952122736640", "988781952122736640")</f>
        <v/>
      </c>
      <c r="B2063" s="2" t="n">
        <v>43214.58983796297</v>
      </c>
      <c r="C2063" t="n">
        <v>0</v>
      </c>
      <c r="D2063" t="n">
        <v>12</v>
      </c>
      <c r="E2063" t="s">
        <v>2058</v>
      </c>
      <c r="F2063">
        <f>HYPERLINK("http://pbs.twimg.com/media/DbgQrEiUwAAt8Bc.jpg", "http://pbs.twimg.com/media/DbgQrEiUwAAt8Bc.jpg")</f>
        <v/>
      </c>
      <c r="G2063" t="s"/>
      <c r="H2063" t="s"/>
      <c r="I2063" t="s"/>
      <c r="J2063" t="n">
        <v>0.4404</v>
      </c>
      <c r="K2063" t="n">
        <v>0</v>
      </c>
      <c r="L2063" t="n">
        <v>0.854</v>
      </c>
      <c r="M2063" t="n">
        <v>0.146</v>
      </c>
    </row>
    <row r="2064" spans="1:13">
      <c r="A2064" s="1">
        <f>HYPERLINK("http://www.twitter.com/NathanBLawrence/status/988781924389974016", "988781924389974016")</f>
        <v/>
      </c>
      <c r="B2064" s="2" t="n">
        <v>43214.58976851852</v>
      </c>
      <c r="C2064" t="n">
        <v>0</v>
      </c>
      <c r="D2064" t="n">
        <v>14</v>
      </c>
      <c r="E2064" t="s">
        <v>2059</v>
      </c>
      <c r="F2064" t="s"/>
      <c r="G2064" t="s"/>
      <c r="H2064" t="s"/>
      <c r="I2064" t="s"/>
      <c r="J2064" t="n">
        <v>0</v>
      </c>
      <c r="K2064" t="n">
        <v>0</v>
      </c>
      <c r="L2064" t="n">
        <v>1</v>
      </c>
      <c r="M2064" t="n">
        <v>0</v>
      </c>
    </row>
    <row r="2065" spans="1:13">
      <c r="A2065" s="1">
        <f>HYPERLINK("http://www.twitter.com/NathanBLawrence/status/988781901279322112", "988781901279322112")</f>
        <v/>
      </c>
      <c r="B2065" s="2" t="n">
        <v>43214.58969907407</v>
      </c>
      <c r="C2065" t="n">
        <v>0</v>
      </c>
      <c r="D2065" t="n">
        <v>67</v>
      </c>
      <c r="E2065" t="s">
        <v>2060</v>
      </c>
      <c r="F2065" t="s"/>
      <c r="G2065" t="s"/>
      <c r="H2065" t="s"/>
      <c r="I2065" t="s"/>
      <c r="J2065" t="n">
        <v>0.5719</v>
      </c>
      <c r="K2065" t="n">
        <v>0</v>
      </c>
      <c r="L2065" t="n">
        <v>0.85</v>
      </c>
      <c r="M2065" t="n">
        <v>0.15</v>
      </c>
    </row>
    <row r="2066" spans="1:13">
      <c r="A2066" s="1">
        <f>HYPERLINK("http://www.twitter.com/NathanBLawrence/status/988781840025686016", "988781840025686016")</f>
        <v/>
      </c>
      <c r="B2066" s="2" t="n">
        <v>43214.58952546296</v>
      </c>
      <c r="C2066" t="n">
        <v>0</v>
      </c>
      <c r="D2066" t="n">
        <v>12</v>
      </c>
      <c r="E2066" t="s">
        <v>2061</v>
      </c>
      <c r="F2066">
        <f>HYPERLINK("http://pbs.twimg.com/media/DbgSkAiU0AA-c-f.jpg", "http://pbs.twimg.com/media/DbgSkAiU0AA-c-f.jpg")</f>
        <v/>
      </c>
      <c r="G2066" t="s"/>
      <c r="H2066" t="s"/>
      <c r="I2066" t="s"/>
      <c r="J2066" t="n">
        <v>0.4019</v>
      </c>
      <c r="K2066" t="n">
        <v>0</v>
      </c>
      <c r="L2066" t="n">
        <v>0.856</v>
      </c>
      <c r="M2066" t="n">
        <v>0.144</v>
      </c>
    </row>
    <row r="2067" spans="1:13">
      <c r="A2067" s="1">
        <f>HYPERLINK("http://www.twitter.com/NathanBLawrence/status/988781801912102917", "988781801912102917")</f>
        <v/>
      </c>
      <c r="B2067" s="2" t="n">
        <v>43214.5894212963</v>
      </c>
      <c r="C2067" t="n">
        <v>0</v>
      </c>
      <c r="D2067" t="n">
        <v>20</v>
      </c>
      <c r="E2067" t="s">
        <v>2062</v>
      </c>
      <c r="F2067" t="s"/>
      <c r="G2067" t="s"/>
      <c r="H2067" t="s"/>
      <c r="I2067" t="s"/>
      <c r="J2067" t="n">
        <v>-0.5994</v>
      </c>
      <c r="K2067" t="n">
        <v>0.197</v>
      </c>
      <c r="L2067" t="n">
        <v>0.803</v>
      </c>
      <c r="M2067" t="n">
        <v>0</v>
      </c>
    </row>
    <row r="2068" spans="1:13">
      <c r="A2068" s="1">
        <f>HYPERLINK("http://www.twitter.com/NathanBLawrence/status/988780993380339714", "988780993380339714")</f>
        <v/>
      </c>
      <c r="B2068" s="2" t="n">
        <v>43214.58719907407</v>
      </c>
      <c r="C2068" t="n">
        <v>1</v>
      </c>
      <c r="D2068" t="n">
        <v>0</v>
      </c>
      <c r="E2068" t="s">
        <v>2063</v>
      </c>
      <c r="F2068" t="s"/>
      <c r="G2068" t="s"/>
      <c r="H2068" t="s"/>
      <c r="I2068" t="s"/>
      <c r="J2068" t="n">
        <v>0.4926</v>
      </c>
      <c r="K2068" t="n">
        <v>0</v>
      </c>
      <c r="L2068" t="n">
        <v>0.842</v>
      </c>
      <c r="M2068" t="n">
        <v>0.158</v>
      </c>
    </row>
    <row r="2069" spans="1:13">
      <c r="A2069" s="1">
        <f>HYPERLINK("http://www.twitter.com/NathanBLawrence/status/988780684213878784", "988780684213878784")</f>
        <v/>
      </c>
      <c r="B2069" s="2" t="n">
        <v>43214.58634259259</v>
      </c>
      <c r="C2069" t="n">
        <v>2</v>
      </c>
      <c r="D2069" t="n">
        <v>0</v>
      </c>
      <c r="E2069" t="s">
        <v>2064</v>
      </c>
      <c r="F2069" t="s"/>
      <c r="G2069" t="s"/>
      <c r="H2069" t="s"/>
      <c r="I2069" t="s"/>
      <c r="J2069" t="n">
        <v>0.0387</v>
      </c>
      <c r="K2069" t="n">
        <v>0.068</v>
      </c>
      <c r="L2069" t="n">
        <v>0.846</v>
      </c>
      <c r="M2069" t="n">
        <v>0.08599999999999999</v>
      </c>
    </row>
    <row r="2070" spans="1:13">
      <c r="A2070" s="1">
        <f>HYPERLINK("http://www.twitter.com/NathanBLawrence/status/988780149058482177", "988780149058482177")</f>
        <v/>
      </c>
      <c r="B2070" s="2" t="n">
        <v>43214.58486111111</v>
      </c>
      <c r="C2070" t="n">
        <v>0</v>
      </c>
      <c r="D2070" t="n">
        <v>10</v>
      </c>
      <c r="E2070" t="s">
        <v>2065</v>
      </c>
      <c r="F2070" t="s"/>
      <c r="G2070" t="s"/>
      <c r="H2070" t="s"/>
      <c r="I2070" t="s"/>
      <c r="J2070" t="n">
        <v>0.2732</v>
      </c>
      <c r="K2070" t="n">
        <v>0</v>
      </c>
      <c r="L2070" t="n">
        <v>0.866</v>
      </c>
      <c r="M2070" t="n">
        <v>0.134</v>
      </c>
    </row>
    <row r="2071" spans="1:13">
      <c r="A2071" s="1">
        <f>HYPERLINK("http://www.twitter.com/NathanBLawrence/status/988779720388108288", "988779720388108288")</f>
        <v/>
      </c>
      <c r="B2071" s="2" t="n">
        <v>43214.58368055556</v>
      </c>
      <c r="C2071" t="n">
        <v>12</v>
      </c>
      <c r="D2071" t="n">
        <v>10</v>
      </c>
      <c r="E2071" t="s">
        <v>2066</v>
      </c>
      <c r="F2071" t="s"/>
      <c r="G2071" t="s"/>
      <c r="H2071" t="s"/>
      <c r="I2071" t="s"/>
      <c r="J2071" t="n">
        <v>0.3182</v>
      </c>
      <c r="K2071" t="n">
        <v>0.057</v>
      </c>
      <c r="L2071" t="n">
        <v>0.8179999999999999</v>
      </c>
      <c r="M2071" t="n">
        <v>0.125</v>
      </c>
    </row>
    <row r="2072" spans="1:13">
      <c r="A2072" s="1">
        <f>HYPERLINK("http://www.twitter.com/NathanBLawrence/status/988779401956528129", "988779401956528129")</f>
        <v/>
      </c>
      <c r="B2072" s="2" t="n">
        <v>43214.58280092593</v>
      </c>
      <c r="C2072" t="n">
        <v>5</v>
      </c>
      <c r="D2072" t="n">
        <v>0</v>
      </c>
      <c r="E2072" t="s">
        <v>2067</v>
      </c>
      <c r="F2072" t="s"/>
      <c r="G2072" t="s"/>
      <c r="H2072" t="s"/>
      <c r="I2072" t="s"/>
      <c r="J2072" t="n">
        <v>0.3182</v>
      </c>
      <c r="K2072" t="n">
        <v>0.058</v>
      </c>
      <c r="L2072" t="n">
        <v>0.8139999999999999</v>
      </c>
      <c r="M2072" t="n">
        <v>0.127</v>
      </c>
    </row>
    <row r="2073" spans="1:13">
      <c r="A2073" s="1">
        <f>HYPERLINK("http://www.twitter.com/NathanBLawrence/status/988778523312738304", "988778523312738304")</f>
        <v/>
      </c>
      <c r="B2073" s="2" t="n">
        <v>43214.58038194444</v>
      </c>
      <c r="C2073" t="n">
        <v>0</v>
      </c>
      <c r="D2073" t="n">
        <v>0</v>
      </c>
      <c r="E2073" t="s">
        <v>2068</v>
      </c>
      <c r="F2073" t="s"/>
      <c r="G2073" t="s"/>
      <c r="H2073" t="s"/>
      <c r="I2073" t="s"/>
      <c r="J2073" t="n">
        <v>0</v>
      </c>
      <c r="K2073" t="n">
        <v>0</v>
      </c>
      <c r="L2073" t="n">
        <v>1</v>
      </c>
      <c r="M2073" t="n">
        <v>0</v>
      </c>
    </row>
    <row r="2074" spans="1:13">
      <c r="A2074" s="1">
        <f>HYPERLINK("http://www.twitter.com/NathanBLawrence/status/988778442819764224", "988778442819764224")</f>
        <v/>
      </c>
      <c r="B2074" s="2" t="n">
        <v>43214.58016203704</v>
      </c>
      <c r="C2074" t="n">
        <v>0</v>
      </c>
      <c r="D2074" t="n">
        <v>188</v>
      </c>
      <c r="E2074" t="s">
        <v>2069</v>
      </c>
      <c r="F2074" t="s"/>
      <c r="G2074" t="s"/>
      <c r="H2074" t="s"/>
      <c r="I2074" t="s"/>
      <c r="J2074" t="n">
        <v>-0.34</v>
      </c>
      <c r="K2074" t="n">
        <v>0.179</v>
      </c>
      <c r="L2074" t="n">
        <v>0.821</v>
      </c>
      <c r="M2074" t="n">
        <v>0</v>
      </c>
    </row>
    <row r="2075" spans="1:13">
      <c r="A2075" s="1">
        <f>HYPERLINK("http://www.twitter.com/NathanBLawrence/status/988778419298144256", "988778419298144256")</f>
        <v/>
      </c>
      <c r="B2075" s="2" t="n">
        <v>43214.58009259259</v>
      </c>
      <c r="C2075" t="n">
        <v>0</v>
      </c>
      <c r="D2075" t="n">
        <v>60</v>
      </c>
      <c r="E2075" t="s">
        <v>2070</v>
      </c>
      <c r="F2075" t="s"/>
      <c r="G2075" t="s"/>
      <c r="H2075" t="s"/>
      <c r="I2075" t="s"/>
      <c r="J2075" t="n">
        <v>-0.6166</v>
      </c>
      <c r="K2075" t="n">
        <v>0.205</v>
      </c>
      <c r="L2075" t="n">
        <v>0.703</v>
      </c>
      <c r="M2075" t="n">
        <v>0.092</v>
      </c>
    </row>
    <row r="2076" spans="1:13">
      <c r="A2076" s="1">
        <f>HYPERLINK("http://www.twitter.com/NathanBLawrence/status/988777905466609664", "988777905466609664")</f>
        <v/>
      </c>
      <c r="B2076" s="2" t="n">
        <v>43214.57866898148</v>
      </c>
      <c r="C2076" t="n">
        <v>0</v>
      </c>
      <c r="D2076" t="n">
        <v>327</v>
      </c>
      <c r="E2076" t="s">
        <v>2071</v>
      </c>
      <c r="F2076" t="s"/>
      <c r="G2076" t="s"/>
      <c r="H2076" t="s"/>
      <c r="I2076" t="s"/>
      <c r="J2076" t="n">
        <v>0.1779</v>
      </c>
      <c r="K2076" t="n">
        <v>0.096</v>
      </c>
      <c r="L2076" t="n">
        <v>0.747</v>
      </c>
      <c r="M2076" t="n">
        <v>0.157</v>
      </c>
    </row>
    <row r="2077" spans="1:13">
      <c r="A2077" s="1">
        <f>HYPERLINK("http://www.twitter.com/NathanBLawrence/status/988777649194577921", "988777649194577921")</f>
        <v/>
      </c>
      <c r="B2077" s="2" t="n">
        <v>43214.57796296296</v>
      </c>
      <c r="C2077" t="n">
        <v>0</v>
      </c>
      <c r="D2077" t="n">
        <v>683</v>
      </c>
      <c r="E2077" t="s">
        <v>2072</v>
      </c>
      <c r="F2077" t="s"/>
      <c r="G2077" t="s"/>
      <c r="H2077" t="s"/>
      <c r="I2077" t="s"/>
      <c r="J2077" t="n">
        <v>0.1779</v>
      </c>
      <c r="K2077" t="n">
        <v>0.122</v>
      </c>
      <c r="L2077" t="n">
        <v>0.718</v>
      </c>
      <c r="M2077" t="n">
        <v>0.16</v>
      </c>
    </row>
    <row r="2078" spans="1:13">
      <c r="A2078" s="1">
        <f>HYPERLINK("http://www.twitter.com/NathanBLawrence/status/988777195152838658", "988777195152838658")</f>
        <v/>
      </c>
      <c r="B2078" s="2" t="n">
        <v>43214.57671296296</v>
      </c>
      <c r="C2078" t="n">
        <v>0</v>
      </c>
      <c r="D2078" t="n">
        <v>13012</v>
      </c>
      <c r="E2078" t="s">
        <v>2073</v>
      </c>
      <c r="F2078" t="s"/>
      <c r="G2078" t="s"/>
      <c r="H2078" t="s"/>
      <c r="I2078" t="s"/>
      <c r="J2078" t="n">
        <v>0.3182</v>
      </c>
      <c r="K2078" t="n">
        <v>0</v>
      </c>
      <c r="L2078" t="n">
        <v>0.905</v>
      </c>
      <c r="M2078" t="n">
        <v>0.095</v>
      </c>
    </row>
    <row r="2079" spans="1:13">
      <c r="A2079" s="1">
        <f>HYPERLINK("http://www.twitter.com/NathanBLawrence/status/988777163833868288", "988777163833868288")</f>
        <v/>
      </c>
      <c r="B2079" s="2" t="n">
        <v>43214.57663194444</v>
      </c>
      <c r="C2079" t="n">
        <v>0</v>
      </c>
      <c r="D2079" t="n">
        <v>1331</v>
      </c>
      <c r="E2079" t="s">
        <v>2074</v>
      </c>
      <c r="F2079">
        <f>HYPERLINK("http://pbs.twimg.com/media/DbhWZgmX4AEcYLB.jpg", "http://pbs.twimg.com/media/DbhWZgmX4AEcYLB.jpg")</f>
        <v/>
      </c>
      <c r="G2079" t="s"/>
      <c r="H2079" t="s"/>
      <c r="I2079" t="s"/>
      <c r="J2079" t="n">
        <v>0.883</v>
      </c>
      <c r="K2079" t="n">
        <v>0</v>
      </c>
      <c r="L2079" t="n">
        <v>0.609</v>
      </c>
      <c r="M2079" t="n">
        <v>0.391</v>
      </c>
    </row>
    <row r="2080" spans="1:13">
      <c r="A2080" s="1">
        <f>HYPERLINK("http://www.twitter.com/NathanBLawrence/status/988777105516359680", "988777105516359680")</f>
        <v/>
      </c>
      <c r="B2080" s="2" t="n">
        <v>43214.57646990741</v>
      </c>
      <c r="C2080" t="n">
        <v>0</v>
      </c>
      <c r="D2080" t="n">
        <v>0</v>
      </c>
      <c r="E2080" t="s">
        <v>2075</v>
      </c>
      <c r="F2080" t="s"/>
      <c r="G2080" t="s"/>
      <c r="H2080" t="s"/>
      <c r="I2080" t="s"/>
      <c r="J2080" t="n">
        <v>0.2023</v>
      </c>
      <c r="K2080" t="n">
        <v>0</v>
      </c>
      <c r="L2080" t="n">
        <v>0.9350000000000001</v>
      </c>
      <c r="M2080" t="n">
        <v>0.065</v>
      </c>
    </row>
    <row r="2081" spans="1:13">
      <c r="A2081" s="1">
        <f>HYPERLINK("http://www.twitter.com/NathanBLawrence/status/988776826381234176", "988776826381234176")</f>
        <v/>
      </c>
      <c r="B2081" s="2" t="n">
        <v>43214.57569444444</v>
      </c>
      <c r="C2081" t="n">
        <v>0</v>
      </c>
      <c r="D2081" t="n">
        <v>1</v>
      </c>
      <c r="E2081" t="s">
        <v>2076</v>
      </c>
      <c r="F2081" t="s"/>
      <c r="G2081" t="s"/>
      <c r="H2081" t="s"/>
      <c r="I2081" t="s"/>
      <c r="J2081" t="n">
        <v>0.6249</v>
      </c>
      <c r="K2081" t="n">
        <v>0</v>
      </c>
      <c r="L2081" t="n">
        <v>0.823</v>
      </c>
      <c r="M2081" t="n">
        <v>0.177</v>
      </c>
    </row>
    <row r="2082" spans="1:13">
      <c r="A2082" s="1">
        <f>HYPERLINK("http://www.twitter.com/NathanBLawrence/status/988776810333851651", "988776810333851651")</f>
        <v/>
      </c>
      <c r="B2082" s="2" t="n">
        <v>43214.57564814815</v>
      </c>
      <c r="C2082" t="n">
        <v>0</v>
      </c>
      <c r="D2082" t="n">
        <v>2</v>
      </c>
      <c r="E2082" t="s">
        <v>2077</v>
      </c>
      <c r="F2082" t="s"/>
      <c r="G2082" t="s"/>
      <c r="H2082" t="s"/>
      <c r="I2082" t="s"/>
      <c r="J2082" t="n">
        <v>-0.296</v>
      </c>
      <c r="K2082" t="n">
        <v>0.109</v>
      </c>
      <c r="L2082" t="n">
        <v>0.891</v>
      </c>
      <c r="M2082" t="n">
        <v>0</v>
      </c>
    </row>
    <row r="2083" spans="1:13">
      <c r="A2083" s="1">
        <f>HYPERLINK("http://www.twitter.com/NathanBLawrence/status/988776789991403522", "988776789991403522")</f>
        <v/>
      </c>
      <c r="B2083" s="2" t="n">
        <v>43214.57559027777</v>
      </c>
      <c r="C2083" t="n">
        <v>0</v>
      </c>
      <c r="D2083" t="n">
        <v>2</v>
      </c>
      <c r="E2083" t="s">
        <v>2078</v>
      </c>
      <c r="F2083" t="s"/>
      <c r="G2083" t="s"/>
      <c r="H2083" t="s"/>
      <c r="I2083" t="s"/>
      <c r="J2083" t="n">
        <v>0</v>
      </c>
      <c r="K2083" t="n">
        <v>0</v>
      </c>
      <c r="L2083" t="n">
        <v>1</v>
      </c>
      <c r="M2083" t="n">
        <v>0</v>
      </c>
    </row>
    <row r="2084" spans="1:13">
      <c r="A2084" s="1">
        <f>HYPERLINK("http://www.twitter.com/NathanBLawrence/status/988776728083484672", "988776728083484672")</f>
        <v/>
      </c>
      <c r="B2084" s="2" t="n">
        <v>43214.57542824074</v>
      </c>
      <c r="C2084" t="n">
        <v>0</v>
      </c>
      <c r="D2084" t="n">
        <v>4</v>
      </c>
      <c r="E2084" t="s">
        <v>2079</v>
      </c>
      <c r="F2084" t="s"/>
      <c r="G2084" t="s"/>
      <c r="H2084" t="s"/>
      <c r="I2084" t="s"/>
      <c r="J2084" t="n">
        <v>0</v>
      </c>
      <c r="K2084" t="n">
        <v>0</v>
      </c>
      <c r="L2084" t="n">
        <v>1</v>
      </c>
      <c r="M2084" t="n">
        <v>0</v>
      </c>
    </row>
    <row r="2085" spans="1:13">
      <c r="A2085" s="1">
        <f>HYPERLINK("http://www.twitter.com/NathanBLawrence/status/988776693946085376", "988776693946085376")</f>
        <v/>
      </c>
      <c r="B2085" s="2" t="n">
        <v>43214.57533564815</v>
      </c>
      <c r="C2085" t="n">
        <v>0</v>
      </c>
      <c r="D2085" t="n">
        <v>3</v>
      </c>
      <c r="E2085" t="s">
        <v>2080</v>
      </c>
      <c r="F2085" t="s"/>
      <c r="G2085" t="s"/>
      <c r="H2085" t="s"/>
      <c r="I2085" t="s"/>
      <c r="J2085" t="n">
        <v>0.3182</v>
      </c>
      <c r="K2085" t="n">
        <v>0</v>
      </c>
      <c r="L2085" t="n">
        <v>0.909</v>
      </c>
      <c r="M2085" t="n">
        <v>0.091</v>
      </c>
    </row>
    <row r="2086" spans="1:13">
      <c r="A2086" s="1">
        <f>HYPERLINK("http://www.twitter.com/NathanBLawrence/status/988776669577138176", "988776669577138176")</f>
        <v/>
      </c>
      <c r="B2086" s="2" t="n">
        <v>43214.5752662037</v>
      </c>
      <c r="C2086" t="n">
        <v>0</v>
      </c>
      <c r="D2086" t="n">
        <v>7</v>
      </c>
      <c r="E2086" t="s">
        <v>2081</v>
      </c>
      <c r="F2086" t="s"/>
      <c r="G2086" t="s"/>
      <c r="H2086" t="s"/>
      <c r="I2086" t="s"/>
      <c r="J2086" t="n">
        <v>0.3612</v>
      </c>
      <c r="K2086" t="n">
        <v>0</v>
      </c>
      <c r="L2086" t="n">
        <v>0.894</v>
      </c>
      <c r="M2086" t="n">
        <v>0.106</v>
      </c>
    </row>
    <row r="2087" spans="1:13">
      <c r="A2087" s="1">
        <f>HYPERLINK("http://www.twitter.com/NathanBLawrence/status/988776576413327360", "988776576413327360")</f>
        <v/>
      </c>
      <c r="B2087" s="2" t="n">
        <v>43214.57501157407</v>
      </c>
      <c r="C2087" t="n">
        <v>0</v>
      </c>
      <c r="D2087" t="n">
        <v>836</v>
      </c>
      <c r="E2087" t="s">
        <v>2082</v>
      </c>
      <c r="F2087" t="s"/>
      <c r="G2087" t="s"/>
      <c r="H2087" t="s"/>
      <c r="I2087" t="s"/>
      <c r="J2087" t="n">
        <v>0.2206</v>
      </c>
      <c r="K2087" t="n">
        <v>0.101</v>
      </c>
      <c r="L2087" t="n">
        <v>0.732</v>
      </c>
      <c r="M2087" t="n">
        <v>0.167</v>
      </c>
    </row>
    <row r="2088" spans="1:13">
      <c r="A2088" s="1">
        <f>HYPERLINK("http://www.twitter.com/NathanBLawrence/status/988776414341160965", "988776414341160965")</f>
        <v/>
      </c>
      <c r="B2088" s="2" t="n">
        <v>43214.57456018519</v>
      </c>
      <c r="C2088" t="n">
        <v>0</v>
      </c>
      <c r="D2088" t="n">
        <v>10573</v>
      </c>
      <c r="E2088" t="s">
        <v>2083</v>
      </c>
      <c r="F2088" t="s"/>
      <c r="G2088" t="s"/>
      <c r="H2088" t="s"/>
      <c r="I2088" t="s"/>
      <c r="J2088" t="n">
        <v>0.4939</v>
      </c>
      <c r="K2088" t="n">
        <v>0</v>
      </c>
      <c r="L2088" t="n">
        <v>0.824</v>
      </c>
      <c r="M2088" t="n">
        <v>0.176</v>
      </c>
    </row>
    <row r="2089" spans="1:13">
      <c r="A2089" s="1">
        <f>HYPERLINK("http://www.twitter.com/NathanBLawrence/status/988776310603382784", "988776310603382784")</f>
        <v/>
      </c>
      <c r="B2089" s="2" t="n">
        <v>43214.57427083333</v>
      </c>
      <c r="C2089" t="n">
        <v>0</v>
      </c>
      <c r="D2089" t="n">
        <v>3967</v>
      </c>
      <c r="E2089" t="s">
        <v>2084</v>
      </c>
      <c r="F2089" t="s"/>
      <c r="G2089" t="s"/>
      <c r="H2089" t="s"/>
      <c r="I2089" t="s"/>
      <c r="J2089" t="n">
        <v>0.4019</v>
      </c>
      <c r="K2089" t="n">
        <v>0</v>
      </c>
      <c r="L2089" t="n">
        <v>0.6899999999999999</v>
      </c>
      <c r="M2089" t="n">
        <v>0.31</v>
      </c>
    </row>
    <row r="2090" spans="1:13">
      <c r="A2090" s="1">
        <f>HYPERLINK("http://www.twitter.com/NathanBLawrence/status/988776202126135296", "988776202126135296")</f>
        <v/>
      </c>
      <c r="B2090" s="2" t="n">
        <v>43214.5739699074</v>
      </c>
      <c r="C2090" t="n">
        <v>0</v>
      </c>
      <c r="D2090" t="n">
        <v>3898</v>
      </c>
      <c r="E2090" t="s">
        <v>2085</v>
      </c>
      <c r="F2090" t="s"/>
      <c r="G2090" t="s"/>
      <c r="H2090" t="s"/>
      <c r="I2090" t="s"/>
      <c r="J2090" t="n">
        <v>0.4019</v>
      </c>
      <c r="K2090" t="n">
        <v>0</v>
      </c>
      <c r="L2090" t="n">
        <v>0.899</v>
      </c>
      <c r="M2090" t="n">
        <v>0.101</v>
      </c>
    </row>
    <row r="2091" spans="1:13">
      <c r="A2091" s="1">
        <f>HYPERLINK("http://www.twitter.com/NathanBLawrence/status/988776152230658049", "988776152230658049")</f>
        <v/>
      </c>
      <c r="B2091" s="2" t="n">
        <v>43214.57383101852</v>
      </c>
      <c r="C2091" t="n">
        <v>0</v>
      </c>
      <c r="D2091" t="n">
        <v>4640</v>
      </c>
      <c r="E2091" t="s">
        <v>2086</v>
      </c>
      <c r="F2091" t="s"/>
      <c r="G2091" t="s"/>
      <c r="H2091" t="s"/>
      <c r="I2091" t="s"/>
      <c r="J2091" t="n">
        <v>0</v>
      </c>
      <c r="K2091" t="n">
        <v>0</v>
      </c>
      <c r="L2091" t="n">
        <v>1</v>
      </c>
      <c r="M2091" t="n">
        <v>0</v>
      </c>
    </row>
    <row r="2092" spans="1:13">
      <c r="A2092" s="1">
        <f>HYPERLINK("http://www.twitter.com/NathanBLawrence/status/988776039617835008", "988776039617835008")</f>
        <v/>
      </c>
      <c r="B2092" s="2" t="n">
        <v>43214.5735300926</v>
      </c>
      <c r="C2092" t="n">
        <v>0</v>
      </c>
      <c r="D2092" t="n">
        <v>58</v>
      </c>
      <c r="E2092" t="s">
        <v>2087</v>
      </c>
      <c r="F2092" t="s"/>
      <c r="G2092" t="s"/>
      <c r="H2092" t="s"/>
      <c r="I2092" t="s"/>
      <c r="J2092" t="n">
        <v>-0.5719</v>
      </c>
      <c r="K2092" t="n">
        <v>0.27</v>
      </c>
      <c r="L2092" t="n">
        <v>0.73</v>
      </c>
      <c r="M2092" t="n">
        <v>0</v>
      </c>
    </row>
    <row r="2093" spans="1:13">
      <c r="A2093" s="1">
        <f>HYPERLINK("http://www.twitter.com/NathanBLawrence/status/988776014925922305", "988776014925922305")</f>
        <v/>
      </c>
      <c r="B2093" s="2" t="n">
        <v>43214.57346064815</v>
      </c>
      <c r="C2093" t="n">
        <v>0</v>
      </c>
      <c r="D2093" t="n">
        <v>33</v>
      </c>
      <c r="E2093" t="s">
        <v>2088</v>
      </c>
      <c r="F2093" t="s"/>
      <c r="G2093" t="s"/>
      <c r="H2093" t="s"/>
      <c r="I2093" t="s"/>
      <c r="J2093" t="n">
        <v>-0.5719</v>
      </c>
      <c r="K2093" t="n">
        <v>0.346</v>
      </c>
      <c r="L2093" t="n">
        <v>0.654</v>
      </c>
      <c r="M2093" t="n">
        <v>0</v>
      </c>
    </row>
    <row r="2094" spans="1:13">
      <c r="A2094" s="1">
        <f>HYPERLINK("http://www.twitter.com/NathanBLawrence/status/988775979492478977", "988775979492478977")</f>
        <v/>
      </c>
      <c r="B2094" s="2" t="n">
        <v>43214.57335648148</v>
      </c>
      <c r="C2094" t="n">
        <v>3</v>
      </c>
      <c r="D2094" t="n">
        <v>0</v>
      </c>
      <c r="E2094" t="s">
        <v>2089</v>
      </c>
      <c r="F2094">
        <f>HYPERLINK("http://pbs.twimg.com/media/DbjWgmCVMAALY5p.jpg", "http://pbs.twimg.com/media/DbjWgmCVMAALY5p.jpg")</f>
        <v/>
      </c>
      <c r="G2094" t="s"/>
      <c r="H2094" t="s"/>
      <c r="I2094" t="s"/>
      <c r="J2094" t="n">
        <v>0</v>
      </c>
      <c r="K2094" t="n">
        <v>0</v>
      </c>
      <c r="L2094" t="n">
        <v>1</v>
      </c>
      <c r="M2094" t="n">
        <v>0</v>
      </c>
    </row>
    <row r="2095" spans="1:13">
      <c r="A2095" s="1">
        <f>HYPERLINK("http://www.twitter.com/NathanBLawrence/status/988775787385016320", "988775787385016320")</f>
        <v/>
      </c>
      <c r="B2095" s="2" t="n">
        <v>43214.57282407407</v>
      </c>
      <c r="C2095" t="n">
        <v>0</v>
      </c>
      <c r="D2095" t="n">
        <v>3</v>
      </c>
      <c r="E2095" t="s">
        <v>2090</v>
      </c>
      <c r="F2095">
        <f>HYPERLINK("http://pbs.twimg.com/media/DbjSe1VUwAEQUyx.jpg", "http://pbs.twimg.com/media/DbjSe1VUwAEQUyx.jpg")</f>
        <v/>
      </c>
      <c r="G2095" t="s"/>
      <c r="H2095" t="s"/>
      <c r="I2095" t="s"/>
      <c r="J2095" t="n">
        <v>0.0772</v>
      </c>
      <c r="K2095" t="n">
        <v>0</v>
      </c>
      <c r="L2095" t="n">
        <v>0.929</v>
      </c>
      <c r="M2095" t="n">
        <v>0.07099999999999999</v>
      </c>
    </row>
    <row r="2096" spans="1:13">
      <c r="A2096" s="1">
        <f>HYPERLINK("http://www.twitter.com/NathanBLawrence/status/988775734016651264", "988775734016651264")</f>
        <v/>
      </c>
      <c r="B2096" s="2" t="n">
        <v>43214.57268518519</v>
      </c>
      <c r="C2096" t="n">
        <v>1</v>
      </c>
      <c r="D2096" t="n">
        <v>0</v>
      </c>
      <c r="E2096" t="s">
        <v>2091</v>
      </c>
      <c r="F2096" t="s"/>
      <c r="G2096" t="s"/>
      <c r="H2096" t="s"/>
      <c r="I2096" t="s"/>
      <c r="J2096" t="n">
        <v>-0.4215</v>
      </c>
      <c r="K2096" t="n">
        <v>0.219</v>
      </c>
      <c r="L2096" t="n">
        <v>0.781</v>
      </c>
      <c r="M2096" t="n">
        <v>0</v>
      </c>
    </row>
    <row r="2097" spans="1:13">
      <c r="A2097" s="1">
        <f>HYPERLINK("http://www.twitter.com/NathanBLawrence/status/988775362804011009", "988775362804011009")</f>
        <v/>
      </c>
      <c r="B2097" s="2" t="n">
        <v>43214.57165509259</v>
      </c>
      <c r="C2097" t="n">
        <v>0</v>
      </c>
      <c r="D2097" t="n">
        <v>7</v>
      </c>
      <c r="E2097" t="s">
        <v>2092</v>
      </c>
      <c r="F2097" t="s"/>
      <c r="G2097" t="s"/>
      <c r="H2097" t="s"/>
      <c r="I2097" t="s"/>
      <c r="J2097" t="n">
        <v>0</v>
      </c>
      <c r="K2097" t="n">
        <v>0</v>
      </c>
      <c r="L2097" t="n">
        <v>1</v>
      </c>
      <c r="M2097" t="n">
        <v>0</v>
      </c>
    </row>
    <row r="2098" spans="1:13">
      <c r="A2098" s="1">
        <f>HYPERLINK("http://www.twitter.com/NathanBLawrence/status/988775309980917766", "988775309980917766")</f>
        <v/>
      </c>
      <c r="B2098" s="2" t="n">
        <v>43214.5715162037</v>
      </c>
      <c r="C2098" t="n">
        <v>0</v>
      </c>
      <c r="D2098" t="n">
        <v>1</v>
      </c>
      <c r="E2098" t="s">
        <v>2093</v>
      </c>
      <c r="F2098">
        <f>HYPERLINK("http://pbs.twimg.com/media/DbjSzEAUQAYvIed.jpg", "http://pbs.twimg.com/media/DbjSzEAUQAYvIed.jpg")</f>
        <v/>
      </c>
      <c r="G2098" t="s"/>
      <c r="H2098" t="s"/>
      <c r="I2098" t="s"/>
      <c r="J2098" t="n">
        <v>-0.5423</v>
      </c>
      <c r="K2098" t="n">
        <v>0.226</v>
      </c>
      <c r="L2098" t="n">
        <v>0.774</v>
      </c>
      <c r="M2098" t="n">
        <v>0</v>
      </c>
    </row>
    <row r="2099" spans="1:13">
      <c r="A2099" s="1">
        <f>HYPERLINK("http://www.twitter.com/NathanBLawrence/status/988775288560594944", "988775288560594944")</f>
        <v/>
      </c>
      <c r="B2099" s="2" t="n">
        <v>43214.57145833333</v>
      </c>
      <c r="C2099" t="n">
        <v>0</v>
      </c>
      <c r="D2099" t="n">
        <v>1</v>
      </c>
      <c r="E2099" t="s">
        <v>2094</v>
      </c>
      <c r="F2099" t="s"/>
      <c r="G2099" t="s"/>
      <c r="H2099" t="s"/>
      <c r="I2099" t="s"/>
      <c r="J2099" t="n">
        <v>0.5106000000000001</v>
      </c>
      <c r="K2099" t="n">
        <v>0</v>
      </c>
      <c r="L2099" t="n">
        <v>0.864</v>
      </c>
      <c r="M2099" t="n">
        <v>0.136</v>
      </c>
    </row>
    <row r="2100" spans="1:13">
      <c r="A2100" s="1">
        <f>HYPERLINK("http://www.twitter.com/NathanBLawrence/status/988775245195694080", "988775245195694080")</f>
        <v/>
      </c>
      <c r="B2100" s="2" t="n">
        <v>43214.57133101852</v>
      </c>
      <c r="C2100" t="n">
        <v>0</v>
      </c>
      <c r="D2100" t="n">
        <v>19</v>
      </c>
      <c r="E2100" t="s">
        <v>2095</v>
      </c>
      <c r="F2100" t="s"/>
      <c r="G2100" t="s"/>
      <c r="H2100" t="s"/>
      <c r="I2100" t="s"/>
      <c r="J2100" t="n">
        <v>-0.7959000000000001</v>
      </c>
      <c r="K2100" t="n">
        <v>0.31</v>
      </c>
      <c r="L2100" t="n">
        <v>0.6899999999999999</v>
      </c>
      <c r="M2100" t="n">
        <v>0</v>
      </c>
    </row>
    <row r="2101" spans="1:13">
      <c r="A2101" s="1">
        <f>HYPERLINK("http://www.twitter.com/NathanBLawrence/status/988774938306924549", "988774938306924549")</f>
        <v/>
      </c>
      <c r="B2101" s="2" t="n">
        <v>43214.57048611111</v>
      </c>
      <c r="C2101" t="n">
        <v>0</v>
      </c>
      <c r="D2101" t="n">
        <v>640</v>
      </c>
      <c r="E2101" t="s">
        <v>2096</v>
      </c>
      <c r="F2101">
        <f>HYPERLINK("http://pbs.twimg.com/media/DbacSObV0AAUkAI.jpg", "http://pbs.twimg.com/media/DbacSObV0AAUkAI.jpg")</f>
        <v/>
      </c>
      <c r="G2101" t="s"/>
      <c r="H2101" t="s"/>
      <c r="I2101" t="s"/>
      <c r="J2101" t="n">
        <v>-0.8176</v>
      </c>
      <c r="K2101" t="n">
        <v>0.517</v>
      </c>
      <c r="L2101" t="n">
        <v>0.483</v>
      </c>
      <c r="M2101" t="n">
        <v>0</v>
      </c>
    </row>
    <row r="2102" spans="1:13">
      <c r="A2102" s="1">
        <f>HYPERLINK("http://www.twitter.com/NathanBLawrence/status/988774868207505409", "988774868207505409")</f>
        <v/>
      </c>
      <c r="B2102" s="2" t="n">
        <v>43214.57028935185</v>
      </c>
      <c r="C2102" t="n">
        <v>0</v>
      </c>
      <c r="D2102" t="n">
        <v>769</v>
      </c>
      <c r="E2102" t="s">
        <v>2097</v>
      </c>
      <c r="F2102">
        <f>HYPERLINK("http://pbs.twimg.com/media/DbhRH6zW4AE61no.jpg", "http://pbs.twimg.com/media/DbhRH6zW4AE61no.jpg")</f>
        <v/>
      </c>
      <c r="G2102">
        <f>HYPERLINK("http://pbs.twimg.com/media/DbhRH6PXUAA2goP.jpg", "http://pbs.twimg.com/media/DbhRH6PXUAA2goP.jpg")</f>
        <v/>
      </c>
      <c r="H2102" t="s"/>
      <c r="I2102" t="s"/>
      <c r="J2102" t="n">
        <v>0</v>
      </c>
      <c r="K2102" t="n">
        <v>0</v>
      </c>
      <c r="L2102" t="n">
        <v>1</v>
      </c>
      <c r="M2102" t="n">
        <v>0</v>
      </c>
    </row>
    <row r="2103" spans="1:13">
      <c r="A2103" s="1">
        <f>HYPERLINK("http://www.twitter.com/NathanBLawrence/status/988774777878872064", "988774777878872064")</f>
        <v/>
      </c>
      <c r="B2103" s="2" t="n">
        <v>43214.5700462963</v>
      </c>
      <c r="C2103" t="n">
        <v>0</v>
      </c>
      <c r="D2103" t="n">
        <v>1515</v>
      </c>
      <c r="E2103" t="s">
        <v>2098</v>
      </c>
      <c r="F2103">
        <f>HYPERLINK("http://pbs.twimg.com/media/DbgJRCGX0AATsUG.jpg", "http://pbs.twimg.com/media/DbgJRCGX0AATsUG.jpg")</f>
        <v/>
      </c>
      <c r="G2103" t="s"/>
      <c r="H2103" t="s"/>
      <c r="I2103" t="s"/>
      <c r="J2103" t="n">
        <v>0</v>
      </c>
      <c r="K2103" t="n">
        <v>0</v>
      </c>
      <c r="L2103" t="n">
        <v>1</v>
      </c>
      <c r="M2103" t="n">
        <v>0</v>
      </c>
    </row>
    <row r="2104" spans="1:13">
      <c r="A2104" s="1">
        <f>HYPERLINK("http://www.twitter.com/NathanBLawrence/status/988774296972677120", "988774296972677120")</f>
        <v/>
      </c>
      <c r="B2104" s="2" t="n">
        <v>43214.56871527778</v>
      </c>
      <c r="C2104" t="n">
        <v>0</v>
      </c>
      <c r="D2104" t="n">
        <v>7</v>
      </c>
      <c r="E2104" t="s">
        <v>2099</v>
      </c>
      <c r="F2104" t="s"/>
      <c r="G2104" t="s"/>
      <c r="H2104" t="s"/>
      <c r="I2104" t="s"/>
      <c r="J2104" t="n">
        <v>0</v>
      </c>
      <c r="K2104" t="n">
        <v>0</v>
      </c>
      <c r="L2104" t="n">
        <v>1</v>
      </c>
      <c r="M2104" t="n">
        <v>0</v>
      </c>
    </row>
    <row r="2105" spans="1:13">
      <c r="A2105" s="1">
        <f>HYPERLINK("http://www.twitter.com/NathanBLawrence/status/988774205503229954", "988774205503229954")</f>
        <v/>
      </c>
      <c r="B2105" s="2" t="n">
        <v>43214.56846064814</v>
      </c>
      <c r="C2105" t="n">
        <v>0</v>
      </c>
      <c r="D2105" t="n">
        <v>0</v>
      </c>
      <c r="E2105" t="s">
        <v>2100</v>
      </c>
      <c r="F2105" t="s"/>
      <c r="G2105" t="s"/>
      <c r="H2105" t="s"/>
      <c r="I2105" t="s"/>
      <c r="J2105" t="n">
        <v>-0.6808</v>
      </c>
      <c r="K2105" t="n">
        <v>0.329</v>
      </c>
      <c r="L2105" t="n">
        <v>0.5590000000000001</v>
      </c>
      <c r="M2105" t="n">
        <v>0.112</v>
      </c>
    </row>
    <row r="2106" spans="1:13">
      <c r="A2106" s="1">
        <f>HYPERLINK("http://www.twitter.com/NathanBLawrence/status/988773910152929285", "988773910152929285")</f>
        <v/>
      </c>
      <c r="B2106" s="2" t="n">
        <v>43214.56765046297</v>
      </c>
      <c r="C2106" t="n">
        <v>0</v>
      </c>
      <c r="D2106" t="n">
        <v>11</v>
      </c>
      <c r="E2106" t="s">
        <v>2101</v>
      </c>
      <c r="F2106">
        <f>HYPERLINK("http://pbs.twimg.com/media/DbjTbPEUQAExp25.jpg", "http://pbs.twimg.com/media/DbjTbPEUQAExp25.jpg")</f>
        <v/>
      </c>
      <c r="G2106">
        <f>HYPERLINK("http://pbs.twimg.com/media/DbjTbO8U8AEQhWv.jpg", "http://pbs.twimg.com/media/DbjTbO8U8AEQhWv.jpg")</f>
        <v/>
      </c>
      <c r="H2106" t="s"/>
      <c r="I2106" t="s"/>
      <c r="J2106" t="n">
        <v>0.5709</v>
      </c>
      <c r="K2106" t="n">
        <v>0</v>
      </c>
      <c r="L2106" t="n">
        <v>0.831</v>
      </c>
      <c r="M2106" t="n">
        <v>0.169</v>
      </c>
    </row>
    <row r="2107" spans="1:13">
      <c r="A2107" s="1">
        <f>HYPERLINK("http://www.twitter.com/NathanBLawrence/status/988773811368747009", "988773811368747009")</f>
        <v/>
      </c>
      <c r="B2107" s="2" t="n">
        <v>43214.56737268518</v>
      </c>
      <c r="C2107" t="n">
        <v>0</v>
      </c>
      <c r="D2107" t="n">
        <v>14</v>
      </c>
      <c r="E2107" t="s">
        <v>2102</v>
      </c>
      <c r="F2107">
        <f>HYPERLINK("http://pbs.twimg.com/media/DbjSvMRVQAEvz_u.jpg", "http://pbs.twimg.com/media/DbjSvMRVQAEvz_u.jpg")</f>
        <v/>
      </c>
      <c r="G2107" t="s"/>
      <c r="H2107" t="s"/>
      <c r="I2107" t="s"/>
      <c r="J2107" t="n">
        <v>0.6369</v>
      </c>
      <c r="K2107" t="n">
        <v>0.089</v>
      </c>
      <c r="L2107" t="n">
        <v>0.674</v>
      </c>
      <c r="M2107" t="n">
        <v>0.238</v>
      </c>
    </row>
    <row r="2108" spans="1:13">
      <c r="A2108" s="1">
        <f>HYPERLINK("http://www.twitter.com/NathanBLawrence/status/988772588640972801", "988772588640972801")</f>
        <v/>
      </c>
      <c r="B2108" s="2" t="n">
        <v>43214.56400462963</v>
      </c>
      <c r="C2108" t="n">
        <v>13</v>
      </c>
      <c r="D2108" t="n">
        <v>11</v>
      </c>
      <c r="E2108" t="s">
        <v>2103</v>
      </c>
      <c r="F2108">
        <f>HYPERLINK("http://pbs.twimg.com/media/DbjTbPEUQAExp25.jpg", "http://pbs.twimg.com/media/DbjTbPEUQAExp25.jpg")</f>
        <v/>
      </c>
      <c r="G2108">
        <f>HYPERLINK("http://pbs.twimg.com/media/DbjTbO8U8AEQhWv.jpg", "http://pbs.twimg.com/media/DbjTbO8U8AEQhWv.jpg")</f>
        <v/>
      </c>
      <c r="H2108" t="s"/>
      <c r="I2108" t="s"/>
      <c r="J2108" t="n">
        <v>0.6115</v>
      </c>
      <c r="K2108" t="n">
        <v>0</v>
      </c>
      <c r="L2108" t="n">
        <v>0.885</v>
      </c>
      <c r="M2108" t="n">
        <v>0.115</v>
      </c>
    </row>
    <row r="2109" spans="1:13">
      <c r="A2109" s="1">
        <f>HYPERLINK("http://www.twitter.com/NathanBLawrence/status/988770269933326338", "988770269933326338")</f>
        <v/>
      </c>
      <c r="B2109" s="2" t="n">
        <v>43214.55760416666</v>
      </c>
      <c r="C2109" t="n">
        <v>0</v>
      </c>
      <c r="D2109" t="n">
        <v>3</v>
      </c>
      <c r="E2109" t="s">
        <v>2104</v>
      </c>
      <c r="F2109" t="s"/>
      <c r="G2109" t="s"/>
      <c r="H2109" t="s"/>
      <c r="I2109" t="s"/>
      <c r="J2109" t="n">
        <v>-0.0258</v>
      </c>
      <c r="K2109" t="n">
        <v>0.091</v>
      </c>
      <c r="L2109" t="n">
        <v>0.909</v>
      </c>
      <c r="M2109" t="n">
        <v>0</v>
      </c>
    </row>
    <row r="2110" spans="1:13">
      <c r="A2110" s="1">
        <f>HYPERLINK("http://www.twitter.com/NathanBLawrence/status/988770198038728705", "988770198038728705")</f>
        <v/>
      </c>
      <c r="B2110" s="2" t="n">
        <v>43214.55740740741</v>
      </c>
      <c r="C2110" t="n">
        <v>0</v>
      </c>
      <c r="D2110" t="n">
        <v>10</v>
      </c>
      <c r="E2110" t="s">
        <v>2105</v>
      </c>
      <c r="F2110" t="s"/>
      <c r="G2110" t="s"/>
      <c r="H2110" t="s"/>
      <c r="I2110" t="s"/>
      <c r="J2110" t="n">
        <v>0</v>
      </c>
      <c r="K2110" t="n">
        <v>0</v>
      </c>
      <c r="L2110" t="n">
        <v>1</v>
      </c>
      <c r="M2110" t="n">
        <v>0</v>
      </c>
    </row>
    <row r="2111" spans="1:13">
      <c r="A2111" s="1">
        <f>HYPERLINK("http://www.twitter.com/NathanBLawrence/status/988770159971192832", "988770159971192832")</f>
        <v/>
      </c>
      <c r="B2111" s="2" t="n">
        <v>43214.55730324074</v>
      </c>
      <c r="C2111" t="n">
        <v>0</v>
      </c>
      <c r="D2111" t="n">
        <v>4</v>
      </c>
      <c r="E2111" t="s">
        <v>2106</v>
      </c>
      <c r="F2111" t="s"/>
      <c r="G2111" t="s"/>
      <c r="H2111" t="s"/>
      <c r="I2111" t="s"/>
      <c r="J2111" t="n">
        <v>0</v>
      </c>
      <c r="K2111" t="n">
        <v>0</v>
      </c>
      <c r="L2111" t="n">
        <v>1</v>
      </c>
      <c r="M2111" t="n">
        <v>0</v>
      </c>
    </row>
    <row r="2112" spans="1:13">
      <c r="A2112" s="1">
        <f>HYPERLINK("http://www.twitter.com/NathanBLawrence/status/988770144427171840", "988770144427171840")</f>
        <v/>
      </c>
      <c r="B2112" s="2" t="n">
        <v>43214.55725694444</v>
      </c>
      <c r="C2112" t="n">
        <v>0</v>
      </c>
      <c r="D2112" t="n">
        <v>7</v>
      </c>
      <c r="E2112" t="s">
        <v>2107</v>
      </c>
      <c r="F2112" t="s"/>
      <c r="G2112" t="s"/>
      <c r="H2112" t="s"/>
      <c r="I2112" t="s"/>
      <c r="J2112" t="n">
        <v>-0.3612</v>
      </c>
      <c r="K2112" t="n">
        <v>0.116</v>
      </c>
      <c r="L2112" t="n">
        <v>0.884</v>
      </c>
      <c r="M2112" t="n">
        <v>0</v>
      </c>
    </row>
    <row r="2113" spans="1:13">
      <c r="A2113" s="1">
        <f>HYPERLINK("http://www.twitter.com/NathanBLawrence/status/988770119781404672", "988770119781404672")</f>
        <v/>
      </c>
      <c r="B2113" s="2" t="n">
        <v>43214.5571875</v>
      </c>
      <c r="C2113" t="n">
        <v>0</v>
      </c>
      <c r="D2113" t="n">
        <v>24</v>
      </c>
      <c r="E2113" t="s">
        <v>2108</v>
      </c>
      <c r="F2113" t="s"/>
      <c r="G2113" t="s"/>
      <c r="H2113" t="s"/>
      <c r="I2113" t="s"/>
      <c r="J2113" t="n">
        <v>0</v>
      </c>
      <c r="K2113" t="n">
        <v>0</v>
      </c>
      <c r="L2113" t="n">
        <v>1</v>
      </c>
      <c r="M2113" t="n">
        <v>0</v>
      </c>
    </row>
    <row r="2114" spans="1:13">
      <c r="A2114" s="1">
        <f>HYPERLINK("http://www.twitter.com/NathanBLawrence/status/988770106602868736", "988770106602868736")</f>
        <v/>
      </c>
      <c r="B2114" s="2" t="n">
        <v>43214.55715277778</v>
      </c>
      <c r="C2114" t="n">
        <v>0</v>
      </c>
      <c r="D2114" t="n">
        <v>3</v>
      </c>
      <c r="E2114" t="s">
        <v>2109</v>
      </c>
      <c r="F2114" t="s"/>
      <c r="G2114" t="s"/>
      <c r="H2114" t="s"/>
      <c r="I2114" t="s"/>
      <c r="J2114" t="n">
        <v>0</v>
      </c>
      <c r="K2114" t="n">
        <v>0</v>
      </c>
      <c r="L2114" t="n">
        <v>1</v>
      </c>
      <c r="M2114" t="n">
        <v>0</v>
      </c>
    </row>
    <row r="2115" spans="1:13">
      <c r="A2115" s="1">
        <f>HYPERLINK("http://www.twitter.com/NathanBLawrence/status/988770078945611782", "988770078945611782")</f>
        <v/>
      </c>
      <c r="B2115" s="2" t="n">
        <v>43214.55707175926</v>
      </c>
      <c r="C2115" t="n">
        <v>0</v>
      </c>
      <c r="D2115" t="n">
        <v>6</v>
      </c>
      <c r="E2115" t="s">
        <v>2110</v>
      </c>
      <c r="F2115" t="s"/>
      <c r="G2115" t="s"/>
      <c r="H2115" t="s"/>
      <c r="I2115" t="s"/>
      <c r="J2115" t="n">
        <v>0</v>
      </c>
      <c r="K2115" t="n">
        <v>0</v>
      </c>
      <c r="L2115" t="n">
        <v>1</v>
      </c>
      <c r="M2115" t="n">
        <v>0</v>
      </c>
    </row>
    <row r="2116" spans="1:13">
      <c r="A2116" s="1">
        <f>HYPERLINK("http://www.twitter.com/NathanBLawrence/status/988769997043494913", "988769997043494913")</f>
        <v/>
      </c>
      <c r="B2116" s="2" t="n">
        <v>43214.55685185185</v>
      </c>
      <c r="C2116" t="n">
        <v>7</v>
      </c>
      <c r="D2116" t="n">
        <v>7</v>
      </c>
      <c r="E2116" t="s">
        <v>2111</v>
      </c>
      <c r="F2116" t="s"/>
      <c r="G2116" t="s"/>
      <c r="H2116" t="s"/>
      <c r="I2116" t="s"/>
      <c r="J2116" t="n">
        <v>0</v>
      </c>
      <c r="K2116" t="n">
        <v>0</v>
      </c>
      <c r="L2116" t="n">
        <v>1</v>
      </c>
      <c r="M2116" t="n">
        <v>0</v>
      </c>
    </row>
    <row r="2117" spans="1:13">
      <c r="A2117" s="1">
        <f>HYPERLINK("http://www.twitter.com/NathanBLawrence/status/988768863323131904", "988768863323131904")</f>
        <v/>
      </c>
      <c r="B2117" s="2" t="n">
        <v>43214.55372685185</v>
      </c>
      <c r="C2117" t="n">
        <v>0</v>
      </c>
      <c r="D2117" t="n">
        <v>13</v>
      </c>
      <c r="E2117" t="s">
        <v>2112</v>
      </c>
      <c r="F2117" t="s"/>
      <c r="G2117" t="s"/>
      <c r="H2117" t="s"/>
      <c r="I2117" t="s"/>
      <c r="J2117" t="n">
        <v>0.5859</v>
      </c>
      <c r="K2117" t="n">
        <v>0</v>
      </c>
      <c r="L2117" t="n">
        <v>0.833</v>
      </c>
      <c r="M2117" t="n">
        <v>0.167</v>
      </c>
    </row>
    <row r="2118" spans="1:13">
      <c r="A2118" s="1">
        <f>HYPERLINK("http://www.twitter.com/NathanBLawrence/status/988768825867988992", "988768825867988992")</f>
        <v/>
      </c>
      <c r="B2118" s="2" t="n">
        <v>43214.55362268518</v>
      </c>
      <c r="C2118" t="n">
        <v>0</v>
      </c>
      <c r="D2118" t="n">
        <v>5</v>
      </c>
      <c r="E2118" t="s">
        <v>2113</v>
      </c>
      <c r="F2118" t="s"/>
      <c r="G2118" t="s"/>
      <c r="H2118" t="s"/>
      <c r="I2118" t="s"/>
      <c r="J2118" t="n">
        <v>0.5859</v>
      </c>
      <c r="K2118" t="n">
        <v>0</v>
      </c>
      <c r="L2118" t="n">
        <v>0.847</v>
      </c>
      <c r="M2118" t="n">
        <v>0.153</v>
      </c>
    </row>
    <row r="2119" spans="1:13">
      <c r="A2119" s="1">
        <f>HYPERLINK("http://www.twitter.com/NathanBLawrence/status/988768353010552832", "988768353010552832")</f>
        <v/>
      </c>
      <c r="B2119" s="2" t="n">
        <v>43214.55231481481</v>
      </c>
      <c r="C2119" t="n">
        <v>0</v>
      </c>
      <c r="D2119" t="n">
        <v>0</v>
      </c>
      <c r="E2119" t="s">
        <v>2114</v>
      </c>
      <c r="F2119" t="s"/>
      <c r="G2119" t="s"/>
      <c r="H2119" t="s"/>
      <c r="I2119" t="s"/>
      <c r="J2119" t="n">
        <v>-0.8316</v>
      </c>
      <c r="K2119" t="n">
        <v>0.386</v>
      </c>
      <c r="L2119" t="n">
        <v>0.614</v>
      </c>
      <c r="M2119" t="n">
        <v>0</v>
      </c>
    </row>
    <row r="2120" spans="1:13">
      <c r="A2120" s="1">
        <f>HYPERLINK("http://www.twitter.com/NathanBLawrence/status/988768208772575232", "988768208772575232")</f>
        <v/>
      </c>
      <c r="B2120" s="2" t="n">
        <v>43214.5519212963</v>
      </c>
      <c r="C2120" t="n">
        <v>1</v>
      </c>
      <c r="D2120" t="n">
        <v>0</v>
      </c>
      <c r="E2120" t="s">
        <v>2115</v>
      </c>
      <c r="F2120" t="s"/>
      <c r="G2120" t="s"/>
      <c r="H2120" t="s"/>
      <c r="I2120" t="s"/>
      <c r="J2120" t="n">
        <v>0</v>
      </c>
      <c r="K2120" t="n">
        <v>0</v>
      </c>
      <c r="L2120" t="n">
        <v>1</v>
      </c>
      <c r="M2120" t="n">
        <v>0</v>
      </c>
    </row>
    <row r="2121" spans="1:13">
      <c r="A2121" s="1">
        <f>HYPERLINK("http://www.twitter.com/NathanBLawrence/status/988767735747350528", "988767735747350528")</f>
        <v/>
      </c>
      <c r="B2121" s="2" t="n">
        <v>43214.55061342593</v>
      </c>
      <c r="C2121" t="n">
        <v>0</v>
      </c>
      <c r="D2121" t="n">
        <v>4</v>
      </c>
      <c r="E2121" t="s">
        <v>2116</v>
      </c>
      <c r="F2121">
        <f>HYPERLINK("http://pbs.twimg.com/media/DbhCvl9WAAAd93E.jpg", "http://pbs.twimg.com/media/DbhCvl9WAAAd93E.jpg")</f>
        <v/>
      </c>
      <c r="G2121" t="s"/>
      <c r="H2121" t="s"/>
      <c r="I2121" t="s"/>
      <c r="J2121" t="n">
        <v>0</v>
      </c>
      <c r="K2121" t="n">
        <v>0</v>
      </c>
      <c r="L2121" t="n">
        <v>1</v>
      </c>
      <c r="M2121" t="n">
        <v>0</v>
      </c>
    </row>
    <row r="2122" spans="1:13">
      <c r="A2122" s="1">
        <f>HYPERLINK("http://www.twitter.com/NathanBLawrence/status/988767713848975360", "988767713848975360")</f>
        <v/>
      </c>
      <c r="B2122" s="2" t="n">
        <v>43214.55055555556</v>
      </c>
      <c r="C2122" t="n">
        <v>0</v>
      </c>
      <c r="D2122" t="n">
        <v>16</v>
      </c>
      <c r="E2122" t="s">
        <v>2117</v>
      </c>
      <c r="F2122" t="s"/>
      <c r="G2122" t="s"/>
      <c r="H2122" t="s"/>
      <c r="I2122" t="s"/>
      <c r="J2122" t="n">
        <v>0</v>
      </c>
      <c r="K2122" t="n">
        <v>0</v>
      </c>
      <c r="L2122" t="n">
        <v>1</v>
      </c>
      <c r="M2122" t="n">
        <v>0</v>
      </c>
    </row>
    <row r="2123" spans="1:13">
      <c r="A2123" s="1">
        <f>HYPERLINK("http://www.twitter.com/NathanBLawrence/status/988767669661962240", "988767669661962240")</f>
        <v/>
      </c>
      <c r="B2123" s="2" t="n">
        <v>43214.55042824074</v>
      </c>
      <c r="C2123" t="n">
        <v>0</v>
      </c>
      <c r="D2123" t="n">
        <v>3</v>
      </c>
      <c r="E2123" t="s">
        <v>2118</v>
      </c>
      <c r="F2123" t="s"/>
      <c r="G2123" t="s"/>
      <c r="H2123" t="s"/>
      <c r="I2123" t="s"/>
      <c r="J2123" t="n">
        <v>0.6114000000000001</v>
      </c>
      <c r="K2123" t="n">
        <v>0.059</v>
      </c>
      <c r="L2123" t="n">
        <v>0.736</v>
      </c>
      <c r="M2123" t="n">
        <v>0.206</v>
      </c>
    </row>
    <row r="2124" spans="1:13">
      <c r="A2124" s="1">
        <f>HYPERLINK("http://www.twitter.com/NathanBLawrence/status/988767627572137989", "988767627572137989")</f>
        <v/>
      </c>
      <c r="B2124" s="2" t="n">
        <v>43214.5503125</v>
      </c>
      <c r="C2124" t="n">
        <v>0</v>
      </c>
      <c r="D2124" t="n">
        <v>7</v>
      </c>
      <c r="E2124" t="s">
        <v>2119</v>
      </c>
      <c r="F2124" t="s"/>
      <c r="G2124" t="s"/>
      <c r="H2124" t="s"/>
      <c r="I2124" t="s"/>
      <c r="J2124" t="n">
        <v>0</v>
      </c>
      <c r="K2124" t="n">
        <v>0</v>
      </c>
      <c r="L2124" t="n">
        <v>1</v>
      </c>
      <c r="M2124" t="n">
        <v>0</v>
      </c>
    </row>
    <row r="2125" spans="1:13">
      <c r="A2125" s="1">
        <f>HYPERLINK("http://www.twitter.com/NathanBLawrence/status/988651606643232768", "988651606643232768")</f>
        <v/>
      </c>
      <c r="B2125" s="2" t="n">
        <v>43214.23015046296</v>
      </c>
      <c r="C2125" t="n">
        <v>0</v>
      </c>
      <c r="D2125" t="n">
        <v>229</v>
      </c>
      <c r="E2125" t="s">
        <v>2120</v>
      </c>
      <c r="F2125" t="s"/>
      <c r="G2125" t="s"/>
      <c r="H2125" t="s"/>
      <c r="I2125" t="s"/>
      <c r="J2125" t="n">
        <v>0.85</v>
      </c>
      <c r="K2125" t="n">
        <v>0</v>
      </c>
      <c r="L2125" t="n">
        <v>0.694</v>
      </c>
      <c r="M2125" t="n">
        <v>0.306</v>
      </c>
    </row>
    <row r="2126" spans="1:13">
      <c r="A2126" s="1">
        <f>HYPERLINK("http://www.twitter.com/NathanBLawrence/status/988651480801521665", "988651480801521665")</f>
        <v/>
      </c>
      <c r="B2126" s="2" t="n">
        <v>43214.22980324074</v>
      </c>
      <c r="C2126" t="n">
        <v>0</v>
      </c>
      <c r="D2126" t="n">
        <v>120</v>
      </c>
      <c r="E2126" t="s">
        <v>2121</v>
      </c>
      <c r="F2126" t="s"/>
      <c r="G2126" t="s"/>
      <c r="H2126" t="s"/>
      <c r="I2126" t="s"/>
      <c r="J2126" t="n">
        <v>-0.4767</v>
      </c>
      <c r="K2126" t="n">
        <v>0.21</v>
      </c>
      <c r="L2126" t="n">
        <v>0.7</v>
      </c>
      <c r="M2126" t="n">
        <v>0.089</v>
      </c>
    </row>
    <row r="2127" spans="1:13">
      <c r="A2127" s="1">
        <f>HYPERLINK("http://www.twitter.com/NathanBLawrence/status/988651435255574529", "988651435255574529")</f>
        <v/>
      </c>
      <c r="B2127" s="2" t="n">
        <v>43214.2296875</v>
      </c>
      <c r="C2127" t="n">
        <v>0</v>
      </c>
      <c r="D2127" t="n">
        <v>13024</v>
      </c>
      <c r="E2127" t="s">
        <v>2122</v>
      </c>
      <c r="F2127" t="s"/>
      <c r="G2127" t="s"/>
      <c r="H2127" t="s"/>
      <c r="I2127" t="s"/>
      <c r="J2127" t="n">
        <v>0.3612</v>
      </c>
      <c r="K2127" t="n">
        <v>0.222</v>
      </c>
      <c r="L2127" t="n">
        <v>0.46</v>
      </c>
      <c r="M2127" t="n">
        <v>0.318</v>
      </c>
    </row>
    <row r="2128" spans="1:13">
      <c r="A2128" s="1">
        <f>HYPERLINK("http://www.twitter.com/NathanBLawrence/status/988651039997026304", "988651039997026304")</f>
        <v/>
      </c>
      <c r="B2128" s="2" t="n">
        <v>43214.22858796296</v>
      </c>
      <c r="C2128" t="n">
        <v>0</v>
      </c>
      <c r="D2128" t="n">
        <v>59</v>
      </c>
      <c r="E2128" t="s">
        <v>2123</v>
      </c>
      <c r="F2128" t="s"/>
      <c r="G2128" t="s"/>
      <c r="H2128" t="s"/>
      <c r="I2128" t="s"/>
      <c r="J2128" t="n">
        <v>0</v>
      </c>
      <c r="K2128" t="n">
        <v>0</v>
      </c>
      <c r="L2128" t="n">
        <v>1</v>
      </c>
      <c r="M2128" t="n">
        <v>0</v>
      </c>
    </row>
    <row r="2129" spans="1:13">
      <c r="A2129" s="1">
        <f>HYPERLINK("http://www.twitter.com/NathanBLawrence/status/988650611267825665", "988650611267825665")</f>
        <v/>
      </c>
      <c r="B2129" s="2" t="n">
        <v>43214.22740740741</v>
      </c>
      <c r="C2129" t="n">
        <v>0</v>
      </c>
      <c r="D2129" t="n">
        <v>55</v>
      </c>
      <c r="E2129" t="s">
        <v>2124</v>
      </c>
      <c r="F2129" t="s"/>
      <c r="G2129" t="s"/>
      <c r="H2129" t="s"/>
      <c r="I2129" t="s"/>
      <c r="J2129" t="n">
        <v>-0.8074</v>
      </c>
      <c r="K2129" t="n">
        <v>0.45</v>
      </c>
      <c r="L2129" t="n">
        <v>0.473</v>
      </c>
      <c r="M2129" t="n">
        <v>0.077</v>
      </c>
    </row>
    <row r="2130" spans="1:13">
      <c r="A2130" s="1">
        <f>HYPERLINK("http://www.twitter.com/NathanBLawrence/status/988650486713679872", "988650486713679872")</f>
        <v/>
      </c>
      <c r="B2130" s="2" t="n">
        <v>43214.22706018519</v>
      </c>
      <c r="C2130" t="n">
        <v>0</v>
      </c>
      <c r="D2130" t="n">
        <v>29</v>
      </c>
      <c r="E2130" t="s">
        <v>2125</v>
      </c>
      <c r="F2130" t="s"/>
      <c r="G2130" t="s"/>
      <c r="H2130" t="s"/>
      <c r="I2130" t="s"/>
      <c r="J2130" t="n">
        <v>0</v>
      </c>
      <c r="K2130" t="n">
        <v>0</v>
      </c>
      <c r="L2130" t="n">
        <v>1</v>
      </c>
      <c r="M2130" t="n">
        <v>0</v>
      </c>
    </row>
    <row r="2131" spans="1:13">
      <c r="A2131" s="1">
        <f>HYPERLINK("http://www.twitter.com/NathanBLawrence/status/988650416203235329", "988650416203235329")</f>
        <v/>
      </c>
      <c r="B2131" s="2" t="n">
        <v>43214.226875</v>
      </c>
      <c r="C2131" t="n">
        <v>0</v>
      </c>
      <c r="D2131" t="n">
        <v>4326</v>
      </c>
      <c r="E2131" t="s">
        <v>2126</v>
      </c>
      <c r="F2131" t="s"/>
      <c r="G2131" t="s"/>
      <c r="H2131" t="s"/>
      <c r="I2131" t="s"/>
      <c r="J2131" t="n">
        <v>-0.2023</v>
      </c>
      <c r="K2131" t="n">
        <v>0.096</v>
      </c>
      <c r="L2131" t="n">
        <v>0.904</v>
      </c>
      <c r="M2131" t="n">
        <v>0</v>
      </c>
    </row>
    <row r="2132" spans="1:13">
      <c r="A2132" s="1">
        <f>HYPERLINK("http://www.twitter.com/NathanBLawrence/status/988650131313582080", "988650131313582080")</f>
        <v/>
      </c>
      <c r="B2132" s="2" t="n">
        <v>43214.22608796296</v>
      </c>
      <c r="C2132" t="n">
        <v>0</v>
      </c>
      <c r="D2132" t="n">
        <v>74</v>
      </c>
      <c r="E2132" t="s">
        <v>2127</v>
      </c>
      <c r="F2132" t="s"/>
      <c r="G2132" t="s"/>
      <c r="H2132" t="s"/>
      <c r="I2132" t="s"/>
      <c r="J2132" t="n">
        <v>-0.5719</v>
      </c>
      <c r="K2132" t="n">
        <v>0.236</v>
      </c>
      <c r="L2132" t="n">
        <v>0.764</v>
      </c>
      <c r="M2132" t="n">
        <v>0</v>
      </c>
    </row>
    <row r="2133" spans="1:13">
      <c r="A2133" s="1">
        <f>HYPERLINK("http://www.twitter.com/NathanBLawrence/status/988649762642694144", "988649762642694144")</f>
        <v/>
      </c>
      <c r="B2133" s="2" t="n">
        <v>43214.22506944444</v>
      </c>
      <c r="C2133" t="n">
        <v>0</v>
      </c>
      <c r="D2133" t="n">
        <v>150</v>
      </c>
      <c r="E2133" t="s">
        <v>2128</v>
      </c>
      <c r="F2133" t="s"/>
      <c r="G2133" t="s"/>
      <c r="H2133" t="s"/>
      <c r="I2133" t="s"/>
      <c r="J2133" t="n">
        <v>-0.5984</v>
      </c>
      <c r="K2133" t="n">
        <v>0.178</v>
      </c>
      <c r="L2133" t="n">
        <v>0.822</v>
      </c>
      <c r="M2133" t="n">
        <v>0</v>
      </c>
    </row>
    <row r="2134" spans="1:13">
      <c r="A2134" s="1">
        <f>HYPERLINK("http://www.twitter.com/NathanBLawrence/status/988649723065192448", "988649723065192448")</f>
        <v/>
      </c>
      <c r="B2134" s="2" t="n">
        <v>43214.22495370371</v>
      </c>
      <c r="C2134" t="n">
        <v>0</v>
      </c>
      <c r="D2134" t="n">
        <v>10</v>
      </c>
      <c r="E2134" t="s">
        <v>2129</v>
      </c>
      <c r="F2134" t="s"/>
      <c r="G2134" t="s"/>
      <c r="H2134" t="s"/>
      <c r="I2134" t="s"/>
      <c r="J2134" t="n">
        <v>-0.4767</v>
      </c>
      <c r="K2134" t="n">
        <v>0.191</v>
      </c>
      <c r="L2134" t="n">
        <v>0.739</v>
      </c>
      <c r="M2134" t="n">
        <v>0.07000000000000001</v>
      </c>
    </row>
    <row r="2135" spans="1:13">
      <c r="A2135" s="1">
        <f>HYPERLINK("http://www.twitter.com/NathanBLawrence/status/988649320172937216", "988649320172937216")</f>
        <v/>
      </c>
      <c r="B2135" s="2" t="n">
        <v>43214.22384259259</v>
      </c>
      <c r="C2135" t="n">
        <v>1</v>
      </c>
      <c r="D2135" t="n">
        <v>1</v>
      </c>
      <c r="E2135" t="s">
        <v>2130</v>
      </c>
      <c r="F2135" t="s"/>
      <c r="G2135" t="s"/>
      <c r="H2135" t="s"/>
      <c r="I2135" t="s"/>
      <c r="J2135" t="n">
        <v>-0.128</v>
      </c>
      <c r="K2135" t="n">
        <v>0.209</v>
      </c>
      <c r="L2135" t="n">
        <v>0.62</v>
      </c>
      <c r="M2135" t="n">
        <v>0.171</v>
      </c>
    </row>
    <row r="2136" spans="1:13">
      <c r="A2136" s="1">
        <f>HYPERLINK("http://www.twitter.com/NathanBLawrence/status/988649206494777344", "988649206494777344")</f>
        <v/>
      </c>
      <c r="B2136" s="2" t="n">
        <v>43214.22353009259</v>
      </c>
      <c r="C2136" t="n">
        <v>0</v>
      </c>
      <c r="D2136" t="n">
        <v>437</v>
      </c>
      <c r="E2136" t="s">
        <v>2131</v>
      </c>
      <c r="F2136" t="s"/>
      <c r="G2136" t="s"/>
      <c r="H2136" t="s"/>
      <c r="I2136" t="s"/>
      <c r="J2136" t="n">
        <v>0.25</v>
      </c>
      <c r="K2136" t="n">
        <v>0</v>
      </c>
      <c r="L2136" t="n">
        <v>0.92</v>
      </c>
      <c r="M2136" t="n">
        <v>0.08</v>
      </c>
    </row>
    <row r="2137" spans="1:13">
      <c r="A2137" s="1">
        <f>HYPERLINK("http://www.twitter.com/NathanBLawrence/status/988649186802446336", "988649186802446336")</f>
        <v/>
      </c>
      <c r="B2137" s="2" t="n">
        <v>43214.2234837963</v>
      </c>
      <c r="C2137" t="n">
        <v>0</v>
      </c>
      <c r="D2137" t="n">
        <v>218</v>
      </c>
      <c r="E2137" t="s">
        <v>2132</v>
      </c>
      <c r="F2137" t="s"/>
      <c r="G2137" t="s"/>
      <c r="H2137" t="s"/>
      <c r="I2137" t="s"/>
      <c r="J2137" t="n">
        <v>0</v>
      </c>
      <c r="K2137" t="n">
        <v>0</v>
      </c>
      <c r="L2137" t="n">
        <v>1</v>
      </c>
      <c r="M2137" t="n">
        <v>0</v>
      </c>
    </row>
    <row r="2138" spans="1:13">
      <c r="A2138" s="1">
        <f>HYPERLINK("http://www.twitter.com/NathanBLawrence/status/988649157152968705", "988649157152968705")</f>
        <v/>
      </c>
      <c r="B2138" s="2" t="n">
        <v>43214.2233912037</v>
      </c>
      <c r="C2138" t="n">
        <v>0</v>
      </c>
      <c r="D2138" t="n">
        <v>242</v>
      </c>
      <c r="E2138" t="s">
        <v>2133</v>
      </c>
      <c r="F2138" t="s"/>
      <c r="G2138" t="s"/>
      <c r="H2138" t="s"/>
      <c r="I2138" t="s"/>
      <c r="J2138" t="n">
        <v>-0.3818</v>
      </c>
      <c r="K2138" t="n">
        <v>0.106</v>
      </c>
      <c r="L2138" t="n">
        <v>0.894</v>
      </c>
      <c r="M2138" t="n">
        <v>0</v>
      </c>
    </row>
    <row r="2139" spans="1:13">
      <c r="A2139" s="1">
        <f>HYPERLINK("http://www.twitter.com/NathanBLawrence/status/988649139721338880", "988649139721338880")</f>
        <v/>
      </c>
      <c r="B2139" s="2" t="n">
        <v>43214.2233449074</v>
      </c>
      <c r="C2139" t="n">
        <v>1</v>
      </c>
      <c r="D2139" t="n">
        <v>0</v>
      </c>
      <c r="E2139" t="s">
        <v>2134</v>
      </c>
      <c r="F2139" t="s"/>
      <c r="G2139" t="s"/>
      <c r="H2139" t="s"/>
      <c r="I2139" t="s"/>
      <c r="J2139" t="n">
        <v>-0.8875999999999999</v>
      </c>
      <c r="K2139" t="n">
        <v>0.466</v>
      </c>
      <c r="L2139" t="n">
        <v>0.534</v>
      </c>
      <c r="M2139" t="n">
        <v>0</v>
      </c>
    </row>
    <row r="2140" spans="1:13">
      <c r="A2140" s="1">
        <f>HYPERLINK("http://www.twitter.com/NathanBLawrence/status/988648902537695232", "988648902537695232")</f>
        <v/>
      </c>
      <c r="B2140" s="2" t="n">
        <v>43214.22269675926</v>
      </c>
      <c r="C2140" t="n">
        <v>2</v>
      </c>
      <c r="D2140" t="n">
        <v>0</v>
      </c>
      <c r="E2140" t="s">
        <v>2135</v>
      </c>
      <c r="F2140" t="s"/>
      <c r="G2140" t="s"/>
      <c r="H2140" t="s"/>
      <c r="I2140" t="s"/>
      <c r="J2140" t="n">
        <v>0.6369</v>
      </c>
      <c r="K2140" t="n">
        <v>0</v>
      </c>
      <c r="L2140" t="n">
        <v>0.756</v>
      </c>
      <c r="M2140" t="n">
        <v>0.244</v>
      </c>
    </row>
    <row r="2141" spans="1:13">
      <c r="A2141" s="1">
        <f>HYPERLINK("http://www.twitter.com/NathanBLawrence/status/988648595925684226", "988648595925684226")</f>
        <v/>
      </c>
      <c r="B2141" s="2" t="n">
        <v>43214.22185185185</v>
      </c>
      <c r="C2141" t="n">
        <v>0</v>
      </c>
      <c r="D2141" t="n">
        <v>3155</v>
      </c>
      <c r="E2141" t="s">
        <v>2136</v>
      </c>
      <c r="F2141" t="s"/>
      <c r="G2141" t="s"/>
      <c r="H2141" t="s"/>
      <c r="I2141" t="s"/>
      <c r="J2141" t="n">
        <v>-0.5574</v>
      </c>
      <c r="K2141" t="n">
        <v>0.217</v>
      </c>
      <c r="L2141" t="n">
        <v>0.783</v>
      </c>
      <c r="M2141" t="n">
        <v>0</v>
      </c>
    </row>
    <row r="2142" spans="1:13">
      <c r="A2142" s="1">
        <f>HYPERLINK("http://www.twitter.com/NathanBLawrence/status/988648535376658433", "988648535376658433")</f>
        <v/>
      </c>
      <c r="B2142" s="2" t="n">
        <v>43214.22167824074</v>
      </c>
      <c r="C2142" t="n">
        <v>0</v>
      </c>
      <c r="D2142" t="n">
        <v>11</v>
      </c>
      <c r="E2142" t="s">
        <v>2137</v>
      </c>
      <c r="F2142" t="s"/>
      <c r="G2142" t="s"/>
      <c r="H2142" t="s"/>
      <c r="I2142" t="s"/>
      <c r="J2142" t="n">
        <v>-0.8003</v>
      </c>
      <c r="K2142" t="n">
        <v>0.325</v>
      </c>
      <c r="L2142" t="n">
        <v>0.675</v>
      </c>
      <c r="M2142" t="n">
        <v>0</v>
      </c>
    </row>
    <row r="2143" spans="1:13">
      <c r="A2143" s="1">
        <f>HYPERLINK("http://www.twitter.com/NathanBLawrence/status/988648521044758528", "988648521044758528")</f>
        <v/>
      </c>
      <c r="B2143" s="2" t="n">
        <v>43214.22164351852</v>
      </c>
      <c r="C2143" t="n">
        <v>0</v>
      </c>
      <c r="D2143" t="n">
        <v>1</v>
      </c>
      <c r="E2143" t="s">
        <v>2138</v>
      </c>
      <c r="F2143" t="s"/>
      <c r="G2143" t="s"/>
      <c r="H2143" t="s"/>
      <c r="I2143" t="s"/>
      <c r="J2143" t="n">
        <v>-0.0258</v>
      </c>
      <c r="K2143" t="n">
        <v>0.131</v>
      </c>
      <c r="L2143" t="n">
        <v>0.741</v>
      </c>
      <c r="M2143" t="n">
        <v>0.128</v>
      </c>
    </row>
    <row r="2144" spans="1:13">
      <c r="A2144" s="1">
        <f>HYPERLINK("http://www.twitter.com/NathanBLawrence/status/988648398566850560", "988648398566850560")</f>
        <v/>
      </c>
      <c r="B2144" s="2" t="n">
        <v>43214.22130787037</v>
      </c>
      <c r="C2144" t="n">
        <v>0</v>
      </c>
      <c r="D2144" t="n">
        <v>10</v>
      </c>
      <c r="E2144" t="s">
        <v>2139</v>
      </c>
      <c r="F2144" t="s"/>
      <c r="G2144" t="s"/>
      <c r="H2144" t="s"/>
      <c r="I2144" t="s"/>
      <c r="J2144" t="n">
        <v>-0.7717000000000001</v>
      </c>
      <c r="K2144" t="n">
        <v>0.314</v>
      </c>
      <c r="L2144" t="n">
        <v>0.628</v>
      </c>
      <c r="M2144" t="n">
        <v>0.058</v>
      </c>
    </row>
    <row r="2145" spans="1:13">
      <c r="A2145" s="1">
        <f>HYPERLINK("http://www.twitter.com/NathanBLawrence/status/988648366149177345", "988648366149177345")</f>
        <v/>
      </c>
      <c r="B2145" s="2" t="n">
        <v>43214.22121527778</v>
      </c>
      <c r="C2145" t="n">
        <v>0</v>
      </c>
      <c r="D2145" t="n">
        <v>310</v>
      </c>
      <c r="E2145" t="s">
        <v>2140</v>
      </c>
      <c r="F2145" t="s"/>
      <c r="G2145" t="s"/>
      <c r="H2145" t="s"/>
      <c r="I2145" t="s"/>
      <c r="J2145" t="n">
        <v>0.5859</v>
      </c>
      <c r="K2145" t="n">
        <v>0</v>
      </c>
      <c r="L2145" t="n">
        <v>0.759</v>
      </c>
      <c r="M2145" t="n">
        <v>0.241</v>
      </c>
    </row>
    <row r="2146" spans="1:13">
      <c r="A2146" s="1">
        <f>HYPERLINK("http://www.twitter.com/NathanBLawrence/status/988647858437066753", "988647858437066753")</f>
        <v/>
      </c>
      <c r="B2146" s="2" t="n">
        <v>43214.21981481482</v>
      </c>
      <c r="C2146" t="n">
        <v>0</v>
      </c>
      <c r="D2146" t="n">
        <v>270</v>
      </c>
      <c r="E2146" t="s">
        <v>2141</v>
      </c>
      <c r="F2146" t="s"/>
      <c r="G2146" t="s"/>
      <c r="H2146" t="s"/>
      <c r="I2146" t="s"/>
      <c r="J2146" t="n">
        <v>0.296</v>
      </c>
      <c r="K2146" t="n">
        <v>0</v>
      </c>
      <c r="L2146" t="n">
        <v>0.845</v>
      </c>
      <c r="M2146" t="n">
        <v>0.155</v>
      </c>
    </row>
    <row r="2147" spans="1:13">
      <c r="A2147" s="1">
        <f>HYPERLINK("http://www.twitter.com/NathanBLawrence/status/988647737112649728", "988647737112649728")</f>
        <v/>
      </c>
      <c r="B2147" s="2" t="n">
        <v>43214.21947916667</v>
      </c>
      <c r="C2147" t="n">
        <v>0</v>
      </c>
      <c r="D2147" t="n">
        <v>2597</v>
      </c>
      <c r="E2147" t="s">
        <v>2142</v>
      </c>
      <c r="F2147" t="s"/>
      <c r="G2147" t="s"/>
      <c r="H2147" t="s"/>
      <c r="I2147" t="s"/>
      <c r="J2147" t="n">
        <v>0.6908</v>
      </c>
      <c r="K2147" t="n">
        <v>0</v>
      </c>
      <c r="L2147" t="n">
        <v>0.787</v>
      </c>
      <c r="M2147" t="n">
        <v>0.213</v>
      </c>
    </row>
    <row r="2148" spans="1:13">
      <c r="A2148" s="1">
        <f>HYPERLINK("http://www.twitter.com/NathanBLawrence/status/988647674298683397", "988647674298683397")</f>
        <v/>
      </c>
      <c r="B2148" s="2" t="n">
        <v>43214.21930555555</v>
      </c>
      <c r="C2148" t="n">
        <v>0</v>
      </c>
      <c r="D2148" t="n">
        <v>4</v>
      </c>
      <c r="E2148" t="s">
        <v>2143</v>
      </c>
      <c r="F2148" t="s"/>
      <c r="G2148" t="s"/>
      <c r="H2148" t="s"/>
      <c r="I2148" t="s"/>
      <c r="J2148" t="n">
        <v>0.7964</v>
      </c>
      <c r="K2148" t="n">
        <v>0</v>
      </c>
      <c r="L2148" t="n">
        <v>0.712</v>
      </c>
      <c r="M2148" t="n">
        <v>0.288</v>
      </c>
    </row>
    <row r="2149" spans="1:13">
      <c r="A2149" s="1">
        <f>HYPERLINK("http://www.twitter.com/NathanBLawrence/status/988647657806729217", "988647657806729217")</f>
        <v/>
      </c>
      <c r="B2149" s="2" t="n">
        <v>43214.21925925926</v>
      </c>
      <c r="C2149" t="n">
        <v>0</v>
      </c>
      <c r="D2149" t="n">
        <v>14</v>
      </c>
      <c r="E2149" t="s">
        <v>2144</v>
      </c>
      <c r="F2149" t="s"/>
      <c r="G2149" t="s"/>
      <c r="H2149" t="s"/>
      <c r="I2149" t="s"/>
      <c r="J2149" t="n">
        <v>0</v>
      </c>
      <c r="K2149" t="n">
        <v>0</v>
      </c>
      <c r="L2149" t="n">
        <v>1</v>
      </c>
      <c r="M2149" t="n">
        <v>0</v>
      </c>
    </row>
    <row r="2150" spans="1:13">
      <c r="A2150" s="1">
        <f>HYPERLINK("http://www.twitter.com/NathanBLawrence/status/988647610864021504", "988647610864021504")</f>
        <v/>
      </c>
      <c r="B2150" s="2" t="n">
        <v>43214.21913194445</v>
      </c>
      <c r="C2150" t="n">
        <v>0</v>
      </c>
      <c r="D2150" t="n">
        <v>5</v>
      </c>
      <c r="E2150" t="s">
        <v>2145</v>
      </c>
      <c r="F2150" t="s"/>
      <c r="G2150" t="s"/>
      <c r="H2150" t="s"/>
      <c r="I2150" t="s"/>
      <c r="J2150" t="n">
        <v>0.4184</v>
      </c>
      <c r="K2150" t="n">
        <v>0</v>
      </c>
      <c r="L2150" t="n">
        <v>0.872</v>
      </c>
      <c r="M2150" t="n">
        <v>0.128</v>
      </c>
    </row>
    <row r="2151" spans="1:13">
      <c r="A2151" s="1">
        <f>HYPERLINK("http://www.twitter.com/NathanBLawrence/status/988647548461207552", "988647548461207552")</f>
        <v/>
      </c>
      <c r="B2151" s="2" t="n">
        <v>43214.21895833333</v>
      </c>
      <c r="C2151" t="n">
        <v>0</v>
      </c>
      <c r="D2151" t="n">
        <v>4967</v>
      </c>
      <c r="E2151" t="s">
        <v>2146</v>
      </c>
      <c r="F2151" t="s"/>
      <c r="G2151" t="s"/>
      <c r="H2151" t="s"/>
      <c r="I2151" t="s"/>
      <c r="J2151" t="n">
        <v>-0.2263</v>
      </c>
      <c r="K2151" t="n">
        <v>0.112</v>
      </c>
      <c r="L2151" t="n">
        <v>0.888</v>
      </c>
      <c r="M2151" t="n">
        <v>0</v>
      </c>
    </row>
    <row r="2152" spans="1:13">
      <c r="A2152" s="1">
        <f>HYPERLINK("http://www.twitter.com/NathanBLawrence/status/988647488625238016", "988647488625238016")</f>
        <v/>
      </c>
      <c r="B2152" s="2" t="n">
        <v>43214.2187962963</v>
      </c>
      <c r="C2152" t="n">
        <v>0</v>
      </c>
      <c r="D2152" t="n">
        <v>20177</v>
      </c>
      <c r="E2152" t="s">
        <v>2147</v>
      </c>
      <c r="F2152" t="s"/>
      <c r="G2152" t="s"/>
      <c r="H2152" t="s"/>
      <c r="I2152" t="s"/>
      <c r="J2152" t="n">
        <v>0</v>
      </c>
      <c r="K2152" t="n">
        <v>0</v>
      </c>
      <c r="L2152" t="n">
        <v>1</v>
      </c>
      <c r="M2152" t="n">
        <v>0</v>
      </c>
    </row>
    <row r="2153" spans="1:13">
      <c r="A2153" s="1">
        <f>HYPERLINK("http://www.twitter.com/NathanBLawrence/status/988647429330358272", "988647429330358272")</f>
        <v/>
      </c>
      <c r="B2153" s="2" t="n">
        <v>43214.21862268518</v>
      </c>
      <c r="C2153" t="n">
        <v>14</v>
      </c>
      <c r="D2153" t="n">
        <v>10</v>
      </c>
      <c r="E2153" t="s">
        <v>2148</v>
      </c>
      <c r="F2153" t="s"/>
      <c r="G2153" t="s"/>
      <c r="H2153" t="s"/>
      <c r="I2153" t="s"/>
      <c r="J2153" t="n">
        <v>-0.5213</v>
      </c>
      <c r="K2153" t="n">
        <v>0.153</v>
      </c>
      <c r="L2153" t="n">
        <v>0.792</v>
      </c>
      <c r="M2153" t="n">
        <v>0.054</v>
      </c>
    </row>
    <row r="2154" spans="1:13">
      <c r="A2154" s="1">
        <f>HYPERLINK("http://www.twitter.com/NathanBLawrence/status/988646993558896640", "988646993558896640")</f>
        <v/>
      </c>
      <c r="B2154" s="2" t="n">
        <v>43214.21743055555</v>
      </c>
      <c r="C2154" t="n">
        <v>0</v>
      </c>
      <c r="D2154" t="n">
        <v>2</v>
      </c>
      <c r="E2154" t="s">
        <v>2149</v>
      </c>
      <c r="F2154" t="s"/>
      <c r="G2154" t="s"/>
      <c r="H2154" t="s"/>
      <c r="I2154" t="s"/>
      <c r="J2154" t="n">
        <v>0</v>
      </c>
      <c r="K2154" t="n">
        <v>0</v>
      </c>
      <c r="L2154" t="n">
        <v>1</v>
      </c>
      <c r="M2154" t="n">
        <v>0</v>
      </c>
    </row>
    <row r="2155" spans="1:13">
      <c r="A2155" s="1">
        <f>HYPERLINK("http://www.twitter.com/NathanBLawrence/status/988646673592274944", "988646673592274944")</f>
        <v/>
      </c>
      <c r="B2155" s="2" t="n">
        <v>43214.21653935185</v>
      </c>
      <c r="C2155" t="n">
        <v>0</v>
      </c>
      <c r="D2155" t="n">
        <v>4</v>
      </c>
      <c r="E2155" t="s">
        <v>2150</v>
      </c>
      <c r="F2155" t="s"/>
      <c r="G2155" t="s"/>
      <c r="H2155" t="s"/>
      <c r="I2155" t="s"/>
      <c r="J2155" t="n">
        <v>-0.5719</v>
      </c>
      <c r="K2155" t="n">
        <v>0.198</v>
      </c>
      <c r="L2155" t="n">
        <v>0.802</v>
      </c>
      <c r="M2155" t="n">
        <v>0</v>
      </c>
    </row>
    <row r="2156" spans="1:13">
      <c r="A2156" s="1">
        <f>HYPERLINK("http://www.twitter.com/NathanBLawrence/status/988646664104824833", "988646664104824833")</f>
        <v/>
      </c>
      <c r="B2156" s="2" t="n">
        <v>43214.21651620371</v>
      </c>
      <c r="C2156" t="n">
        <v>0</v>
      </c>
      <c r="D2156" t="n">
        <v>2</v>
      </c>
      <c r="E2156" t="s">
        <v>2151</v>
      </c>
      <c r="F2156" t="s"/>
      <c r="G2156" t="s"/>
      <c r="H2156" t="s"/>
      <c r="I2156" t="s"/>
      <c r="J2156" t="n">
        <v>0.5994</v>
      </c>
      <c r="K2156" t="n">
        <v>0.125</v>
      </c>
      <c r="L2156" t="n">
        <v>0.5659999999999999</v>
      </c>
      <c r="M2156" t="n">
        <v>0.309</v>
      </c>
    </row>
    <row r="2157" spans="1:13">
      <c r="A2157" s="1">
        <f>HYPERLINK("http://www.twitter.com/NathanBLawrence/status/988646588229849088", "988646588229849088")</f>
        <v/>
      </c>
      <c r="B2157" s="2" t="n">
        <v>43214.21630787037</v>
      </c>
      <c r="C2157" t="n">
        <v>0</v>
      </c>
      <c r="D2157" t="n">
        <v>17</v>
      </c>
      <c r="E2157" t="s">
        <v>2152</v>
      </c>
      <c r="F2157" t="s"/>
      <c r="G2157" t="s"/>
      <c r="H2157" t="s"/>
      <c r="I2157" t="s"/>
      <c r="J2157" t="n">
        <v>0.1779</v>
      </c>
      <c r="K2157" t="n">
        <v>0.095</v>
      </c>
      <c r="L2157" t="n">
        <v>0.782</v>
      </c>
      <c r="M2157" t="n">
        <v>0.123</v>
      </c>
    </row>
    <row r="2158" spans="1:13">
      <c r="A2158" s="1">
        <f>HYPERLINK("http://www.twitter.com/NathanBLawrence/status/988646558592897026", "988646558592897026")</f>
        <v/>
      </c>
      <c r="B2158" s="2" t="n">
        <v>43214.21622685185</v>
      </c>
      <c r="C2158" t="n">
        <v>0</v>
      </c>
      <c r="D2158" t="n">
        <v>60</v>
      </c>
      <c r="E2158" t="s">
        <v>2153</v>
      </c>
      <c r="F2158" t="s"/>
      <c r="G2158" t="s"/>
      <c r="H2158" t="s"/>
      <c r="I2158" t="s"/>
      <c r="J2158" t="n">
        <v>0</v>
      </c>
      <c r="K2158" t="n">
        <v>0</v>
      </c>
      <c r="L2158" t="n">
        <v>1</v>
      </c>
      <c r="M2158" t="n">
        <v>0</v>
      </c>
    </row>
    <row r="2159" spans="1:13">
      <c r="A2159" s="1">
        <f>HYPERLINK("http://www.twitter.com/NathanBLawrence/status/988643553218891776", "988643553218891776")</f>
        <v/>
      </c>
      <c r="B2159" s="2" t="n">
        <v>43214.20792824074</v>
      </c>
      <c r="C2159" t="n">
        <v>6</v>
      </c>
      <c r="D2159" t="n">
        <v>2</v>
      </c>
      <c r="E2159" t="s">
        <v>2154</v>
      </c>
      <c r="F2159" t="s"/>
      <c r="G2159" t="s"/>
      <c r="H2159" t="s"/>
      <c r="I2159" t="s"/>
      <c r="J2159" t="n">
        <v>0</v>
      </c>
      <c r="K2159" t="n">
        <v>0</v>
      </c>
      <c r="L2159" t="n">
        <v>1</v>
      </c>
      <c r="M2159" t="n">
        <v>0</v>
      </c>
    </row>
    <row r="2160" spans="1:13">
      <c r="A2160" s="1">
        <f>HYPERLINK("http://www.twitter.com/NathanBLawrence/status/988598016063008769", "988598016063008769")</f>
        <v/>
      </c>
      <c r="B2160" s="2" t="n">
        <v>43214.08226851852</v>
      </c>
      <c r="C2160" t="n">
        <v>0</v>
      </c>
      <c r="D2160" t="n">
        <v>1935</v>
      </c>
      <c r="E2160" t="s">
        <v>2155</v>
      </c>
      <c r="F2160">
        <f>HYPERLINK("http://pbs.twimg.com/media/DbgZf7gV4AAagT3.jpg", "http://pbs.twimg.com/media/DbgZf7gV4AAagT3.jpg")</f>
        <v/>
      </c>
      <c r="G2160" t="s"/>
      <c r="H2160" t="s"/>
      <c r="I2160" t="s"/>
      <c r="J2160" t="n">
        <v>0.5413</v>
      </c>
      <c r="K2160" t="n">
        <v>0</v>
      </c>
      <c r="L2160" t="n">
        <v>0.857</v>
      </c>
      <c r="M2160" t="n">
        <v>0.143</v>
      </c>
    </row>
    <row r="2161" spans="1:13">
      <c r="A2161" s="1">
        <f>HYPERLINK("http://www.twitter.com/NathanBLawrence/status/988597998602113025", "988597998602113025")</f>
        <v/>
      </c>
      <c r="B2161" s="2" t="n">
        <v>43214.08222222222</v>
      </c>
      <c r="C2161" t="n">
        <v>0</v>
      </c>
      <c r="D2161" t="n">
        <v>1599</v>
      </c>
      <c r="E2161" t="s">
        <v>2156</v>
      </c>
      <c r="F2161" t="s"/>
      <c r="G2161" t="s"/>
      <c r="H2161" t="s"/>
      <c r="I2161" t="s"/>
      <c r="J2161" t="n">
        <v>0.6369</v>
      </c>
      <c r="K2161" t="n">
        <v>0</v>
      </c>
      <c r="L2161" t="n">
        <v>0.543</v>
      </c>
      <c r="M2161" t="n">
        <v>0.457</v>
      </c>
    </row>
    <row r="2162" spans="1:13">
      <c r="A2162" s="1">
        <f>HYPERLINK("http://www.twitter.com/NathanBLawrence/status/988596981214994432", "988596981214994432")</f>
        <v/>
      </c>
      <c r="B2162" s="2" t="n">
        <v>43214.07942129629</v>
      </c>
      <c r="C2162" t="n">
        <v>0</v>
      </c>
      <c r="D2162" t="n">
        <v>8</v>
      </c>
      <c r="E2162" t="s">
        <v>2157</v>
      </c>
      <c r="F2162" t="s"/>
      <c r="G2162" t="s"/>
      <c r="H2162" t="s"/>
      <c r="I2162" t="s"/>
      <c r="J2162" t="n">
        <v>0</v>
      </c>
      <c r="K2162" t="n">
        <v>0</v>
      </c>
      <c r="L2162" t="n">
        <v>1</v>
      </c>
      <c r="M2162" t="n">
        <v>0</v>
      </c>
    </row>
    <row r="2163" spans="1:13">
      <c r="A2163" s="1">
        <f>HYPERLINK("http://www.twitter.com/NathanBLawrence/status/988591125534519297", "988591125534519297")</f>
        <v/>
      </c>
      <c r="B2163" s="2" t="n">
        <v>43214.06326388889</v>
      </c>
      <c r="C2163" t="n">
        <v>0</v>
      </c>
      <c r="D2163" t="n">
        <v>0</v>
      </c>
      <c r="E2163" t="s">
        <v>2158</v>
      </c>
      <c r="F2163" t="s"/>
      <c r="G2163" t="s"/>
      <c r="H2163" t="s"/>
      <c r="I2163" t="s"/>
      <c r="J2163" t="n">
        <v>-0.5266999999999999</v>
      </c>
      <c r="K2163" t="n">
        <v>0.405</v>
      </c>
      <c r="L2163" t="n">
        <v>0.595</v>
      </c>
      <c r="M2163" t="n">
        <v>0</v>
      </c>
    </row>
    <row r="2164" spans="1:13">
      <c r="A2164" s="1">
        <f>HYPERLINK("http://www.twitter.com/NathanBLawrence/status/988591064062873600", "988591064062873600")</f>
        <v/>
      </c>
      <c r="B2164" s="2" t="n">
        <v>43214.06309027778</v>
      </c>
      <c r="C2164" t="n">
        <v>0</v>
      </c>
      <c r="D2164" t="n">
        <v>6</v>
      </c>
      <c r="E2164" t="s">
        <v>2159</v>
      </c>
      <c r="F2164" t="s"/>
      <c r="G2164" t="s"/>
      <c r="H2164" t="s"/>
      <c r="I2164" t="s"/>
      <c r="J2164" t="n">
        <v>-0.3818</v>
      </c>
      <c r="K2164" t="n">
        <v>0.14</v>
      </c>
      <c r="L2164" t="n">
        <v>0.86</v>
      </c>
      <c r="M2164" t="n">
        <v>0</v>
      </c>
    </row>
    <row r="2165" spans="1:13">
      <c r="A2165" s="1">
        <f>HYPERLINK("http://www.twitter.com/NathanBLawrence/status/988591043217108993", "988591043217108993")</f>
        <v/>
      </c>
      <c r="B2165" s="2" t="n">
        <v>43214.06303240741</v>
      </c>
      <c r="C2165" t="n">
        <v>0</v>
      </c>
      <c r="D2165" t="n">
        <v>1</v>
      </c>
      <c r="E2165" t="s">
        <v>2160</v>
      </c>
      <c r="F2165" t="s"/>
      <c r="G2165" t="s"/>
      <c r="H2165" t="s"/>
      <c r="I2165" t="s"/>
      <c r="J2165" t="n">
        <v>0</v>
      </c>
      <c r="K2165" t="n">
        <v>0</v>
      </c>
      <c r="L2165" t="n">
        <v>1</v>
      </c>
      <c r="M2165" t="n">
        <v>0</v>
      </c>
    </row>
    <row r="2166" spans="1:13">
      <c r="A2166" s="1">
        <f>HYPERLINK("http://www.twitter.com/NathanBLawrence/status/988590719660150785", "988590719660150785")</f>
        <v/>
      </c>
      <c r="B2166" s="2" t="n">
        <v>43214.06214120371</v>
      </c>
      <c r="C2166" t="n">
        <v>1</v>
      </c>
      <c r="D2166" t="n">
        <v>0</v>
      </c>
      <c r="E2166" t="s">
        <v>2161</v>
      </c>
      <c r="F2166" t="s"/>
      <c r="G2166" t="s"/>
      <c r="H2166" t="s"/>
      <c r="I2166" t="s"/>
      <c r="J2166" t="n">
        <v>0</v>
      </c>
      <c r="K2166" t="n">
        <v>0</v>
      </c>
      <c r="L2166" t="n">
        <v>1</v>
      </c>
      <c r="M2166" t="n">
        <v>0</v>
      </c>
    </row>
    <row r="2167" spans="1:13">
      <c r="A2167" s="1">
        <f>HYPERLINK("http://www.twitter.com/NathanBLawrence/status/988544664981602304", "988544664981602304")</f>
        <v/>
      </c>
      <c r="B2167" s="2" t="n">
        <v>43213.93505787037</v>
      </c>
      <c r="C2167" t="n">
        <v>0</v>
      </c>
      <c r="D2167" t="n">
        <v>1</v>
      </c>
      <c r="E2167" t="s">
        <v>2162</v>
      </c>
      <c r="F2167" t="s"/>
      <c r="G2167" t="s"/>
      <c r="H2167" t="s"/>
      <c r="I2167" t="s"/>
      <c r="J2167" t="n">
        <v>-0.5859</v>
      </c>
      <c r="K2167" t="n">
        <v>0.244</v>
      </c>
      <c r="L2167" t="n">
        <v>0.659</v>
      </c>
      <c r="M2167" t="n">
        <v>0.097</v>
      </c>
    </row>
    <row r="2168" spans="1:13">
      <c r="A2168" s="1">
        <f>HYPERLINK("http://www.twitter.com/NathanBLawrence/status/988544567833186304", "988544567833186304")</f>
        <v/>
      </c>
      <c r="B2168" s="2" t="n">
        <v>43213.93478009259</v>
      </c>
      <c r="C2168" t="n">
        <v>0</v>
      </c>
      <c r="D2168" t="n">
        <v>13</v>
      </c>
      <c r="E2168" t="s">
        <v>2163</v>
      </c>
      <c r="F2168" t="s"/>
      <c r="G2168" t="s"/>
      <c r="H2168" t="s"/>
      <c r="I2168" t="s"/>
      <c r="J2168" t="n">
        <v>-0.4215</v>
      </c>
      <c r="K2168" t="n">
        <v>0.128</v>
      </c>
      <c r="L2168" t="n">
        <v>0.872</v>
      </c>
      <c r="M2168" t="n">
        <v>0</v>
      </c>
    </row>
    <row r="2169" spans="1:13">
      <c r="A2169" s="1">
        <f>HYPERLINK("http://www.twitter.com/NathanBLawrence/status/988544542717734915", "988544542717734915")</f>
        <v/>
      </c>
      <c r="B2169" s="2" t="n">
        <v>43213.93471064815</v>
      </c>
      <c r="C2169" t="n">
        <v>0</v>
      </c>
      <c r="D2169" t="n">
        <v>12</v>
      </c>
      <c r="E2169" t="s">
        <v>2164</v>
      </c>
      <c r="F2169">
        <f>HYPERLINK("http://pbs.twimg.com/media/Dbf0oyfU8AA4Tbe.jpg", "http://pbs.twimg.com/media/Dbf0oyfU8AA4Tbe.jpg")</f>
        <v/>
      </c>
      <c r="G2169" t="s"/>
      <c r="H2169" t="s"/>
      <c r="I2169" t="s"/>
      <c r="J2169" t="n">
        <v>0</v>
      </c>
      <c r="K2169" t="n">
        <v>0</v>
      </c>
      <c r="L2169" t="n">
        <v>1</v>
      </c>
      <c r="M2169" t="n">
        <v>0</v>
      </c>
    </row>
    <row r="2170" spans="1:13">
      <c r="A2170" s="1">
        <f>HYPERLINK("http://www.twitter.com/NathanBLawrence/status/988544495422713858", "988544495422713858")</f>
        <v/>
      </c>
      <c r="B2170" s="2" t="n">
        <v>43213.93458333334</v>
      </c>
      <c r="C2170" t="n">
        <v>0</v>
      </c>
      <c r="D2170" t="n">
        <v>7</v>
      </c>
      <c r="E2170" t="s">
        <v>2165</v>
      </c>
      <c r="F2170" t="s"/>
      <c r="G2170" t="s"/>
      <c r="H2170" t="s"/>
      <c r="I2170" t="s"/>
      <c r="J2170" t="n">
        <v>-0.7717000000000001</v>
      </c>
      <c r="K2170" t="n">
        <v>0.288</v>
      </c>
      <c r="L2170" t="n">
        <v>0.712</v>
      </c>
      <c r="M2170" t="n">
        <v>0</v>
      </c>
    </row>
    <row r="2171" spans="1:13">
      <c r="A2171" s="1">
        <f>HYPERLINK("http://www.twitter.com/NathanBLawrence/status/988544466922323968", "988544466922323968")</f>
        <v/>
      </c>
      <c r="B2171" s="2" t="n">
        <v>43213.93450231481</v>
      </c>
      <c r="C2171" t="n">
        <v>0</v>
      </c>
      <c r="D2171" t="n">
        <v>14</v>
      </c>
      <c r="E2171" t="s">
        <v>2166</v>
      </c>
      <c r="F2171" t="s"/>
      <c r="G2171" t="s"/>
      <c r="H2171" t="s"/>
      <c r="I2171" t="s"/>
      <c r="J2171" t="n">
        <v>0</v>
      </c>
      <c r="K2171" t="n">
        <v>0</v>
      </c>
      <c r="L2171" t="n">
        <v>1</v>
      </c>
      <c r="M2171" t="n">
        <v>0</v>
      </c>
    </row>
    <row r="2172" spans="1:13">
      <c r="A2172" s="1">
        <f>HYPERLINK("http://www.twitter.com/NathanBLawrence/status/988544416850817024", "988544416850817024")</f>
        <v/>
      </c>
      <c r="B2172" s="2" t="n">
        <v>43213.93436342593</v>
      </c>
      <c r="C2172" t="n">
        <v>0</v>
      </c>
      <c r="D2172" t="n">
        <v>9</v>
      </c>
      <c r="E2172" t="s">
        <v>2167</v>
      </c>
      <c r="F2172" t="s"/>
      <c r="G2172" t="s"/>
      <c r="H2172" t="s"/>
      <c r="I2172" t="s"/>
      <c r="J2172" t="n">
        <v>0.6124000000000001</v>
      </c>
      <c r="K2172" t="n">
        <v>0.077</v>
      </c>
      <c r="L2172" t="n">
        <v>0.669</v>
      </c>
      <c r="M2172" t="n">
        <v>0.254</v>
      </c>
    </row>
    <row r="2173" spans="1:13">
      <c r="A2173" s="1">
        <f>HYPERLINK("http://www.twitter.com/NathanBLawrence/status/988544398827884546", "988544398827884546")</f>
        <v/>
      </c>
      <c r="B2173" s="2" t="n">
        <v>43213.93431712963</v>
      </c>
      <c r="C2173" t="n">
        <v>0</v>
      </c>
      <c r="D2173" t="n">
        <v>18</v>
      </c>
      <c r="E2173" t="s">
        <v>2168</v>
      </c>
      <c r="F2173" t="s"/>
      <c r="G2173" t="s"/>
      <c r="H2173" t="s"/>
      <c r="I2173" t="s"/>
      <c r="J2173" t="n">
        <v>0</v>
      </c>
      <c r="K2173" t="n">
        <v>0</v>
      </c>
      <c r="L2173" t="n">
        <v>1</v>
      </c>
      <c r="M2173" t="n">
        <v>0</v>
      </c>
    </row>
    <row r="2174" spans="1:13">
      <c r="A2174" s="1">
        <f>HYPERLINK("http://www.twitter.com/NathanBLawrence/status/988544377915084800", "988544377915084800")</f>
        <v/>
      </c>
      <c r="B2174" s="2" t="n">
        <v>43213.93425925926</v>
      </c>
      <c r="C2174" t="n">
        <v>0</v>
      </c>
      <c r="D2174" t="n">
        <v>12</v>
      </c>
      <c r="E2174" t="s">
        <v>2169</v>
      </c>
      <c r="F2174">
        <f>HYPERLINK("http://pbs.twimg.com/media/Dbf0kviXkAAx0Kd.jpg", "http://pbs.twimg.com/media/Dbf0kviXkAAx0Kd.jpg")</f>
        <v/>
      </c>
      <c r="G2174" t="s"/>
      <c r="H2174" t="s"/>
      <c r="I2174" t="s"/>
      <c r="J2174" t="n">
        <v>0</v>
      </c>
      <c r="K2174" t="n">
        <v>0</v>
      </c>
      <c r="L2174" t="n">
        <v>1</v>
      </c>
      <c r="M2174" t="n">
        <v>0</v>
      </c>
    </row>
    <row r="2175" spans="1:13">
      <c r="A2175" s="1">
        <f>HYPERLINK("http://www.twitter.com/NathanBLawrence/status/988544333753257989", "988544333753257989")</f>
        <v/>
      </c>
      <c r="B2175" s="2" t="n">
        <v>43213.93414351852</v>
      </c>
      <c r="C2175" t="n">
        <v>0</v>
      </c>
      <c r="D2175" t="n">
        <v>13</v>
      </c>
      <c r="E2175" t="s">
        <v>2170</v>
      </c>
      <c r="F2175" t="s"/>
      <c r="G2175" t="s"/>
      <c r="H2175" t="s"/>
      <c r="I2175" t="s"/>
      <c r="J2175" t="n">
        <v>0</v>
      </c>
      <c r="K2175" t="n">
        <v>0</v>
      </c>
      <c r="L2175" t="n">
        <v>1</v>
      </c>
      <c r="M2175" t="n">
        <v>0</v>
      </c>
    </row>
    <row r="2176" spans="1:13">
      <c r="A2176" s="1">
        <f>HYPERLINK("http://www.twitter.com/NathanBLawrence/status/988544319404552193", "988544319404552193")</f>
        <v/>
      </c>
      <c r="B2176" s="2" t="n">
        <v>43213.93409722222</v>
      </c>
      <c r="C2176" t="n">
        <v>0</v>
      </c>
      <c r="D2176" t="n">
        <v>18</v>
      </c>
      <c r="E2176" t="s">
        <v>2171</v>
      </c>
      <c r="F2176" t="s"/>
      <c r="G2176" t="s"/>
      <c r="H2176" t="s"/>
      <c r="I2176" t="s"/>
      <c r="J2176" t="n">
        <v>0</v>
      </c>
      <c r="K2176" t="n">
        <v>0</v>
      </c>
      <c r="L2176" t="n">
        <v>1</v>
      </c>
      <c r="M2176" t="n">
        <v>0</v>
      </c>
    </row>
    <row r="2177" spans="1:13">
      <c r="A2177" s="1">
        <f>HYPERLINK("http://www.twitter.com/NathanBLawrence/status/988544301410942976", "988544301410942976")</f>
        <v/>
      </c>
      <c r="B2177" s="2" t="n">
        <v>43213.93405092593</v>
      </c>
      <c r="C2177" t="n">
        <v>0</v>
      </c>
      <c r="D2177" t="n">
        <v>37</v>
      </c>
      <c r="E2177" t="s">
        <v>2172</v>
      </c>
      <c r="F2177" t="s"/>
      <c r="G2177" t="s"/>
      <c r="H2177" t="s"/>
      <c r="I2177" t="s"/>
      <c r="J2177" t="n">
        <v>0.8564000000000001</v>
      </c>
      <c r="K2177" t="n">
        <v>0</v>
      </c>
      <c r="L2177" t="n">
        <v>0.68</v>
      </c>
      <c r="M2177" t="n">
        <v>0.32</v>
      </c>
    </row>
    <row r="2178" spans="1:13">
      <c r="A2178" s="1">
        <f>HYPERLINK("http://www.twitter.com/NathanBLawrence/status/988544257169481728", "988544257169481728")</f>
        <v/>
      </c>
      <c r="B2178" s="2" t="n">
        <v>43213.93392361111</v>
      </c>
      <c r="C2178" t="n">
        <v>0</v>
      </c>
      <c r="D2178" t="n">
        <v>15</v>
      </c>
      <c r="E2178" t="s">
        <v>2173</v>
      </c>
      <c r="F2178">
        <f>HYPERLINK("http://pbs.twimg.com/media/DbgCG1eX0AExvgY.jpg", "http://pbs.twimg.com/media/DbgCG1eX0AExvgY.jpg")</f>
        <v/>
      </c>
      <c r="G2178" t="s"/>
      <c r="H2178" t="s"/>
      <c r="I2178" t="s"/>
      <c r="J2178" t="n">
        <v>0.4926</v>
      </c>
      <c r="K2178" t="n">
        <v>0</v>
      </c>
      <c r="L2178" t="n">
        <v>0.849</v>
      </c>
      <c r="M2178" t="n">
        <v>0.151</v>
      </c>
    </row>
    <row r="2179" spans="1:13">
      <c r="A2179" s="1">
        <f>HYPERLINK("http://www.twitter.com/NathanBLawrence/status/988544226836217856", "988544226836217856")</f>
        <v/>
      </c>
      <c r="B2179" s="2" t="n">
        <v>43213.9338425926</v>
      </c>
      <c r="C2179" t="n">
        <v>4</v>
      </c>
      <c r="D2179" t="n">
        <v>3</v>
      </c>
      <c r="E2179" t="s">
        <v>2174</v>
      </c>
      <c r="F2179" t="s"/>
      <c r="G2179" t="s"/>
      <c r="H2179" t="s"/>
      <c r="I2179" t="s"/>
      <c r="J2179" t="n">
        <v>0.1655</v>
      </c>
      <c r="K2179" t="n">
        <v>0.115</v>
      </c>
      <c r="L2179" t="n">
        <v>0.67</v>
      </c>
      <c r="M2179" t="n">
        <v>0.214</v>
      </c>
    </row>
    <row r="2180" spans="1:13">
      <c r="A2180" s="1">
        <f>HYPERLINK("http://www.twitter.com/NathanBLawrence/status/988544117843156998", "988544117843156998")</f>
        <v/>
      </c>
      <c r="B2180" s="2" t="n">
        <v>43213.93354166667</v>
      </c>
      <c r="C2180" t="n">
        <v>0</v>
      </c>
      <c r="D2180" t="n">
        <v>26</v>
      </c>
      <c r="E2180" t="s">
        <v>2175</v>
      </c>
      <c r="F2180" t="s"/>
      <c r="G2180" t="s"/>
      <c r="H2180" t="s"/>
      <c r="I2180" t="s"/>
      <c r="J2180" t="n">
        <v>0.4019</v>
      </c>
      <c r="K2180" t="n">
        <v>0</v>
      </c>
      <c r="L2180" t="n">
        <v>0.828</v>
      </c>
      <c r="M2180" t="n">
        <v>0.172</v>
      </c>
    </row>
    <row r="2181" spans="1:13">
      <c r="A2181" s="1">
        <f>HYPERLINK("http://www.twitter.com/NathanBLawrence/status/988522825085530114", "988522825085530114")</f>
        <v/>
      </c>
      <c r="B2181" s="2" t="n">
        <v>43213.87479166667</v>
      </c>
      <c r="C2181" t="n">
        <v>0</v>
      </c>
      <c r="D2181" t="n">
        <v>1</v>
      </c>
      <c r="E2181" t="s">
        <v>2176</v>
      </c>
      <c r="F2181" t="s"/>
      <c r="G2181" t="s"/>
      <c r="H2181" t="s"/>
      <c r="I2181" t="s"/>
      <c r="J2181" t="n">
        <v>0</v>
      </c>
      <c r="K2181" t="n">
        <v>0</v>
      </c>
      <c r="L2181" t="n">
        <v>1</v>
      </c>
      <c r="M2181" t="n">
        <v>0</v>
      </c>
    </row>
    <row r="2182" spans="1:13">
      <c r="A2182" s="1">
        <f>HYPERLINK("http://www.twitter.com/NathanBLawrence/status/988522810527150080", "988522810527150080")</f>
        <v/>
      </c>
      <c r="B2182" s="2" t="n">
        <v>43213.87474537037</v>
      </c>
      <c r="C2182" t="n">
        <v>0</v>
      </c>
      <c r="D2182" t="n">
        <v>14</v>
      </c>
      <c r="E2182" t="s">
        <v>2177</v>
      </c>
      <c r="F2182" t="s"/>
      <c r="G2182" t="s"/>
      <c r="H2182" t="s"/>
      <c r="I2182" t="s"/>
      <c r="J2182" t="n">
        <v>0.296</v>
      </c>
      <c r="K2182" t="n">
        <v>0</v>
      </c>
      <c r="L2182" t="n">
        <v>0.901</v>
      </c>
      <c r="M2182" t="n">
        <v>0.099</v>
      </c>
    </row>
    <row r="2183" spans="1:13">
      <c r="A2183" s="1">
        <f>HYPERLINK("http://www.twitter.com/NathanBLawrence/status/988522792365842432", "988522792365842432")</f>
        <v/>
      </c>
      <c r="B2183" s="2" t="n">
        <v>43213.87469907408</v>
      </c>
      <c r="C2183" t="n">
        <v>0</v>
      </c>
      <c r="D2183" t="n">
        <v>5</v>
      </c>
      <c r="E2183" t="s">
        <v>2178</v>
      </c>
      <c r="F2183" t="s"/>
      <c r="G2183" t="s"/>
      <c r="H2183" t="s"/>
      <c r="I2183" t="s"/>
      <c r="J2183" t="n">
        <v>0.296</v>
      </c>
      <c r="K2183" t="n">
        <v>0</v>
      </c>
      <c r="L2183" t="n">
        <v>0.896</v>
      </c>
      <c r="M2183" t="n">
        <v>0.104</v>
      </c>
    </row>
    <row r="2184" spans="1:13">
      <c r="A2184" s="1">
        <f>HYPERLINK("http://www.twitter.com/NathanBLawrence/status/988522777119547392", "988522777119547392")</f>
        <v/>
      </c>
      <c r="B2184" s="2" t="n">
        <v>43213.87465277778</v>
      </c>
      <c r="C2184" t="n">
        <v>0</v>
      </c>
      <c r="D2184" t="n">
        <v>2</v>
      </c>
      <c r="E2184" t="s">
        <v>2179</v>
      </c>
      <c r="F2184" t="s"/>
      <c r="G2184" t="s"/>
      <c r="H2184" t="s"/>
      <c r="I2184" t="s"/>
      <c r="J2184" t="n">
        <v>0</v>
      </c>
      <c r="K2184" t="n">
        <v>0</v>
      </c>
      <c r="L2184" t="n">
        <v>1</v>
      </c>
      <c r="M2184" t="n">
        <v>0</v>
      </c>
    </row>
    <row r="2185" spans="1:13">
      <c r="A2185" s="1">
        <f>HYPERLINK("http://www.twitter.com/NathanBLawrence/status/988522735277142022", "988522735277142022")</f>
        <v/>
      </c>
      <c r="B2185" s="2" t="n">
        <v>43213.87453703704</v>
      </c>
      <c r="C2185" t="n">
        <v>0</v>
      </c>
      <c r="D2185" t="n">
        <v>10</v>
      </c>
      <c r="E2185" t="s">
        <v>2180</v>
      </c>
      <c r="F2185" t="s"/>
      <c r="G2185" t="s"/>
      <c r="H2185" t="s"/>
      <c r="I2185" t="s"/>
      <c r="J2185" t="n">
        <v>-0.296</v>
      </c>
      <c r="K2185" t="n">
        <v>0.091</v>
      </c>
      <c r="L2185" t="n">
        <v>0.909</v>
      </c>
      <c r="M2185" t="n">
        <v>0</v>
      </c>
    </row>
    <row r="2186" spans="1:13">
      <c r="A2186" s="1">
        <f>HYPERLINK("http://www.twitter.com/NathanBLawrence/status/988522719586209792", "988522719586209792")</f>
        <v/>
      </c>
      <c r="B2186" s="2" t="n">
        <v>43213.87449074074</v>
      </c>
      <c r="C2186" t="n">
        <v>0</v>
      </c>
      <c r="D2186" t="n">
        <v>8</v>
      </c>
      <c r="E2186" t="s">
        <v>2181</v>
      </c>
      <c r="F2186" t="s"/>
      <c r="G2186" t="s"/>
      <c r="H2186" t="s"/>
      <c r="I2186" t="s"/>
      <c r="J2186" t="n">
        <v>0</v>
      </c>
      <c r="K2186" t="n">
        <v>0</v>
      </c>
      <c r="L2186" t="n">
        <v>1</v>
      </c>
      <c r="M2186" t="n">
        <v>0</v>
      </c>
    </row>
    <row r="2187" spans="1:13">
      <c r="A2187" s="1">
        <f>HYPERLINK("http://www.twitter.com/NathanBLawrence/status/988522701932417024", "988522701932417024")</f>
        <v/>
      </c>
      <c r="B2187" s="2" t="n">
        <v>43213.87444444445</v>
      </c>
      <c r="C2187" t="n">
        <v>0</v>
      </c>
      <c r="D2187" t="n">
        <v>3</v>
      </c>
      <c r="E2187" t="s">
        <v>2182</v>
      </c>
      <c r="F2187">
        <f>HYPERLINK("http://pbs.twimg.com/media/DbftomnUwAA-OJN.jpg", "http://pbs.twimg.com/media/DbftomnUwAA-OJN.jpg")</f>
        <v/>
      </c>
      <c r="G2187" t="s"/>
      <c r="H2187" t="s"/>
      <c r="I2187" t="s"/>
      <c r="J2187" t="n">
        <v>0</v>
      </c>
      <c r="K2187" t="n">
        <v>0</v>
      </c>
      <c r="L2187" t="n">
        <v>1</v>
      </c>
      <c r="M2187" t="n">
        <v>0</v>
      </c>
    </row>
    <row r="2188" spans="1:13">
      <c r="A2188" s="1">
        <f>HYPERLINK("http://www.twitter.com/NathanBLawrence/status/988522662854094851", "988522662854094851")</f>
        <v/>
      </c>
      <c r="B2188" s="2" t="n">
        <v>43213.87434027778</v>
      </c>
      <c r="C2188" t="n">
        <v>0</v>
      </c>
      <c r="D2188" t="n">
        <v>11</v>
      </c>
      <c r="E2188" t="s">
        <v>2183</v>
      </c>
      <c r="F2188" t="s"/>
      <c r="G2188" t="s"/>
      <c r="H2188" t="s"/>
      <c r="I2188" t="s"/>
      <c r="J2188" t="n">
        <v>0</v>
      </c>
      <c r="K2188" t="n">
        <v>0</v>
      </c>
      <c r="L2188" t="n">
        <v>1</v>
      </c>
      <c r="M2188" t="n">
        <v>0</v>
      </c>
    </row>
    <row r="2189" spans="1:13">
      <c r="A2189" s="1">
        <f>HYPERLINK("http://www.twitter.com/NathanBLawrence/status/988522597410377731", "988522597410377731")</f>
        <v/>
      </c>
      <c r="B2189" s="2" t="n">
        <v>43213.87415509259</v>
      </c>
      <c r="C2189" t="n">
        <v>0</v>
      </c>
      <c r="D2189" t="n">
        <v>2</v>
      </c>
      <c r="E2189" t="s">
        <v>2184</v>
      </c>
      <c r="F2189" t="s"/>
      <c r="G2189" t="s"/>
      <c r="H2189" t="s"/>
      <c r="I2189" t="s"/>
      <c r="J2189" t="n">
        <v>0</v>
      </c>
      <c r="K2189" t="n">
        <v>0</v>
      </c>
      <c r="L2189" t="n">
        <v>1</v>
      </c>
      <c r="M2189" t="n">
        <v>0</v>
      </c>
    </row>
    <row r="2190" spans="1:13">
      <c r="A2190" s="1">
        <f>HYPERLINK("http://www.twitter.com/NathanBLawrence/status/988522529701744648", "988522529701744648")</f>
        <v/>
      </c>
      <c r="B2190" s="2" t="n">
        <v>43213.87396990741</v>
      </c>
      <c r="C2190" t="n">
        <v>0</v>
      </c>
      <c r="D2190" t="n">
        <v>40</v>
      </c>
      <c r="E2190" t="s">
        <v>2185</v>
      </c>
      <c r="F2190" t="s"/>
      <c r="G2190" t="s"/>
      <c r="H2190" t="s"/>
      <c r="I2190" t="s"/>
      <c r="J2190" t="n">
        <v>0</v>
      </c>
      <c r="K2190" t="n">
        <v>0</v>
      </c>
      <c r="L2190" t="n">
        <v>1</v>
      </c>
      <c r="M2190" t="n">
        <v>0</v>
      </c>
    </row>
    <row r="2191" spans="1:13">
      <c r="A2191" s="1">
        <f>HYPERLINK("http://www.twitter.com/NathanBLawrence/status/988493499606675456", "988493499606675456")</f>
        <v/>
      </c>
      <c r="B2191" s="2" t="n">
        <v>43213.79386574074</v>
      </c>
      <c r="C2191" t="n">
        <v>0</v>
      </c>
      <c r="D2191" t="n">
        <v>5</v>
      </c>
      <c r="E2191" t="s">
        <v>2186</v>
      </c>
      <c r="F2191" t="s"/>
      <c r="G2191" t="s"/>
      <c r="H2191" t="s"/>
      <c r="I2191" t="s"/>
      <c r="J2191" t="n">
        <v>0.0772</v>
      </c>
      <c r="K2191" t="n">
        <v>0.179</v>
      </c>
      <c r="L2191" t="n">
        <v>0.632</v>
      </c>
      <c r="M2191" t="n">
        <v>0.189</v>
      </c>
    </row>
    <row r="2192" spans="1:13">
      <c r="A2192" s="1">
        <f>HYPERLINK("http://www.twitter.com/NathanBLawrence/status/988493172140658688", "988493172140658688")</f>
        <v/>
      </c>
      <c r="B2192" s="2" t="n">
        <v>43213.79296296297</v>
      </c>
      <c r="C2192" t="n">
        <v>0</v>
      </c>
      <c r="D2192" t="n">
        <v>5</v>
      </c>
      <c r="E2192" t="s">
        <v>2187</v>
      </c>
      <c r="F2192" t="s"/>
      <c r="G2192" t="s"/>
      <c r="H2192" t="s"/>
      <c r="I2192" t="s"/>
      <c r="J2192" t="n">
        <v>-0.3818</v>
      </c>
      <c r="K2192" t="n">
        <v>0.126</v>
      </c>
      <c r="L2192" t="n">
        <v>0.874</v>
      </c>
      <c r="M2192" t="n">
        <v>0</v>
      </c>
    </row>
    <row r="2193" spans="1:13">
      <c r="A2193" s="1">
        <f>HYPERLINK("http://www.twitter.com/NathanBLawrence/status/988493101365977095", "988493101365977095")</f>
        <v/>
      </c>
      <c r="B2193" s="2" t="n">
        <v>43213.7927662037</v>
      </c>
      <c r="C2193" t="n">
        <v>4</v>
      </c>
      <c r="D2193" t="n">
        <v>5</v>
      </c>
      <c r="E2193" t="s">
        <v>2188</v>
      </c>
      <c r="F2193" t="s"/>
      <c r="G2193" t="s"/>
      <c r="H2193" t="s"/>
      <c r="I2193" t="s"/>
      <c r="J2193" t="n">
        <v>-0.7964</v>
      </c>
      <c r="K2193" t="n">
        <v>0.246</v>
      </c>
      <c r="L2193" t="n">
        <v>0.662</v>
      </c>
      <c r="M2193" t="n">
        <v>0.092</v>
      </c>
    </row>
    <row r="2194" spans="1:13">
      <c r="A2194" s="1">
        <f>HYPERLINK("http://www.twitter.com/NathanBLawrence/status/988492253357400065", "988492253357400065")</f>
        <v/>
      </c>
      <c r="B2194" s="2" t="n">
        <v>43213.79042824074</v>
      </c>
      <c r="C2194" t="n">
        <v>0</v>
      </c>
      <c r="D2194" t="n">
        <v>8</v>
      </c>
      <c r="E2194" t="s">
        <v>2189</v>
      </c>
      <c r="F2194" t="s"/>
      <c r="G2194" t="s"/>
      <c r="H2194" t="s"/>
      <c r="I2194" t="s"/>
      <c r="J2194" t="n">
        <v>0</v>
      </c>
      <c r="K2194" t="n">
        <v>0</v>
      </c>
      <c r="L2194" t="n">
        <v>1</v>
      </c>
      <c r="M2194" t="n">
        <v>0</v>
      </c>
    </row>
    <row r="2195" spans="1:13">
      <c r="A2195" s="1">
        <f>HYPERLINK("http://www.twitter.com/NathanBLawrence/status/988492224697634816", "988492224697634816")</f>
        <v/>
      </c>
      <c r="B2195" s="2" t="n">
        <v>43213.79034722222</v>
      </c>
      <c r="C2195" t="n">
        <v>0</v>
      </c>
      <c r="D2195" t="n">
        <v>4</v>
      </c>
      <c r="E2195" t="s">
        <v>2190</v>
      </c>
      <c r="F2195" t="s"/>
      <c r="G2195" t="s"/>
      <c r="H2195" t="s"/>
      <c r="I2195" t="s"/>
      <c r="J2195" t="n">
        <v>-0.0258</v>
      </c>
      <c r="K2195" t="n">
        <v>0.106</v>
      </c>
      <c r="L2195" t="n">
        <v>0.793</v>
      </c>
      <c r="M2195" t="n">
        <v>0.101</v>
      </c>
    </row>
    <row r="2196" spans="1:13">
      <c r="A2196" s="1">
        <f>HYPERLINK("http://www.twitter.com/NathanBLawrence/status/988492192837750785", "988492192837750785")</f>
        <v/>
      </c>
      <c r="B2196" s="2" t="n">
        <v>43213.79025462963</v>
      </c>
      <c r="C2196" t="n">
        <v>0</v>
      </c>
      <c r="D2196" t="n">
        <v>5</v>
      </c>
      <c r="E2196" t="s">
        <v>2191</v>
      </c>
      <c r="F2196">
        <f>HYPERLINK("http://pbs.twimg.com/media/Dbe1c7oWAAA7gm_.jpg", "http://pbs.twimg.com/media/Dbe1c7oWAAA7gm_.jpg")</f>
        <v/>
      </c>
      <c r="G2196" t="s"/>
      <c r="H2196" t="s"/>
      <c r="I2196" t="s"/>
      <c r="J2196" t="n">
        <v>-0.3412</v>
      </c>
      <c r="K2196" t="n">
        <v>0.124</v>
      </c>
      <c r="L2196" t="n">
        <v>0.876</v>
      </c>
      <c r="M2196" t="n">
        <v>0</v>
      </c>
    </row>
    <row r="2197" spans="1:13">
      <c r="A2197" s="1">
        <f>HYPERLINK("http://www.twitter.com/NathanBLawrence/status/988492115612233728", "988492115612233728")</f>
        <v/>
      </c>
      <c r="B2197" s="2" t="n">
        <v>43213.79004629629</v>
      </c>
      <c r="C2197" t="n">
        <v>0</v>
      </c>
      <c r="D2197" t="n">
        <v>7</v>
      </c>
      <c r="E2197" t="s">
        <v>2192</v>
      </c>
      <c r="F2197">
        <f>HYPERLINK("http://pbs.twimg.com/media/Dbevx3gWsAEPkW9.jpg", "http://pbs.twimg.com/media/Dbevx3gWsAEPkW9.jpg")</f>
        <v/>
      </c>
      <c r="G2197" t="s"/>
      <c r="H2197" t="s"/>
      <c r="I2197" t="s"/>
      <c r="J2197" t="n">
        <v>-0.3612</v>
      </c>
      <c r="K2197" t="n">
        <v>0.098</v>
      </c>
      <c r="L2197" t="n">
        <v>0.902</v>
      </c>
      <c r="M2197" t="n">
        <v>0</v>
      </c>
    </row>
    <row r="2198" spans="1:13">
      <c r="A2198" s="1">
        <f>HYPERLINK("http://www.twitter.com/NathanBLawrence/status/988491712053080065", "988491712053080065")</f>
        <v/>
      </c>
      <c r="B2198" s="2" t="n">
        <v>43213.78893518518</v>
      </c>
      <c r="C2198" t="n">
        <v>0</v>
      </c>
      <c r="D2198" t="n">
        <v>24210</v>
      </c>
      <c r="E2198" t="s">
        <v>2193</v>
      </c>
      <c r="F2198" t="s"/>
      <c r="G2198" t="s"/>
      <c r="H2198" t="s"/>
      <c r="I2198" t="s"/>
      <c r="J2198" t="n">
        <v>-0.5106000000000001</v>
      </c>
      <c r="K2198" t="n">
        <v>0.121</v>
      </c>
      <c r="L2198" t="n">
        <v>0.879</v>
      </c>
      <c r="M2198" t="n">
        <v>0</v>
      </c>
    </row>
    <row r="2199" spans="1:13">
      <c r="A2199" s="1">
        <f>HYPERLINK("http://www.twitter.com/NathanBLawrence/status/988491688879493120", "988491688879493120")</f>
        <v/>
      </c>
      <c r="B2199" s="2" t="n">
        <v>43213.78886574074</v>
      </c>
      <c r="C2199" t="n">
        <v>0</v>
      </c>
      <c r="D2199" t="n">
        <v>73</v>
      </c>
      <c r="E2199" t="s">
        <v>2194</v>
      </c>
      <c r="F2199" t="s"/>
      <c r="G2199" t="s"/>
      <c r="H2199" t="s"/>
      <c r="I2199" t="s"/>
      <c r="J2199" t="n">
        <v>-0.4215</v>
      </c>
      <c r="K2199" t="n">
        <v>0.203</v>
      </c>
      <c r="L2199" t="n">
        <v>0.797</v>
      </c>
      <c r="M2199" t="n">
        <v>0</v>
      </c>
    </row>
    <row r="2200" spans="1:13">
      <c r="A2200" s="1">
        <f>HYPERLINK("http://www.twitter.com/NathanBLawrence/status/988491677806587910", "988491677806587910")</f>
        <v/>
      </c>
      <c r="B2200" s="2" t="n">
        <v>43213.78883101852</v>
      </c>
      <c r="C2200" t="n">
        <v>0</v>
      </c>
      <c r="D2200" t="n">
        <v>20</v>
      </c>
      <c r="E2200" t="s">
        <v>2195</v>
      </c>
      <c r="F2200" t="s"/>
      <c r="G2200" t="s"/>
      <c r="H2200" t="s"/>
      <c r="I2200" t="s"/>
      <c r="J2200" t="n">
        <v>0</v>
      </c>
      <c r="K2200" t="n">
        <v>0</v>
      </c>
      <c r="L2200" t="n">
        <v>1</v>
      </c>
      <c r="M2200" t="n">
        <v>0</v>
      </c>
    </row>
    <row r="2201" spans="1:13">
      <c r="A2201" s="1">
        <f>HYPERLINK("http://www.twitter.com/NathanBLawrence/status/988491632038334465", "988491632038334465")</f>
        <v/>
      </c>
      <c r="B2201" s="2" t="n">
        <v>43213.78871527778</v>
      </c>
      <c r="C2201" t="n">
        <v>0</v>
      </c>
      <c r="D2201" t="n">
        <v>22976</v>
      </c>
      <c r="E2201" t="s">
        <v>2196</v>
      </c>
      <c r="F2201" t="s"/>
      <c r="G2201" t="s"/>
      <c r="H2201" t="s"/>
      <c r="I2201" t="s"/>
      <c r="J2201" t="n">
        <v>-0.6249</v>
      </c>
      <c r="K2201" t="n">
        <v>0.181</v>
      </c>
      <c r="L2201" t="n">
        <v>0.819</v>
      </c>
      <c r="M2201" t="n">
        <v>0</v>
      </c>
    </row>
    <row r="2202" spans="1:13">
      <c r="A2202" s="1">
        <f>HYPERLINK("http://www.twitter.com/NathanBLawrence/status/988491551650218001", "988491551650218001")</f>
        <v/>
      </c>
      <c r="B2202" s="2" t="n">
        <v>43213.7884837963</v>
      </c>
      <c r="C2202" t="n">
        <v>3</v>
      </c>
      <c r="D2202" t="n">
        <v>2</v>
      </c>
      <c r="E2202" t="s">
        <v>2197</v>
      </c>
      <c r="F2202" t="s"/>
      <c r="G2202" t="s"/>
      <c r="H2202" t="s"/>
      <c r="I2202" t="s"/>
      <c r="J2202" t="n">
        <v>0</v>
      </c>
      <c r="K2202" t="n">
        <v>0</v>
      </c>
      <c r="L2202" t="n">
        <v>1</v>
      </c>
      <c r="M2202" t="n">
        <v>0</v>
      </c>
    </row>
    <row r="2203" spans="1:13">
      <c r="A2203" s="1">
        <f>HYPERLINK("http://www.twitter.com/NathanBLawrence/status/988491304475774978", "988491304475774978")</f>
        <v/>
      </c>
      <c r="B2203" s="2" t="n">
        <v>43213.78780092593</v>
      </c>
      <c r="C2203" t="n">
        <v>0</v>
      </c>
      <c r="D2203" t="n">
        <v>1255</v>
      </c>
      <c r="E2203" t="s">
        <v>2198</v>
      </c>
      <c r="F2203" t="s"/>
      <c r="G2203" t="s"/>
      <c r="H2203" t="s"/>
      <c r="I2203" t="s"/>
      <c r="J2203" t="n">
        <v>0.3612</v>
      </c>
      <c r="K2203" t="n">
        <v>0</v>
      </c>
      <c r="L2203" t="n">
        <v>0.884</v>
      </c>
      <c r="M2203" t="n">
        <v>0.116</v>
      </c>
    </row>
    <row r="2204" spans="1:13">
      <c r="A2204" s="1">
        <f>HYPERLINK("http://www.twitter.com/NathanBLawrence/status/988491257335959560", "988491257335959560")</f>
        <v/>
      </c>
      <c r="B2204" s="2" t="n">
        <v>43213.78767361111</v>
      </c>
      <c r="C2204" t="n">
        <v>0</v>
      </c>
      <c r="D2204" t="n">
        <v>2065</v>
      </c>
      <c r="E2204" t="s">
        <v>2199</v>
      </c>
      <c r="F2204">
        <f>HYPERLINK("https://video.twimg.com/amplify_video/988456620907749377/vid/1280x720/Jb5pK-FGqrt4hpW_.mp4?tag=6", "https://video.twimg.com/amplify_video/988456620907749377/vid/1280x720/Jb5pK-FGqrt4hpW_.mp4?tag=6")</f>
        <v/>
      </c>
      <c r="G2204" t="s"/>
      <c r="H2204" t="s"/>
      <c r="I2204" t="s"/>
      <c r="J2204" t="n">
        <v>-0.1697</v>
      </c>
      <c r="K2204" t="n">
        <v>0.153</v>
      </c>
      <c r="L2204" t="n">
        <v>0.722</v>
      </c>
      <c r="M2204" t="n">
        <v>0.125</v>
      </c>
    </row>
    <row r="2205" spans="1:13">
      <c r="A2205" s="1">
        <f>HYPERLINK("http://www.twitter.com/NathanBLawrence/status/988491246481166336", "988491246481166336")</f>
        <v/>
      </c>
      <c r="B2205" s="2" t="n">
        <v>43213.78765046296</v>
      </c>
      <c r="C2205" t="n">
        <v>0</v>
      </c>
      <c r="D2205" t="n">
        <v>6858</v>
      </c>
      <c r="E2205" t="s">
        <v>2200</v>
      </c>
      <c r="F2205" t="s"/>
      <c r="G2205" t="s"/>
      <c r="H2205" t="s"/>
      <c r="I2205" t="s"/>
      <c r="J2205" t="n">
        <v>0</v>
      </c>
      <c r="K2205" t="n">
        <v>0</v>
      </c>
      <c r="L2205" t="n">
        <v>1</v>
      </c>
      <c r="M2205" t="n">
        <v>0</v>
      </c>
    </row>
    <row r="2206" spans="1:13">
      <c r="A2206" s="1">
        <f>HYPERLINK("http://www.twitter.com/NathanBLawrence/status/988491032412160000", "988491032412160000")</f>
        <v/>
      </c>
      <c r="B2206" s="2" t="n">
        <v>43213.78706018518</v>
      </c>
      <c r="C2206" t="n">
        <v>0</v>
      </c>
      <c r="D2206" t="n">
        <v>0</v>
      </c>
      <c r="E2206" t="s">
        <v>2201</v>
      </c>
      <c r="F2206" t="s"/>
      <c r="G2206" t="s"/>
      <c r="H2206" t="s"/>
      <c r="I2206" t="s"/>
      <c r="J2206" t="n">
        <v>0.6369</v>
      </c>
      <c r="K2206" t="n">
        <v>0</v>
      </c>
      <c r="L2206" t="n">
        <v>0.323</v>
      </c>
      <c r="M2206" t="n">
        <v>0.677</v>
      </c>
    </row>
    <row r="2207" spans="1:13">
      <c r="A2207" s="1">
        <f>HYPERLINK("http://www.twitter.com/NathanBLawrence/status/988490797329866754", "988490797329866754")</f>
        <v/>
      </c>
      <c r="B2207" s="2" t="n">
        <v>43213.78641203704</v>
      </c>
      <c r="C2207" t="n">
        <v>0</v>
      </c>
      <c r="D2207" t="n">
        <v>4091</v>
      </c>
      <c r="E2207" t="s">
        <v>2202</v>
      </c>
      <c r="F2207">
        <f>HYPERLINK("https://video.twimg.com/ext_tw_video/988454719335972864/pu/vid/720x1280/KPm5Lmivo45NsxUV.mp4?tag=3", "https://video.twimg.com/ext_tw_video/988454719335972864/pu/vid/720x1280/KPm5Lmivo45NsxUV.mp4?tag=3")</f>
        <v/>
      </c>
      <c r="G2207" t="s"/>
      <c r="H2207" t="s"/>
      <c r="I2207" t="s"/>
      <c r="J2207" t="n">
        <v>0</v>
      </c>
      <c r="K2207" t="n">
        <v>0</v>
      </c>
      <c r="L2207" t="n">
        <v>1</v>
      </c>
      <c r="M2207" t="n">
        <v>0</v>
      </c>
    </row>
    <row r="2208" spans="1:13">
      <c r="A2208" s="1">
        <f>HYPERLINK("http://www.twitter.com/NathanBLawrence/status/988490783673212929", "988490783673212929")</f>
        <v/>
      </c>
      <c r="B2208" s="2" t="n">
        <v>43213.78636574074</v>
      </c>
      <c r="C2208" t="n">
        <v>0</v>
      </c>
      <c r="D2208" t="n">
        <v>19533</v>
      </c>
      <c r="E2208" t="s">
        <v>2203</v>
      </c>
      <c r="F2208" t="s"/>
      <c r="G2208" t="s"/>
      <c r="H2208" t="s"/>
      <c r="I2208" t="s"/>
      <c r="J2208" t="n">
        <v>-0.7003</v>
      </c>
      <c r="K2208" t="n">
        <v>0.186</v>
      </c>
      <c r="L2208" t="n">
        <v>0.8139999999999999</v>
      </c>
      <c r="M2208" t="n">
        <v>0</v>
      </c>
    </row>
    <row r="2209" spans="1:13">
      <c r="A2209" s="1">
        <f>HYPERLINK("http://www.twitter.com/NathanBLawrence/status/988490758561914880", "988490758561914880")</f>
        <v/>
      </c>
      <c r="B2209" s="2" t="n">
        <v>43213.7862962963</v>
      </c>
      <c r="C2209" t="n">
        <v>0</v>
      </c>
      <c r="D2209" t="n">
        <v>18425</v>
      </c>
      <c r="E2209" t="s">
        <v>2204</v>
      </c>
      <c r="F2209" t="s"/>
      <c r="G2209" t="s"/>
      <c r="H2209" t="s"/>
      <c r="I2209" t="s"/>
      <c r="J2209" t="n">
        <v>0.6705</v>
      </c>
      <c r="K2209" t="n">
        <v>0</v>
      </c>
      <c r="L2209" t="n">
        <v>0.621</v>
      </c>
      <c r="M2209" t="n">
        <v>0.379</v>
      </c>
    </row>
    <row r="2210" spans="1:13">
      <c r="A2210" s="1">
        <f>HYPERLINK("http://www.twitter.com/NathanBLawrence/status/988490741390495744", "988490741390495744")</f>
        <v/>
      </c>
      <c r="B2210" s="2" t="n">
        <v>43213.78625</v>
      </c>
      <c r="C2210" t="n">
        <v>0</v>
      </c>
      <c r="D2210" t="n">
        <v>1263</v>
      </c>
      <c r="E2210" t="s">
        <v>2205</v>
      </c>
      <c r="F2210" t="s"/>
      <c r="G2210" t="s"/>
      <c r="H2210" t="s"/>
      <c r="I2210" t="s"/>
      <c r="J2210" t="n">
        <v>0</v>
      </c>
      <c r="K2210" t="n">
        <v>0</v>
      </c>
      <c r="L2210" t="n">
        <v>1</v>
      </c>
      <c r="M2210" t="n">
        <v>0</v>
      </c>
    </row>
    <row r="2211" spans="1:13">
      <c r="A2211" s="1">
        <f>HYPERLINK("http://www.twitter.com/NathanBLawrence/status/988490699418062849", "988490699418062849")</f>
        <v/>
      </c>
      <c r="B2211" s="2" t="n">
        <v>43213.78613425926</v>
      </c>
      <c r="C2211" t="n">
        <v>0</v>
      </c>
      <c r="D2211" t="n">
        <v>7</v>
      </c>
      <c r="E2211" t="s">
        <v>2206</v>
      </c>
      <c r="F2211" t="s"/>
      <c r="G2211" t="s"/>
      <c r="H2211" t="s"/>
      <c r="I2211" t="s"/>
      <c r="J2211" t="n">
        <v>0.2023</v>
      </c>
      <c r="K2211" t="n">
        <v>0</v>
      </c>
      <c r="L2211" t="n">
        <v>0.833</v>
      </c>
      <c r="M2211" t="n">
        <v>0.167</v>
      </c>
    </row>
    <row r="2212" spans="1:13">
      <c r="A2212" s="1">
        <f>HYPERLINK("http://www.twitter.com/NathanBLawrence/status/988490685560115201", "988490685560115201")</f>
        <v/>
      </c>
      <c r="B2212" s="2" t="n">
        <v>43213.78609953704</v>
      </c>
      <c r="C2212" t="n">
        <v>0</v>
      </c>
      <c r="D2212" t="n">
        <v>129731</v>
      </c>
      <c r="E2212" t="s">
        <v>2207</v>
      </c>
      <c r="F2212" t="s"/>
      <c r="G2212" t="s"/>
      <c r="H2212" t="s"/>
      <c r="I2212" t="s"/>
      <c r="J2212" t="n">
        <v>-0.25</v>
      </c>
      <c r="K2212" t="n">
        <v>0.167</v>
      </c>
      <c r="L2212" t="n">
        <v>0.833</v>
      </c>
      <c r="M2212" t="n">
        <v>0</v>
      </c>
    </row>
    <row r="2213" spans="1:13">
      <c r="A2213" s="1">
        <f>HYPERLINK("http://www.twitter.com/NathanBLawrence/status/988490664634613760", "988490664634613760")</f>
        <v/>
      </c>
      <c r="B2213" s="2" t="n">
        <v>43213.78604166667</v>
      </c>
      <c r="C2213" t="n">
        <v>0</v>
      </c>
      <c r="D2213" t="n">
        <v>1732</v>
      </c>
      <c r="E2213" t="s">
        <v>2208</v>
      </c>
      <c r="F2213" t="s"/>
      <c r="G2213" t="s"/>
      <c r="H2213" t="s"/>
      <c r="I2213" t="s"/>
      <c r="J2213" t="n">
        <v>0.0772</v>
      </c>
      <c r="K2213" t="n">
        <v>0</v>
      </c>
      <c r="L2213" t="n">
        <v>0.794</v>
      </c>
      <c r="M2213" t="n">
        <v>0.206</v>
      </c>
    </row>
    <row r="2214" spans="1:13">
      <c r="A2214" s="1">
        <f>HYPERLINK("http://www.twitter.com/NathanBLawrence/status/988490636969037824", "988490636969037824")</f>
        <v/>
      </c>
      <c r="B2214" s="2" t="n">
        <v>43213.78596064815</v>
      </c>
      <c r="C2214" t="n">
        <v>0</v>
      </c>
      <c r="D2214" t="n">
        <v>0</v>
      </c>
      <c r="E2214" t="s">
        <v>2209</v>
      </c>
      <c r="F2214" t="s"/>
      <c r="G2214" t="s"/>
      <c r="H2214" t="s"/>
      <c r="I2214" t="s"/>
      <c r="J2214" t="n">
        <v>-0.0772</v>
      </c>
      <c r="K2214" t="n">
        <v>0.245</v>
      </c>
      <c r="L2214" t="n">
        <v>0.755</v>
      </c>
      <c r="M2214" t="n">
        <v>0</v>
      </c>
    </row>
    <row r="2215" spans="1:13">
      <c r="A2215" s="1">
        <f>HYPERLINK("http://www.twitter.com/NathanBLawrence/status/988490565519060994", "988490565519060994")</f>
        <v/>
      </c>
      <c r="B2215" s="2" t="n">
        <v>43213.78576388889</v>
      </c>
      <c r="C2215" t="n">
        <v>0</v>
      </c>
      <c r="D2215" t="n">
        <v>11</v>
      </c>
      <c r="E2215" t="s">
        <v>2210</v>
      </c>
      <c r="F2215">
        <f>HYPERLINK("http://pbs.twimg.com/media/DbdzlBhUQAAX0Gz.jpg", "http://pbs.twimg.com/media/DbdzlBhUQAAX0Gz.jpg")</f>
        <v/>
      </c>
      <c r="G2215" t="s"/>
      <c r="H2215" t="s"/>
      <c r="I2215" t="s"/>
      <c r="J2215" t="n">
        <v>0.25</v>
      </c>
      <c r="K2215" t="n">
        <v>0.08699999999999999</v>
      </c>
      <c r="L2215" t="n">
        <v>0.748</v>
      </c>
      <c r="M2215" t="n">
        <v>0.165</v>
      </c>
    </row>
    <row r="2216" spans="1:13">
      <c r="A2216" s="1">
        <f>HYPERLINK("http://www.twitter.com/NathanBLawrence/status/988490541783449602", "988490541783449602")</f>
        <v/>
      </c>
      <c r="B2216" s="2" t="n">
        <v>43213.78570601852</v>
      </c>
      <c r="C2216" t="n">
        <v>0</v>
      </c>
      <c r="D2216" t="n">
        <v>12538</v>
      </c>
      <c r="E2216" t="s">
        <v>2211</v>
      </c>
      <c r="F2216" t="s"/>
      <c r="G2216" t="s"/>
      <c r="H2216" t="s"/>
      <c r="I2216" t="s"/>
      <c r="J2216" t="n">
        <v>-0.6705</v>
      </c>
      <c r="K2216" t="n">
        <v>0.164</v>
      </c>
      <c r="L2216" t="n">
        <v>0.836</v>
      </c>
      <c r="M2216" t="n">
        <v>0</v>
      </c>
    </row>
    <row r="2217" spans="1:13">
      <c r="A2217" s="1">
        <f>HYPERLINK("http://www.twitter.com/NathanBLawrence/status/988490495100891136", "988490495100891136")</f>
        <v/>
      </c>
      <c r="B2217" s="2" t="n">
        <v>43213.78556712963</v>
      </c>
      <c r="C2217" t="n">
        <v>0</v>
      </c>
      <c r="D2217" t="n">
        <v>33294</v>
      </c>
      <c r="E2217" t="s">
        <v>2212</v>
      </c>
      <c r="F2217" t="s"/>
      <c r="G2217" t="s"/>
      <c r="H2217" t="s"/>
      <c r="I2217" t="s"/>
      <c r="J2217" t="n">
        <v>0.8555</v>
      </c>
      <c r="K2217" t="n">
        <v>0</v>
      </c>
      <c r="L2217" t="n">
        <v>0.543</v>
      </c>
      <c r="M2217" t="n">
        <v>0.457</v>
      </c>
    </row>
    <row r="2218" spans="1:13">
      <c r="A2218" s="1">
        <f>HYPERLINK("http://www.twitter.com/NathanBLawrence/status/988489914454020096", "988489914454020096")</f>
        <v/>
      </c>
      <c r="B2218" s="2" t="n">
        <v>43213.78396990741</v>
      </c>
      <c r="C2218" t="n">
        <v>0</v>
      </c>
      <c r="D2218" t="n">
        <v>3669</v>
      </c>
      <c r="E2218" t="s">
        <v>2213</v>
      </c>
      <c r="F2218">
        <f>HYPERLINK("https://video.twimg.com/ext_tw_video/988452242884780033/pu/vid/720x1280/nWf8DccLBBAS0WUY.mp4?tag=3", "https://video.twimg.com/ext_tw_video/988452242884780033/pu/vid/720x1280/nWf8DccLBBAS0WUY.mp4?tag=3")</f>
        <v/>
      </c>
      <c r="G2218" t="s"/>
      <c r="H2218" t="s"/>
      <c r="I2218" t="s"/>
      <c r="J2218" t="n">
        <v>0</v>
      </c>
      <c r="K2218" t="n">
        <v>0</v>
      </c>
      <c r="L2218" t="n">
        <v>1</v>
      </c>
      <c r="M2218" t="n">
        <v>0</v>
      </c>
    </row>
    <row r="2219" spans="1:13">
      <c r="A2219" s="1">
        <f>HYPERLINK("http://www.twitter.com/NathanBLawrence/status/988489893486759941", "988489893486759941")</f>
        <v/>
      </c>
      <c r="B2219" s="2" t="n">
        <v>43213.78391203703</v>
      </c>
      <c r="C2219" t="n">
        <v>0</v>
      </c>
      <c r="D2219" t="n">
        <v>22769</v>
      </c>
      <c r="E2219" t="s">
        <v>2214</v>
      </c>
      <c r="F2219" t="s"/>
      <c r="G2219" t="s"/>
      <c r="H2219" t="s"/>
      <c r="I2219" t="s"/>
      <c r="J2219" t="n">
        <v>-0.1027</v>
      </c>
      <c r="K2219" t="n">
        <v>0.065</v>
      </c>
      <c r="L2219" t="n">
        <v>0.9350000000000001</v>
      </c>
      <c r="M2219" t="n">
        <v>0</v>
      </c>
    </row>
    <row r="2220" spans="1:13">
      <c r="A2220" s="1">
        <f>HYPERLINK("http://www.twitter.com/NathanBLawrence/status/988489841192112128", "988489841192112128")</f>
        <v/>
      </c>
      <c r="B2220" s="2" t="n">
        <v>43213.78377314815</v>
      </c>
      <c r="C2220" t="n">
        <v>0</v>
      </c>
      <c r="D2220" t="n">
        <v>3577</v>
      </c>
      <c r="E2220" t="s">
        <v>2215</v>
      </c>
      <c r="F2220" t="s"/>
      <c r="G2220" t="s"/>
      <c r="H2220" t="s"/>
      <c r="I2220" t="s"/>
      <c r="J2220" t="n">
        <v>0.2023</v>
      </c>
      <c r="K2220" t="n">
        <v>0</v>
      </c>
      <c r="L2220" t="n">
        <v>0.921</v>
      </c>
      <c r="M2220" t="n">
        <v>0.079</v>
      </c>
    </row>
    <row r="2221" spans="1:13">
      <c r="A2221" s="1">
        <f>HYPERLINK("http://www.twitter.com/NathanBLawrence/status/988446446197334017", "988446446197334017")</f>
        <v/>
      </c>
      <c r="B2221" s="2" t="n">
        <v>43213.6640162037</v>
      </c>
      <c r="C2221" t="n">
        <v>0</v>
      </c>
      <c r="D2221" t="n">
        <v>9</v>
      </c>
      <c r="E2221" t="s">
        <v>2216</v>
      </c>
      <c r="F2221" t="s"/>
      <c r="G2221" t="s"/>
      <c r="H2221" t="s"/>
      <c r="I2221" t="s"/>
      <c r="J2221" t="n">
        <v>0</v>
      </c>
      <c r="K2221" t="n">
        <v>0</v>
      </c>
      <c r="L2221" t="n">
        <v>1</v>
      </c>
      <c r="M2221" t="n">
        <v>0</v>
      </c>
    </row>
    <row r="2222" spans="1:13">
      <c r="A2222" s="1">
        <f>HYPERLINK("http://www.twitter.com/NathanBLawrence/status/988446405873356808", "988446405873356808")</f>
        <v/>
      </c>
      <c r="B2222" s="2" t="n">
        <v>43213.66391203704</v>
      </c>
      <c r="C2222" t="n">
        <v>0</v>
      </c>
      <c r="D2222" t="n">
        <v>4</v>
      </c>
      <c r="E2222" t="s">
        <v>2217</v>
      </c>
      <c r="F2222">
        <f>HYPERLINK("http://pbs.twimg.com/media/DbecZzXVwAAuByG.jpg", "http://pbs.twimg.com/media/DbecZzXVwAAuByG.jpg")</f>
        <v/>
      </c>
      <c r="G2222" t="s"/>
      <c r="H2222" t="s"/>
      <c r="I2222" t="s"/>
      <c r="J2222" t="n">
        <v>-0.3818</v>
      </c>
      <c r="K2222" t="n">
        <v>0.126</v>
      </c>
      <c r="L2222" t="n">
        <v>0.874</v>
      </c>
      <c r="M2222" t="n">
        <v>0</v>
      </c>
    </row>
    <row r="2223" spans="1:13">
      <c r="A2223" s="1">
        <f>HYPERLINK("http://www.twitter.com/NathanBLawrence/status/988446373228969984", "988446373228969984")</f>
        <v/>
      </c>
      <c r="B2223" s="2" t="n">
        <v>43213.66381944445</v>
      </c>
      <c r="C2223" t="n">
        <v>0</v>
      </c>
      <c r="D2223" t="n">
        <v>8</v>
      </c>
      <c r="E2223" t="s">
        <v>2218</v>
      </c>
      <c r="F2223" t="s"/>
      <c r="G2223" t="s"/>
      <c r="H2223" t="s"/>
      <c r="I2223" t="s"/>
      <c r="J2223" t="n">
        <v>0</v>
      </c>
      <c r="K2223" t="n">
        <v>0</v>
      </c>
      <c r="L2223" t="n">
        <v>1</v>
      </c>
      <c r="M2223" t="n">
        <v>0</v>
      </c>
    </row>
    <row r="2224" spans="1:13">
      <c r="A2224" s="1">
        <f>HYPERLINK("http://www.twitter.com/NathanBLawrence/status/988446351670292481", "988446351670292481")</f>
        <v/>
      </c>
      <c r="B2224" s="2" t="n">
        <v>43213.66376157408</v>
      </c>
      <c r="C2224" t="n">
        <v>0</v>
      </c>
      <c r="D2224" t="n">
        <v>8</v>
      </c>
      <c r="E2224" t="s">
        <v>2219</v>
      </c>
      <c r="F2224" t="s"/>
      <c r="G2224" t="s"/>
      <c r="H2224" t="s"/>
      <c r="I2224" t="s"/>
      <c r="J2224" t="n">
        <v>0</v>
      </c>
      <c r="K2224" t="n">
        <v>0</v>
      </c>
      <c r="L2224" t="n">
        <v>1</v>
      </c>
      <c r="M2224" t="n">
        <v>0</v>
      </c>
    </row>
    <row r="2225" spans="1:13">
      <c r="A2225" s="1">
        <f>HYPERLINK("http://www.twitter.com/NathanBLawrence/status/988446329801146368", "988446329801146368")</f>
        <v/>
      </c>
      <c r="B2225" s="2" t="n">
        <v>43213.66370370371</v>
      </c>
      <c r="C2225" t="n">
        <v>0</v>
      </c>
      <c r="D2225" t="n">
        <v>13</v>
      </c>
      <c r="E2225" t="s">
        <v>2220</v>
      </c>
      <c r="F2225" t="s"/>
      <c r="G2225" t="s"/>
      <c r="H2225" t="s"/>
      <c r="I2225" t="s"/>
      <c r="J2225" t="n">
        <v>-0.5719</v>
      </c>
      <c r="K2225" t="n">
        <v>0.218</v>
      </c>
      <c r="L2225" t="n">
        <v>0.701</v>
      </c>
      <c r="M2225" t="n">
        <v>0.081</v>
      </c>
    </row>
    <row r="2226" spans="1:13">
      <c r="A2226" s="1">
        <f>HYPERLINK("http://www.twitter.com/NathanBLawrence/status/988446304790568960", "988446304790568960")</f>
        <v/>
      </c>
      <c r="B2226" s="2" t="n">
        <v>43213.66363425926</v>
      </c>
      <c r="C2226" t="n">
        <v>0</v>
      </c>
      <c r="D2226" t="n">
        <v>5</v>
      </c>
      <c r="E2226" t="s">
        <v>2221</v>
      </c>
      <c r="F2226" t="s"/>
      <c r="G2226" t="s"/>
      <c r="H2226" t="s"/>
      <c r="I2226" t="s"/>
      <c r="J2226" t="n">
        <v>-0.34</v>
      </c>
      <c r="K2226" t="n">
        <v>0.124</v>
      </c>
      <c r="L2226" t="n">
        <v>0.876</v>
      </c>
      <c r="M2226" t="n">
        <v>0</v>
      </c>
    </row>
    <row r="2227" spans="1:13">
      <c r="A2227" s="1">
        <f>HYPERLINK("http://www.twitter.com/NathanBLawrence/status/988446284016177152", "988446284016177152")</f>
        <v/>
      </c>
      <c r="B2227" s="2" t="n">
        <v>43213.66357638889</v>
      </c>
      <c r="C2227" t="n">
        <v>0</v>
      </c>
      <c r="D2227" t="n">
        <v>3</v>
      </c>
      <c r="E2227" t="s">
        <v>2222</v>
      </c>
      <c r="F2227" t="s"/>
      <c r="G2227" t="s"/>
      <c r="H2227" t="s"/>
      <c r="I2227" t="s"/>
      <c r="J2227" t="n">
        <v>0.1759</v>
      </c>
      <c r="K2227" t="n">
        <v>0</v>
      </c>
      <c r="L2227" t="n">
        <v>0.842</v>
      </c>
      <c r="M2227" t="n">
        <v>0.158</v>
      </c>
    </row>
    <row r="2228" spans="1:13">
      <c r="A2228" s="1">
        <f>HYPERLINK("http://www.twitter.com/NathanBLawrence/status/988446198347567106", "988446198347567106")</f>
        <v/>
      </c>
      <c r="B2228" s="2" t="n">
        <v>43213.66333333333</v>
      </c>
      <c r="C2228" t="n">
        <v>0</v>
      </c>
      <c r="D2228" t="n">
        <v>7</v>
      </c>
      <c r="E2228" t="s">
        <v>2223</v>
      </c>
      <c r="F2228" t="s"/>
      <c r="G2228" t="s"/>
      <c r="H2228" t="s"/>
      <c r="I2228" t="s"/>
      <c r="J2228" t="n">
        <v>0</v>
      </c>
      <c r="K2228" t="n">
        <v>0</v>
      </c>
      <c r="L2228" t="n">
        <v>1</v>
      </c>
      <c r="M2228" t="n">
        <v>0</v>
      </c>
    </row>
    <row r="2229" spans="1:13">
      <c r="A2229" s="1">
        <f>HYPERLINK("http://www.twitter.com/NathanBLawrence/status/988446184246333441", "988446184246333441")</f>
        <v/>
      </c>
      <c r="B2229" s="2" t="n">
        <v>43213.66329861111</v>
      </c>
      <c r="C2229" t="n">
        <v>0</v>
      </c>
      <c r="D2229" t="n">
        <v>12</v>
      </c>
      <c r="E2229" t="s">
        <v>2224</v>
      </c>
      <c r="F2229" t="s"/>
      <c r="G2229" t="s"/>
      <c r="H2229" t="s"/>
      <c r="I2229" t="s"/>
      <c r="J2229" t="n">
        <v>0.1779</v>
      </c>
      <c r="K2229" t="n">
        <v>0.081</v>
      </c>
      <c r="L2229" t="n">
        <v>0.8129999999999999</v>
      </c>
      <c r="M2229" t="n">
        <v>0.106</v>
      </c>
    </row>
    <row r="2230" spans="1:13">
      <c r="A2230" s="1">
        <f>HYPERLINK("http://www.twitter.com/NathanBLawrence/status/988446004365152257", "988446004365152257")</f>
        <v/>
      </c>
      <c r="B2230" s="2" t="n">
        <v>43213.66280092593</v>
      </c>
      <c r="C2230" t="n">
        <v>0</v>
      </c>
      <c r="D2230" t="n">
        <v>6</v>
      </c>
      <c r="E2230" t="s">
        <v>2225</v>
      </c>
      <c r="F2230" t="s"/>
      <c r="G2230" t="s"/>
      <c r="H2230" t="s"/>
      <c r="I2230" t="s"/>
      <c r="J2230" t="n">
        <v>0</v>
      </c>
      <c r="K2230" t="n">
        <v>0</v>
      </c>
      <c r="L2230" t="n">
        <v>1</v>
      </c>
      <c r="M2230" t="n">
        <v>0</v>
      </c>
    </row>
    <row r="2231" spans="1:13">
      <c r="A2231" s="1">
        <f>HYPERLINK("http://www.twitter.com/NathanBLawrence/status/988445987680280578", "988445987680280578")</f>
        <v/>
      </c>
      <c r="B2231" s="2" t="n">
        <v>43213.66275462963</v>
      </c>
      <c r="C2231" t="n">
        <v>0</v>
      </c>
      <c r="D2231" t="n">
        <v>23</v>
      </c>
      <c r="E2231" t="s">
        <v>2226</v>
      </c>
      <c r="F2231">
        <f>HYPERLINK("http://pbs.twimg.com/media/DbeelY-XUAEDaDB.jpg", "http://pbs.twimg.com/media/DbeelY-XUAEDaDB.jpg")</f>
        <v/>
      </c>
      <c r="G2231" t="s"/>
      <c r="H2231" t="s"/>
      <c r="I2231" t="s"/>
      <c r="J2231" t="n">
        <v>-0.1323</v>
      </c>
      <c r="K2231" t="n">
        <v>0.13</v>
      </c>
      <c r="L2231" t="n">
        <v>0.76</v>
      </c>
      <c r="M2231" t="n">
        <v>0.11</v>
      </c>
    </row>
    <row r="2232" spans="1:13">
      <c r="A2232" s="1">
        <f>HYPERLINK("http://www.twitter.com/NathanBLawrence/status/988445975487352832", "988445975487352832")</f>
        <v/>
      </c>
      <c r="B2232" s="2" t="n">
        <v>43213.66271990741</v>
      </c>
      <c r="C2232" t="n">
        <v>0</v>
      </c>
      <c r="D2232" t="n">
        <v>29</v>
      </c>
      <c r="E2232" t="s">
        <v>2227</v>
      </c>
      <c r="F2232">
        <f>HYPERLINK("http://pbs.twimg.com/media/DbeI4d5V0AAEKlg.jpg", "http://pbs.twimg.com/media/DbeI4d5V0AAEKlg.jpg")</f>
        <v/>
      </c>
      <c r="G2232" t="s"/>
      <c r="H2232" t="s"/>
      <c r="I2232" t="s"/>
      <c r="J2232" t="n">
        <v>-0.8070000000000001</v>
      </c>
      <c r="K2232" t="n">
        <v>0.328</v>
      </c>
      <c r="L2232" t="n">
        <v>0.672</v>
      </c>
      <c r="M2232" t="n">
        <v>0</v>
      </c>
    </row>
    <row r="2233" spans="1:13">
      <c r="A2233" s="1">
        <f>HYPERLINK("http://www.twitter.com/NathanBLawrence/status/988408859839614976", "988408859839614976")</f>
        <v/>
      </c>
      <c r="B2233" s="2" t="n">
        <v>43213.56030092593</v>
      </c>
      <c r="C2233" t="n">
        <v>0</v>
      </c>
      <c r="D2233" t="n">
        <v>6</v>
      </c>
      <c r="E2233" t="s">
        <v>2228</v>
      </c>
      <c r="F2233" t="s"/>
      <c r="G2233" t="s"/>
      <c r="H2233" t="s"/>
      <c r="I2233" t="s"/>
      <c r="J2233" t="n">
        <v>0</v>
      </c>
      <c r="K2233" t="n">
        <v>0</v>
      </c>
      <c r="L2233" t="n">
        <v>1</v>
      </c>
      <c r="M2233" t="n">
        <v>0</v>
      </c>
    </row>
    <row r="2234" spans="1:13">
      <c r="A2234" s="1">
        <f>HYPERLINK("http://www.twitter.com/NathanBLawrence/status/988408766424076289", "988408766424076289")</f>
        <v/>
      </c>
      <c r="B2234" s="2" t="n">
        <v>43213.5600462963</v>
      </c>
      <c r="C2234" t="n">
        <v>0</v>
      </c>
      <c r="D2234" t="n">
        <v>10</v>
      </c>
      <c r="E2234" t="s">
        <v>2229</v>
      </c>
      <c r="F2234" t="s"/>
      <c r="G2234" t="s"/>
      <c r="H2234" t="s"/>
      <c r="I2234" t="s"/>
      <c r="J2234" t="n">
        <v>0</v>
      </c>
      <c r="K2234" t="n">
        <v>0</v>
      </c>
      <c r="L2234" t="n">
        <v>1</v>
      </c>
      <c r="M2234" t="n">
        <v>0</v>
      </c>
    </row>
    <row r="2235" spans="1:13">
      <c r="A2235" s="1">
        <f>HYPERLINK("http://www.twitter.com/NathanBLawrence/status/988408744047464450", "988408744047464450")</f>
        <v/>
      </c>
      <c r="B2235" s="2" t="n">
        <v>43213.55997685185</v>
      </c>
      <c r="C2235" t="n">
        <v>0</v>
      </c>
      <c r="D2235" t="n">
        <v>8</v>
      </c>
      <c r="E2235" t="s">
        <v>2230</v>
      </c>
      <c r="F2235" t="s"/>
      <c r="G2235" t="s"/>
      <c r="H2235" t="s"/>
      <c r="I2235" t="s"/>
      <c r="J2235" t="n">
        <v>0</v>
      </c>
      <c r="K2235" t="n">
        <v>0</v>
      </c>
      <c r="L2235" t="n">
        <v>1</v>
      </c>
      <c r="M2235" t="n">
        <v>0</v>
      </c>
    </row>
    <row r="2236" spans="1:13">
      <c r="A2236" s="1">
        <f>HYPERLINK("http://www.twitter.com/NathanBLawrence/status/988408714666414080", "988408714666414080")</f>
        <v/>
      </c>
      <c r="B2236" s="2" t="n">
        <v>43213.55989583334</v>
      </c>
      <c r="C2236" t="n">
        <v>0</v>
      </c>
      <c r="D2236" t="n">
        <v>11</v>
      </c>
      <c r="E2236" t="s">
        <v>2231</v>
      </c>
      <c r="F2236">
        <f>HYPERLINK("http://pbs.twimg.com/media/DbbwoSAW0AU0VLA.jpg", "http://pbs.twimg.com/media/DbbwoSAW0AU0VLA.jpg")</f>
        <v/>
      </c>
      <c r="G2236" t="s"/>
      <c r="H2236" t="s"/>
      <c r="I2236" t="s"/>
      <c r="J2236" t="n">
        <v>0.8201000000000001</v>
      </c>
      <c r="K2236" t="n">
        <v>0</v>
      </c>
      <c r="L2236" t="n">
        <v>0.643</v>
      </c>
      <c r="M2236" t="n">
        <v>0.357</v>
      </c>
    </row>
    <row r="2237" spans="1:13">
      <c r="A2237" s="1">
        <f>HYPERLINK("http://www.twitter.com/NathanBLawrence/status/988116914420572160", "988116914420572160")</f>
        <v/>
      </c>
      <c r="B2237" s="2" t="n">
        <v>43212.7546875</v>
      </c>
      <c r="C2237" t="n">
        <v>0</v>
      </c>
      <c r="D2237" t="n">
        <v>212</v>
      </c>
      <c r="E2237" t="s">
        <v>2232</v>
      </c>
      <c r="F2237">
        <f>HYPERLINK("http://pbs.twimg.com/media/DbZ677OWAAAzkKJ.jpg", "http://pbs.twimg.com/media/DbZ677OWAAAzkKJ.jpg")</f>
        <v/>
      </c>
      <c r="G2237" t="s"/>
      <c r="H2237" t="s"/>
      <c r="I2237" t="s"/>
      <c r="J2237" t="n">
        <v>0</v>
      </c>
      <c r="K2237" t="n">
        <v>0</v>
      </c>
      <c r="L2237" t="n">
        <v>1</v>
      </c>
      <c r="M2237" t="n">
        <v>0</v>
      </c>
    </row>
    <row r="2238" spans="1:13">
      <c r="A2238" s="1">
        <f>HYPERLINK("http://www.twitter.com/NathanBLawrence/status/988116757796843526", "988116757796843526")</f>
        <v/>
      </c>
      <c r="B2238" s="2" t="n">
        <v>43212.75425925926</v>
      </c>
      <c r="C2238" t="n">
        <v>2</v>
      </c>
      <c r="D2238" t="n">
        <v>1</v>
      </c>
      <c r="E2238" t="s">
        <v>2233</v>
      </c>
      <c r="F2238" t="s"/>
      <c r="G2238" t="s"/>
      <c r="H2238" t="s"/>
      <c r="I2238" t="s"/>
      <c r="J2238" t="n">
        <v>0</v>
      </c>
      <c r="K2238" t="n">
        <v>0</v>
      </c>
      <c r="L2238" t="n">
        <v>1</v>
      </c>
      <c r="M2238" t="n">
        <v>0</v>
      </c>
    </row>
    <row r="2239" spans="1:13">
      <c r="A2239" s="1">
        <f>HYPERLINK("http://www.twitter.com/NathanBLawrence/status/988116727488794625", "988116727488794625")</f>
        <v/>
      </c>
      <c r="B2239" s="2" t="n">
        <v>43212.75416666667</v>
      </c>
      <c r="C2239" t="n">
        <v>0</v>
      </c>
      <c r="D2239" t="n">
        <v>2</v>
      </c>
      <c r="E2239" t="s">
        <v>2234</v>
      </c>
      <c r="F2239" t="s"/>
      <c r="G2239" t="s"/>
      <c r="H2239" t="s"/>
      <c r="I2239" t="s"/>
      <c r="J2239" t="n">
        <v>-0.5266999999999999</v>
      </c>
      <c r="K2239" t="n">
        <v>0.159</v>
      </c>
      <c r="L2239" t="n">
        <v>0.841</v>
      </c>
      <c r="M2239" t="n">
        <v>0</v>
      </c>
    </row>
    <row r="2240" spans="1:13">
      <c r="A2240" s="1">
        <f>HYPERLINK("http://www.twitter.com/NathanBLawrence/status/988116684958519296", "988116684958519296")</f>
        <v/>
      </c>
      <c r="B2240" s="2" t="n">
        <v>43212.75405092593</v>
      </c>
      <c r="C2240" t="n">
        <v>0</v>
      </c>
      <c r="D2240" t="n">
        <v>392</v>
      </c>
      <c r="E2240" t="s">
        <v>2235</v>
      </c>
      <c r="F2240" t="s"/>
      <c r="G2240" t="s"/>
      <c r="H2240" t="s"/>
      <c r="I2240" t="s"/>
      <c r="J2240" t="n">
        <v>0.3612</v>
      </c>
      <c r="K2240" t="n">
        <v>0</v>
      </c>
      <c r="L2240" t="n">
        <v>0.894</v>
      </c>
      <c r="M2240" t="n">
        <v>0.106</v>
      </c>
    </row>
    <row r="2241" spans="1:13">
      <c r="A2241" s="1">
        <f>HYPERLINK("http://www.twitter.com/NathanBLawrence/status/988116621716836353", "988116621716836353")</f>
        <v/>
      </c>
      <c r="B2241" s="2" t="n">
        <v>43212.75387731481</v>
      </c>
      <c r="C2241" t="n">
        <v>0</v>
      </c>
      <c r="D2241" t="n">
        <v>317</v>
      </c>
      <c r="E2241" t="s">
        <v>2236</v>
      </c>
      <c r="F2241" t="s"/>
      <c r="G2241" t="s"/>
      <c r="H2241" t="s"/>
      <c r="I2241" t="s"/>
      <c r="J2241" t="n">
        <v>0</v>
      </c>
      <c r="K2241" t="n">
        <v>0</v>
      </c>
      <c r="L2241" t="n">
        <v>1</v>
      </c>
      <c r="M2241" t="n">
        <v>0</v>
      </c>
    </row>
    <row r="2242" spans="1:13">
      <c r="A2242" s="1">
        <f>HYPERLINK("http://www.twitter.com/NathanBLawrence/status/988116490229608448", "988116490229608448")</f>
        <v/>
      </c>
      <c r="B2242" s="2" t="n">
        <v>43212.75351851852</v>
      </c>
      <c r="C2242" t="n">
        <v>1</v>
      </c>
      <c r="D2242" t="n">
        <v>0</v>
      </c>
      <c r="E2242" t="s">
        <v>2237</v>
      </c>
      <c r="F2242" t="s"/>
      <c r="G2242" t="s"/>
      <c r="H2242" t="s"/>
      <c r="I2242" t="s"/>
      <c r="J2242" t="n">
        <v>-0.6369</v>
      </c>
      <c r="K2242" t="n">
        <v>0.231</v>
      </c>
      <c r="L2242" t="n">
        <v>0.769</v>
      </c>
      <c r="M2242" t="n">
        <v>0</v>
      </c>
    </row>
    <row r="2243" spans="1:13">
      <c r="A2243" s="1">
        <f>HYPERLINK("http://www.twitter.com/NathanBLawrence/status/988116391084613632", "988116391084613632")</f>
        <v/>
      </c>
      <c r="B2243" s="2" t="n">
        <v>43212.75324074074</v>
      </c>
      <c r="C2243" t="n">
        <v>0</v>
      </c>
      <c r="D2243" t="n">
        <v>4</v>
      </c>
      <c r="E2243" t="s">
        <v>2238</v>
      </c>
      <c r="F2243" t="s"/>
      <c r="G2243" t="s"/>
      <c r="H2243" t="s"/>
      <c r="I2243" t="s"/>
      <c r="J2243" t="n">
        <v>0.3089</v>
      </c>
      <c r="K2243" t="n">
        <v>0</v>
      </c>
      <c r="L2243" t="n">
        <v>0.894</v>
      </c>
      <c r="M2243" t="n">
        <v>0.106</v>
      </c>
    </row>
    <row r="2244" spans="1:13">
      <c r="A2244" s="1">
        <f>HYPERLINK("http://www.twitter.com/NathanBLawrence/status/988116307051798528", "988116307051798528")</f>
        <v/>
      </c>
      <c r="B2244" s="2" t="n">
        <v>43212.75300925926</v>
      </c>
      <c r="C2244" t="n">
        <v>0</v>
      </c>
      <c r="D2244" t="n">
        <v>6</v>
      </c>
      <c r="E2244" t="s">
        <v>2239</v>
      </c>
      <c r="F2244" t="s"/>
      <c r="G2244" t="s"/>
      <c r="H2244" t="s"/>
      <c r="I2244" t="s"/>
      <c r="J2244" t="n">
        <v>-0.3535</v>
      </c>
      <c r="K2244" t="n">
        <v>0.11</v>
      </c>
      <c r="L2244" t="n">
        <v>0.89</v>
      </c>
      <c r="M2244" t="n">
        <v>0</v>
      </c>
    </row>
    <row r="2245" spans="1:13">
      <c r="A2245" s="1">
        <f>HYPERLINK("http://www.twitter.com/NathanBLawrence/status/988116294133272577", "988116294133272577")</f>
        <v/>
      </c>
      <c r="B2245" s="2" t="n">
        <v>43212.75297453703</v>
      </c>
      <c r="C2245" t="n">
        <v>0</v>
      </c>
      <c r="D2245" t="n">
        <v>5821</v>
      </c>
      <c r="E2245" t="s">
        <v>2240</v>
      </c>
      <c r="F2245" t="s"/>
      <c r="G2245" t="s"/>
      <c r="H2245" t="s"/>
      <c r="I2245" t="s"/>
      <c r="J2245" t="n">
        <v>0.4129</v>
      </c>
      <c r="K2245" t="n">
        <v>0.093</v>
      </c>
      <c r="L2245" t="n">
        <v>0.71</v>
      </c>
      <c r="M2245" t="n">
        <v>0.196</v>
      </c>
    </row>
    <row r="2246" spans="1:13">
      <c r="A2246" s="1">
        <f>HYPERLINK("http://www.twitter.com/NathanBLawrence/status/988116238814543872", "988116238814543872")</f>
        <v/>
      </c>
      <c r="B2246" s="2" t="n">
        <v>43212.75282407407</v>
      </c>
      <c r="C2246" t="n">
        <v>0</v>
      </c>
      <c r="D2246" t="n">
        <v>19986</v>
      </c>
      <c r="E2246" t="s">
        <v>2241</v>
      </c>
      <c r="F2246" t="s"/>
      <c r="G2246" t="s"/>
      <c r="H2246" t="s"/>
      <c r="I2246" t="s"/>
      <c r="J2246" t="n">
        <v>-0.4199</v>
      </c>
      <c r="K2246" t="n">
        <v>0.411</v>
      </c>
      <c r="L2246" t="n">
        <v>0.589</v>
      </c>
      <c r="M2246" t="n">
        <v>0</v>
      </c>
    </row>
    <row r="2247" spans="1:13">
      <c r="A2247" s="1">
        <f>HYPERLINK("http://www.twitter.com/NathanBLawrence/status/988116190034845699", "988116190034845699")</f>
        <v/>
      </c>
      <c r="B2247" s="2" t="n">
        <v>43212.75268518519</v>
      </c>
      <c r="C2247" t="n">
        <v>0</v>
      </c>
      <c r="D2247" t="n">
        <v>28</v>
      </c>
      <c r="E2247" t="s">
        <v>2242</v>
      </c>
      <c r="F2247" t="s"/>
      <c r="G2247" t="s"/>
      <c r="H2247" t="s"/>
      <c r="I2247" t="s"/>
      <c r="J2247" t="n">
        <v>-0.7579</v>
      </c>
      <c r="K2247" t="n">
        <v>0.255</v>
      </c>
      <c r="L2247" t="n">
        <v>0.745</v>
      </c>
      <c r="M2247" t="n">
        <v>0</v>
      </c>
    </row>
    <row r="2248" spans="1:13">
      <c r="A2248" s="1">
        <f>HYPERLINK("http://www.twitter.com/NathanBLawrence/status/988116156912369664", "988116156912369664")</f>
        <v/>
      </c>
      <c r="B2248" s="2" t="n">
        <v>43212.75259259259</v>
      </c>
      <c r="C2248" t="n">
        <v>0</v>
      </c>
      <c r="D2248" t="n">
        <v>81</v>
      </c>
      <c r="E2248" t="s">
        <v>2243</v>
      </c>
      <c r="F2248" t="s"/>
      <c r="G2248" t="s"/>
      <c r="H2248" t="s"/>
      <c r="I2248" t="s"/>
      <c r="J2248" t="n">
        <v>-0.25</v>
      </c>
      <c r="K2248" t="n">
        <v>0.114</v>
      </c>
      <c r="L2248" t="n">
        <v>0.8090000000000001</v>
      </c>
      <c r="M2248" t="n">
        <v>0.077</v>
      </c>
    </row>
    <row r="2249" spans="1:13">
      <c r="A2249" s="1">
        <f>HYPERLINK("http://www.twitter.com/NathanBLawrence/status/988116140210774016", "988116140210774016")</f>
        <v/>
      </c>
      <c r="B2249" s="2" t="n">
        <v>43212.75254629629</v>
      </c>
      <c r="C2249" t="n">
        <v>0</v>
      </c>
      <c r="D2249" t="n">
        <v>326</v>
      </c>
      <c r="E2249" t="s">
        <v>2244</v>
      </c>
      <c r="F2249">
        <f>HYPERLINK("http://pbs.twimg.com/media/DbZba9JUQAY5mfU.jpg", "http://pbs.twimg.com/media/DbZba9JUQAY5mfU.jpg")</f>
        <v/>
      </c>
      <c r="G2249">
        <f>HYPERLINK("http://pbs.twimg.com/media/DbZba9NVwAAG9uc.jpg", "http://pbs.twimg.com/media/DbZba9NVwAAG9uc.jpg")</f>
        <v/>
      </c>
      <c r="H2249">
        <f>HYPERLINK("http://pbs.twimg.com/media/DbZba9LVwAAxGGw.jpg", "http://pbs.twimg.com/media/DbZba9LVwAAxGGw.jpg")</f>
        <v/>
      </c>
      <c r="I2249">
        <f>HYPERLINK("http://pbs.twimg.com/media/DbZba9KU0AAo8X6.jpg", "http://pbs.twimg.com/media/DbZba9KU0AAo8X6.jpg")</f>
        <v/>
      </c>
      <c r="J2249" t="n">
        <v>-0.4767</v>
      </c>
      <c r="K2249" t="n">
        <v>0.134</v>
      </c>
      <c r="L2249" t="n">
        <v>0.866</v>
      </c>
      <c r="M2249" t="n">
        <v>0</v>
      </c>
    </row>
    <row r="2250" spans="1:13">
      <c r="A2250" s="1">
        <f>HYPERLINK("http://www.twitter.com/NathanBLawrence/status/988116111010009088", "988116111010009088")</f>
        <v/>
      </c>
      <c r="B2250" s="2" t="n">
        <v>43212.75246527778</v>
      </c>
      <c r="C2250" t="n">
        <v>0</v>
      </c>
      <c r="D2250" t="n">
        <v>4419</v>
      </c>
      <c r="E2250" t="s">
        <v>2245</v>
      </c>
      <c r="F2250" t="s"/>
      <c r="G2250" t="s"/>
      <c r="H2250" t="s"/>
      <c r="I2250" t="s"/>
      <c r="J2250" t="n">
        <v>0.4939</v>
      </c>
      <c r="K2250" t="n">
        <v>0</v>
      </c>
      <c r="L2250" t="n">
        <v>0.833</v>
      </c>
      <c r="M2250" t="n">
        <v>0.167</v>
      </c>
    </row>
    <row r="2251" spans="1:13">
      <c r="A2251" s="1">
        <f>HYPERLINK("http://www.twitter.com/NathanBLawrence/status/988116033167937538", "988116033167937538")</f>
        <v/>
      </c>
      <c r="B2251" s="2" t="n">
        <v>43212.75225694444</v>
      </c>
      <c r="C2251" t="n">
        <v>0</v>
      </c>
      <c r="D2251" t="n">
        <v>14</v>
      </c>
      <c r="E2251" t="s">
        <v>2246</v>
      </c>
      <c r="F2251" t="s"/>
      <c r="G2251" t="s"/>
      <c r="H2251" t="s"/>
      <c r="I2251" t="s"/>
      <c r="J2251" t="n">
        <v>-0.8126</v>
      </c>
      <c r="K2251" t="n">
        <v>0.344</v>
      </c>
      <c r="L2251" t="n">
        <v>0.511</v>
      </c>
      <c r="M2251" t="n">
        <v>0.145</v>
      </c>
    </row>
    <row r="2252" spans="1:13">
      <c r="A2252" s="1">
        <f>HYPERLINK("http://www.twitter.com/NathanBLawrence/status/988116013546921989", "988116013546921989")</f>
        <v/>
      </c>
      <c r="B2252" s="2" t="n">
        <v>43212.75219907407</v>
      </c>
      <c r="C2252" t="n">
        <v>0</v>
      </c>
      <c r="D2252" t="n">
        <v>10</v>
      </c>
      <c r="E2252" t="s">
        <v>2247</v>
      </c>
      <c r="F2252" t="s"/>
      <c r="G2252" t="s"/>
      <c r="H2252" t="s"/>
      <c r="I2252" t="s"/>
      <c r="J2252" t="n">
        <v>-0.2263</v>
      </c>
      <c r="K2252" t="n">
        <v>0.121</v>
      </c>
      <c r="L2252" t="n">
        <v>0.792</v>
      </c>
      <c r="M2252" t="n">
        <v>0.08699999999999999</v>
      </c>
    </row>
    <row r="2253" spans="1:13">
      <c r="A2253" s="1">
        <f>HYPERLINK("http://www.twitter.com/NathanBLawrence/status/988115998103531520", "988115998103531520")</f>
        <v/>
      </c>
      <c r="B2253" s="2" t="n">
        <v>43212.75215277778</v>
      </c>
      <c r="C2253" t="n">
        <v>0</v>
      </c>
      <c r="D2253" t="n">
        <v>6</v>
      </c>
      <c r="E2253" t="s">
        <v>2248</v>
      </c>
      <c r="F2253" t="s"/>
      <c r="G2253" t="s"/>
      <c r="H2253" t="s"/>
      <c r="I2253" t="s"/>
      <c r="J2253" t="n">
        <v>0</v>
      </c>
      <c r="K2253" t="n">
        <v>0</v>
      </c>
      <c r="L2253" t="n">
        <v>1</v>
      </c>
      <c r="M2253" t="n">
        <v>0</v>
      </c>
    </row>
    <row r="2254" spans="1:13">
      <c r="A2254" s="1">
        <f>HYPERLINK("http://www.twitter.com/NathanBLawrence/status/988115969502523393", "988115969502523393")</f>
        <v/>
      </c>
      <c r="B2254" s="2" t="n">
        <v>43212.75208333333</v>
      </c>
      <c r="C2254" t="n">
        <v>0</v>
      </c>
      <c r="D2254" t="n">
        <v>8</v>
      </c>
      <c r="E2254" t="s">
        <v>2249</v>
      </c>
      <c r="F2254" t="s"/>
      <c r="G2254" t="s"/>
      <c r="H2254" t="s"/>
      <c r="I2254" t="s"/>
      <c r="J2254" t="n">
        <v>-0.4019</v>
      </c>
      <c r="K2254" t="n">
        <v>0.207</v>
      </c>
      <c r="L2254" t="n">
        <v>0.6899999999999999</v>
      </c>
      <c r="M2254" t="n">
        <v>0.103</v>
      </c>
    </row>
    <row r="2255" spans="1:13">
      <c r="A2255" s="1">
        <f>HYPERLINK("http://www.twitter.com/NathanBLawrence/status/988115947272720384", "988115947272720384")</f>
        <v/>
      </c>
      <c r="B2255" s="2" t="n">
        <v>43212.75201388889</v>
      </c>
      <c r="C2255" t="n">
        <v>0</v>
      </c>
      <c r="D2255" t="n">
        <v>5</v>
      </c>
      <c r="E2255" t="s">
        <v>2250</v>
      </c>
      <c r="F2255">
        <f>HYPERLINK("http://pbs.twimg.com/media/DbZnbP9X4AA8FSD.jpg", "http://pbs.twimg.com/media/DbZnbP9X4AA8FSD.jpg")</f>
        <v/>
      </c>
      <c r="G2255" t="s"/>
      <c r="H2255" t="s"/>
      <c r="I2255" t="s"/>
      <c r="J2255" t="n">
        <v>0.4404</v>
      </c>
      <c r="K2255" t="n">
        <v>0</v>
      </c>
      <c r="L2255" t="n">
        <v>0.838</v>
      </c>
      <c r="M2255" t="n">
        <v>0.162</v>
      </c>
    </row>
    <row r="2256" spans="1:13">
      <c r="A2256" s="1">
        <f>HYPERLINK("http://www.twitter.com/NathanBLawrence/status/988115928188686336", "988115928188686336")</f>
        <v/>
      </c>
      <c r="B2256" s="2" t="n">
        <v>43212.75196759259</v>
      </c>
      <c r="C2256" t="n">
        <v>0</v>
      </c>
      <c r="D2256" t="n">
        <v>5</v>
      </c>
      <c r="E2256" t="s">
        <v>2251</v>
      </c>
      <c r="F2256" t="s"/>
      <c r="G2256" t="s"/>
      <c r="H2256" t="s"/>
      <c r="I2256" t="s"/>
      <c r="J2256" t="n">
        <v>0.5719</v>
      </c>
      <c r="K2256" t="n">
        <v>0</v>
      </c>
      <c r="L2256" t="n">
        <v>0.793</v>
      </c>
      <c r="M2256" t="n">
        <v>0.207</v>
      </c>
    </row>
    <row r="2257" spans="1:13">
      <c r="A2257" s="1">
        <f>HYPERLINK("http://www.twitter.com/NathanBLawrence/status/988115903542947840", "988115903542947840")</f>
        <v/>
      </c>
      <c r="B2257" s="2" t="n">
        <v>43212.75189814815</v>
      </c>
      <c r="C2257" t="n">
        <v>0</v>
      </c>
      <c r="D2257" t="n">
        <v>5</v>
      </c>
      <c r="E2257" t="s">
        <v>2252</v>
      </c>
      <c r="F2257" t="s"/>
      <c r="G2257" t="s"/>
      <c r="H2257" t="s"/>
      <c r="I2257" t="s"/>
      <c r="J2257" t="n">
        <v>0.5034</v>
      </c>
      <c r="K2257" t="n">
        <v>0.172</v>
      </c>
      <c r="L2257" t="n">
        <v>0.583</v>
      </c>
      <c r="M2257" t="n">
        <v>0.245</v>
      </c>
    </row>
    <row r="2258" spans="1:13">
      <c r="A2258" s="1">
        <f>HYPERLINK("http://www.twitter.com/NathanBLawrence/status/988115867278987264", "988115867278987264")</f>
        <v/>
      </c>
      <c r="B2258" s="2" t="n">
        <v>43212.75179398148</v>
      </c>
      <c r="C2258" t="n">
        <v>0</v>
      </c>
      <c r="D2258" t="n">
        <v>17</v>
      </c>
      <c r="E2258" t="s">
        <v>2253</v>
      </c>
      <c r="F2258" t="s"/>
      <c r="G2258" t="s"/>
      <c r="H2258" t="s"/>
      <c r="I2258" t="s"/>
      <c r="J2258" t="n">
        <v>0.6705</v>
      </c>
      <c r="K2258" t="n">
        <v>0</v>
      </c>
      <c r="L2258" t="n">
        <v>0.776</v>
      </c>
      <c r="M2258" t="n">
        <v>0.224</v>
      </c>
    </row>
    <row r="2259" spans="1:13">
      <c r="A2259" s="1">
        <f>HYPERLINK("http://www.twitter.com/NathanBLawrence/status/988115852305272837", "988115852305272837")</f>
        <v/>
      </c>
      <c r="B2259" s="2" t="n">
        <v>43212.75175925926</v>
      </c>
      <c r="C2259" t="n">
        <v>0</v>
      </c>
      <c r="D2259" t="n">
        <v>9</v>
      </c>
      <c r="E2259" t="s">
        <v>2254</v>
      </c>
      <c r="F2259">
        <f>HYPERLINK("http://pbs.twimg.com/media/DbZx4fSXUAMFCuK.jpg", "http://pbs.twimg.com/media/DbZx4fSXUAMFCuK.jpg")</f>
        <v/>
      </c>
      <c r="G2259" t="s"/>
      <c r="H2259" t="s"/>
      <c r="I2259" t="s"/>
      <c r="J2259" t="n">
        <v>-0.4404</v>
      </c>
      <c r="K2259" t="n">
        <v>0.172</v>
      </c>
      <c r="L2259" t="n">
        <v>0.828</v>
      </c>
      <c r="M2259" t="n">
        <v>0</v>
      </c>
    </row>
    <row r="2260" spans="1:13">
      <c r="A2260" s="1">
        <f>HYPERLINK("http://www.twitter.com/NathanBLawrence/status/988115841660194816", "988115841660194816")</f>
        <v/>
      </c>
      <c r="B2260" s="2" t="n">
        <v>43212.75172453704</v>
      </c>
      <c r="C2260" t="n">
        <v>0</v>
      </c>
      <c r="D2260" t="n">
        <v>9</v>
      </c>
      <c r="E2260" t="s">
        <v>2255</v>
      </c>
      <c r="F2260" t="s"/>
      <c r="G2260" t="s"/>
      <c r="H2260" t="s"/>
      <c r="I2260" t="s"/>
      <c r="J2260" t="n">
        <v>0.4714</v>
      </c>
      <c r="K2260" t="n">
        <v>0</v>
      </c>
      <c r="L2260" t="n">
        <v>0.872</v>
      </c>
      <c r="M2260" t="n">
        <v>0.128</v>
      </c>
    </row>
    <row r="2261" spans="1:13">
      <c r="A2261" s="1">
        <f>HYPERLINK("http://www.twitter.com/NathanBLawrence/status/988115824576729088", "988115824576729088")</f>
        <v/>
      </c>
      <c r="B2261" s="2" t="n">
        <v>43212.75167824074</v>
      </c>
      <c r="C2261" t="n">
        <v>0</v>
      </c>
      <c r="D2261" t="n">
        <v>9</v>
      </c>
      <c r="E2261" t="s">
        <v>2256</v>
      </c>
      <c r="F2261" t="s"/>
      <c r="G2261" t="s"/>
      <c r="H2261" t="s"/>
      <c r="I2261" t="s"/>
      <c r="J2261" t="n">
        <v>-0.7544999999999999</v>
      </c>
      <c r="K2261" t="n">
        <v>0.235</v>
      </c>
      <c r="L2261" t="n">
        <v>0.765</v>
      </c>
      <c r="M2261" t="n">
        <v>0</v>
      </c>
    </row>
    <row r="2262" spans="1:13">
      <c r="A2262" s="1">
        <f>HYPERLINK("http://www.twitter.com/NathanBLawrence/status/988115781916520449", "988115781916520449")</f>
        <v/>
      </c>
      <c r="B2262" s="2" t="n">
        <v>43212.7515625</v>
      </c>
      <c r="C2262" t="n">
        <v>0</v>
      </c>
      <c r="D2262" t="n">
        <v>7</v>
      </c>
      <c r="E2262" t="s">
        <v>2257</v>
      </c>
      <c r="F2262" t="s"/>
      <c r="G2262" t="s"/>
      <c r="H2262" t="s"/>
      <c r="I2262" t="s"/>
      <c r="J2262" t="n">
        <v>-0.6381</v>
      </c>
      <c r="K2262" t="n">
        <v>0.199</v>
      </c>
      <c r="L2262" t="n">
        <v>0.801</v>
      </c>
      <c r="M2262" t="n">
        <v>0</v>
      </c>
    </row>
    <row r="2263" spans="1:13">
      <c r="A2263" s="1">
        <f>HYPERLINK("http://www.twitter.com/NathanBLawrence/status/988115765743292416", "988115765743292416")</f>
        <v/>
      </c>
      <c r="B2263" s="2" t="n">
        <v>43212.7515162037</v>
      </c>
      <c r="C2263" t="n">
        <v>0</v>
      </c>
      <c r="D2263" t="n">
        <v>6</v>
      </c>
      <c r="E2263" t="s">
        <v>2258</v>
      </c>
      <c r="F2263" t="s"/>
      <c r="G2263" t="s"/>
      <c r="H2263" t="s"/>
      <c r="I2263" t="s"/>
      <c r="J2263" t="n">
        <v>0.4404</v>
      </c>
      <c r="K2263" t="n">
        <v>0</v>
      </c>
      <c r="L2263" t="n">
        <v>0.861</v>
      </c>
      <c r="M2263" t="n">
        <v>0.139</v>
      </c>
    </row>
    <row r="2264" spans="1:13">
      <c r="A2264" s="1">
        <f>HYPERLINK("http://www.twitter.com/NathanBLawrence/status/988115741399486465", "988115741399486465")</f>
        <v/>
      </c>
      <c r="B2264" s="2" t="n">
        <v>43212.75144675926</v>
      </c>
      <c r="C2264" t="n">
        <v>0</v>
      </c>
      <c r="D2264" t="n">
        <v>22</v>
      </c>
      <c r="E2264" t="s">
        <v>2227</v>
      </c>
      <c r="F2264">
        <f>HYPERLINK("http://pbs.twimg.com/media/DbZtf-jU8AEYMlp.jpg", "http://pbs.twimg.com/media/DbZtf-jU8AEYMlp.jpg")</f>
        <v/>
      </c>
      <c r="G2264" t="s"/>
      <c r="H2264" t="s"/>
      <c r="I2264" t="s"/>
      <c r="J2264" t="n">
        <v>-0.8070000000000001</v>
      </c>
      <c r="K2264" t="n">
        <v>0.328</v>
      </c>
      <c r="L2264" t="n">
        <v>0.672</v>
      </c>
      <c r="M2264" t="n">
        <v>0</v>
      </c>
    </row>
    <row r="2265" spans="1:13">
      <c r="A2265" s="1">
        <f>HYPERLINK("http://www.twitter.com/NathanBLawrence/status/988088427517276160", "988088427517276160")</f>
        <v/>
      </c>
      <c r="B2265" s="2" t="n">
        <v>43212.67607638889</v>
      </c>
      <c r="C2265" t="n">
        <v>1</v>
      </c>
      <c r="D2265" t="n">
        <v>0</v>
      </c>
      <c r="E2265" t="s">
        <v>2259</v>
      </c>
      <c r="F2265" t="s"/>
      <c r="G2265" t="s"/>
      <c r="H2265" t="s"/>
      <c r="I2265" t="s"/>
      <c r="J2265" t="n">
        <v>-0.6114000000000001</v>
      </c>
      <c r="K2265" t="n">
        <v>0.235</v>
      </c>
      <c r="L2265" t="n">
        <v>0.765</v>
      </c>
      <c r="M2265" t="n">
        <v>0</v>
      </c>
    </row>
    <row r="2266" spans="1:13">
      <c r="A2266" s="1">
        <f>HYPERLINK("http://www.twitter.com/NathanBLawrence/status/988088313100808193", "988088313100808193")</f>
        <v/>
      </c>
      <c r="B2266" s="2" t="n">
        <v>43212.67576388889</v>
      </c>
      <c r="C2266" t="n">
        <v>0</v>
      </c>
      <c r="D2266" t="n">
        <v>434</v>
      </c>
      <c r="E2266" t="s">
        <v>2260</v>
      </c>
      <c r="F2266" t="s"/>
      <c r="G2266" t="s"/>
      <c r="H2266" t="s"/>
      <c r="I2266" t="s"/>
      <c r="J2266" t="n">
        <v>0.6239</v>
      </c>
      <c r="K2266" t="n">
        <v>0</v>
      </c>
      <c r="L2266" t="n">
        <v>0.83</v>
      </c>
      <c r="M2266" t="n">
        <v>0.17</v>
      </c>
    </row>
    <row r="2267" spans="1:13">
      <c r="A2267" s="1">
        <f>HYPERLINK("http://www.twitter.com/NathanBLawrence/status/988088074159689728", "988088074159689728")</f>
        <v/>
      </c>
      <c r="B2267" s="2" t="n">
        <v>43212.67510416666</v>
      </c>
      <c r="C2267" t="n">
        <v>0</v>
      </c>
      <c r="D2267" t="n">
        <v>0</v>
      </c>
      <c r="E2267" t="s">
        <v>2261</v>
      </c>
      <c r="F2267" t="s"/>
      <c r="G2267" t="s"/>
      <c r="H2267" t="s"/>
      <c r="I2267" t="s"/>
      <c r="J2267" t="n">
        <v>0</v>
      </c>
      <c r="K2267" t="n">
        <v>0</v>
      </c>
      <c r="L2267" t="n">
        <v>1</v>
      </c>
      <c r="M2267" t="n">
        <v>0</v>
      </c>
    </row>
    <row r="2268" spans="1:13">
      <c r="A2268" s="1">
        <f>HYPERLINK("http://www.twitter.com/NathanBLawrence/status/988070149650608128", "988070149650608128")</f>
        <v/>
      </c>
      <c r="B2268" s="2" t="n">
        <v>43212.62563657408</v>
      </c>
      <c r="C2268" t="n">
        <v>0</v>
      </c>
      <c r="D2268" t="n">
        <v>1</v>
      </c>
      <c r="E2268" t="s">
        <v>2262</v>
      </c>
      <c r="F2268" t="s"/>
      <c r="G2268" t="s"/>
      <c r="H2268" t="s"/>
      <c r="I2268" t="s"/>
      <c r="J2268" t="n">
        <v>0.8225</v>
      </c>
      <c r="K2268" t="n">
        <v>0</v>
      </c>
      <c r="L2268" t="n">
        <v>0.636</v>
      </c>
      <c r="M2268" t="n">
        <v>0.364</v>
      </c>
    </row>
    <row r="2269" spans="1:13">
      <c r="A2269" s="1">
        <f>HYPERLINK("http://www.twitter.com/NathanBLawrence/status/988069979043004416", "988069979043004416")</f>
        <v/>
      </c>
      <c r="B2269" s="2" t="n">
        <v>43212.62517361111</v>
      </c>
      <c r="C2269" t="n">
        <v>0</v>
      </c>
      <c r="D2269" t="n">
        <v>33</v>
      </c>
      <c r="E2269" t="s">
        <v>2263</v>
      </c>
      <c r="F2269">
        <f>HYPERLINK("http://pbs.twimg.com/media/DayUHZZVMAEJJt8.jpg", "http://pbs.twimg.com/media/DayUHZZVMAEJJt8.jpg")</f>
        <v/>
      </c>
      <c r="G2269" t="s"/>
      <c r="H2269" t="s"/>
      <c r="I2269" t="s"/>
      <c r="J2269" t="n">
        <v>0</v>
      </c>
      <c r="K2269" t="n">
        <v>0</v>
      </c>
      <c r="L2269" t="n">
        <v>1</v>
      </c>
      <c r="M2269" t="n">
        <v>0</v>
      </c>
    </row>
    <row r="2270" spans="1:13">
      <c r="A2270" s="1">
        <f>HYPERLINK("http://www.twitter.com/NathanBLawrence/status/988069914777997313", "988069914777997313")</f>
        <v/>
      </c>
      <c r="B2270" s="2" t="n">
        <v>43212.62498842592</v>
      </c>
      <c r="C2270" t="n">
        <v>0</v>
      </c>
      <c r="D2270" t="n">
        <v>6</v>
      </c>
      <c r="E2270" t="s">
        <v>2264</v>
      </c>
      <c r="F2270" t="s"/>
      <c r="G2270" t="s"/>
      <c r="H2270" t="s"/>
      <c r="I2270" t="s"/>
      <c r="J2270" t="n">
        <v>0</v>
      </c>
      <c r="K2270" t="n">
        <v>0</v>
      </c>
      <c r="L2270" t="n">
        <v>1</v>
      </c>
      <c r="M2270" t="n">
        <v>0</v>
      </c>
    </row>
    <row r="2271" spans="1:13">
      <c r="A2271" s="1">
        <f>HYPERLINK("http://www.twitter.com/NathanBLawrence/status/988069803054321665", "988069803054321665")</f>
        <v/>
      </c>
      <c r="B2271" s="2" t="n">
        <v>43212.6246875</v>
      </c>
      <c r="C2271" t="n">
        <v>0</v>
      </c>
      <c r="D2271" t="n">
        <v>7</v>
      </c>
      <c r="E2271" t="s">
        <v>2265</v>
      </c>
      <c r="F2271">
        <f>HYPERLINK("http://pbs.twimg.com/media/DbZMDe_WkAAmsA_.jpg", "http://pbs.twimg.com/media/DbZMDe_WkAAmsA_.jpg")</f>
        <v/>
      </c>
      <c r="G2271" t="s"/>
      <c r="H2271" t="s"/>
      <c r="I2271" t="s"/>
      <c r="J2271" t="n">
        <v>0.2382</v>
      </c>
      <c r="K2271" t="n">
        <v>0</v>
      </c>
      <c r="L2271" t="n">
        <v>0.915</v>
      </c>
      <c r="M2271" t="n">
        <v>0.08500000000000001</v>
      </c>
    </row>
    <row r="2272" spans="1:13">
      <c r="A2272" s="1">
        <f>HYPERLINK("http://www.twitter.com/NathanBLawrence/status/987925543441092608", "987925543441092608")</f>
        <v/>
      </c>
      <c r="B2272" s="2" t="n">
        <v>43212.22659722222</v>
      </c>
      <c r="C2272" t="n">
        <v>0</v>
      </c>
      <c r="D2272" t="n">
        <v>13</v>
      </c>
      <c r="E2272" t="s">
        <v>2266</v>
      </c>
      <c r="F2272" t="s"/>
      <c r="G2272" t="s"/>
      <c r="H2272" t="s"/>
      <c r="I2272" t="s"/>
      <c r="J2272" t="n">
        <v>0.68</v>
      </c>
      <c r="K2272" t="n">
        <v>0</v>
      </c>
      <c r="L2272" t="n">
        <v>0.763</v>
      </c>
      <c r="M2272" t="n">
        <v>0.237</v>
      </c>
    </row>
    <row r="2273" spans="1:13">
      <c r="A2273" s="1">
        <f>HYPERLINK("http://www.twitter.com/NathanBLawrence/status/987925524717727744", "987925524717727744")</f>
        <v/>
      </c>
      <c r="B2273" s="2" t="n">
        <v>43212.22655092592</v>
      </c>
      <c r="C2273" t="n">
        <v>0</v>
      </c>
      <c r="D2273" t="n">
        <v>1</v>
      </c>
      <c r="E2273" t="s">
        <v>2267</v>
      </c>
      <c r="F2273" t="s"/>
      <c r="G2273" t="s"/>
      <c r="H2273" t="s"/>
      <c r="I2273" t="s"/>
      <c r="J2273" t="n">
        <v>0.3182</v>
      </c>
      <c r="K2273" t="n">
        <v>0</v>
      </c>
      <c r="L2273" t="n">
        <v>0.892</v>
      </c>
      <c r="M2273" t="n">
        <v>0.108</v>
      </c>
    </row>
    <row r="2274" spans="1:13">
      <c r="A2274" s="1">
        <f>HYPERLINK("http://www.twitter.com/NathanBLawrence/status/987924664835104771", "987924664835104771")</f>
        <v/>
      </c>
      <c r="B2274" s="2" t="n">
        <v>43212.22417824074</v>
      </c>
      <c r="C2274" t="n">
        <v>0</v>
      </c>
      <c r="D2274" t="n">
        <v>7</v>
      </c>
      <c r="E2274" t="s">
        <v>2268</v>
      </c>
      <c r="F2274" t="s"/>
      <c r="G2274" t="s"/>
      <c r="H2274" t="s"/>
      <c r="I2274" t="s"/>
      <c r="J2274" t="n">
        <v>-0.128</v>
      </c>
      <c r="K2274" t="n">
        <v>0.2</v>
      </c>
      <c r="L2274" t="n">
        <v>0.618</v>
      </c>
      <c r="M2274" t="n">
        <v>0.182</v>
      </c>
    </row>
    <row r="2275" spans="1:13">
      <c r="A2275" s="1">
        <f>HYPERLINK("http://www.twitter.com/NathanBLawrence/status/987924357212266496", "987924357212266496")</f>
        <v/>
      </c>
      <c r="B2275" s="2" t="n">
        <v>43212.22333333334</v>
      </c>
      <c r="C2275" t="n">
        <v>0</v>
      </c>
      <c r="D2275" t="n">
        <v>8</v>
      </c>
      <c r="E2275" t="s">
        <v>2269</v>
      </c>
      <c r="F2275" t="s"/>
      <c r="G2275" t="s"/>
      <c r="H2275" t="s"/>
      <c r="I2275" t="s"/>
      <c r="J2275" t="n">
        <v>-0.3382</v>
      </c>
      <c r="K2275" t="n">
        <v>0.142</v>
      </c>
      <c r="L2275" t="n">
        <v>0.773</v>
      </c>
      <c r="M2275" t="n">
        <v>0.08500000000000001</v>
      </c>
    </row>
    <row r="2276" spans="1:13">
      <c r="A2276" s="1">
        <f>HYPERLINK("http://www.twitter.com/NathanBLawrence/status/987924307383934977", "987924307383934977")</f>
        <v/>
      </c>
      <c r="B2276" s="2" t="n">
        <v>43212.22319444444</v>
      </c>
      <c r="C2276" t="n">
        <v>0</v>
      </c>
      <c r="D2276" t="n">
        <v>8</v>
      </c>
      <c r="E2276" t="s">
        <v>2270</v>
      </c>
      <c r="F2276">
        <f>HYPERLINK("http://pbs.twimg.com/media/DbWaZ36WAAIXVXW.jpg", "http://pbs.twimg.com/media/DbWaZ36WAAIXVXW.jpg")</f>
        <v/>
      </c>
      <c r="G2276" t="s"/>
      <c r="H2276" t="s"/>
      <c r="I2276" t="s"/>
      <c r="J2276" t="n">
        <v>0.4215</v>
      </c>
      <c r="K2276" t="n">
        <v>0.065</v>
      </c>
      <c r="L2276" t="n">
        <v>0.787</v>
      </c>
      <c r="M2276" t="n">
        <v>0.148</v>
      </c>
    </row>
    <row r="2277" spans="1:13">
      <c r="A2277" s="1">
        <f>HYPERLINK("http://www.twitter.com/NathanBLawrence/status/987924120645062656", "987924120645062656")</f>
        <v/>
      </c>
      <c r="B2277" s="2" t="n">
        <v>43212.22267361111</v>
      </c>
      <c r="C2277" t="n">
        <v>0</v>
      </c>
      <c r="D2277" t="n">
        <v>7</v>
      </c>
      <c r="E2277" t="s">
        <v>2271</v>
      </c>
      <c r="F2277" t="s"/>
      <c r="G2277" t="s"/>
      <c r="H2277" t="s"/>
      <c r="I2277" t="s"/>
      <c r="J2277" t="n">
        <v>0.6124000000000001</v>
      </c>
      <c r="K2277" t="n">
        <v>0</v>
      </c>
      <c r="L2277" t="n">
        <v>0.8</v>
      </c>
      <c r="M2277" t="n">
        <v>0.2</v>
      </c>
    </row>
    <row r="2278" spans="1:13">
      <c r="A2278" s="1">
        <f>HYPERLINK("http://www.twitter.com/NathanBLawrence/status/987923808270147584", "987923808270147584")</f>
        <v/>
      </c>
      <c r="B2278" s="2" t="n">
        <v>43212.22181712963</v>
      </c>
      <c r="C2278" t="n">
        <v>0</v>
      </c>
      <c r="D2278" t="n">
        <v>17</v>
      </c>
      <c r="E2278" t="s">
        <v>2272</v>
      </c>
      <c r="F2278">
        <f>HYPERLINK("http://pbs.twimg.com/media/DbWDKwoWAAMT4t3.jpg", "http://pbs.twimg.com/media/DbWDKwoWAAMT4t3.jpg")</f>
        <v/>
      </c>
      <c r="G2278" t="s"/>
      <c r="H2278" t="s"/>
      <c r="I2278" t="s"/>
      <c r="J2278" t="n">
        <v>0.2263</v>
      </c>
      <c r="K2278" t="n">
        <v>0</v>
      </c>
      <c r="L2278" t="n">
        <v>0.888</v>
      </c>
      <c r="M2278" t="n">
        <v>0.112</v>
      </c>
    </row>
    <row r="2279" spans="1:13">
      <c r="A2279" s="1">
        <f>HYPERLINK("http://www.twitter.com/NathanBLawrence/status/987923749876981762", "987923749876981762")</f>
        <v/>
      </c>
      <c r="B2279" s="2" t="n">
        <v>43212.2216550926</v>
      </c>
      <c r="C2279" t="n">
        <v>0</v>
      </c>
      <c r="D2279" t="n">
        <v>3</v>
      </c>
      <c r="E2279" t="s">
        <v>2273</v>
      </c>
      <c r="F2279" t="s"/>
      <c r="G2279" t="s"/>
      <c r="H2279" t="s"/>
      <c r="I2279" t="s"/>
      <c r="J2279" t="n">
        <v>-0.0772</v>
      </c>
      <c r="K2279" t="n">
        <v>0.111</v>
      </c>
      <c r="L2279" t="n">
        <v>0.753</v>
      </c>
      <c r="M2279" t="n">
        <v>0.136</v>
      </c>
    </row>
    <row r="2280" spans="1:13">
      <c r="A2280" s="1">
        <f>HYPERLINK("http://www.twitter.com/NathanBLawrence/status/987905488032534529", "987905488032534529")</f>
        <v/>
      </c>
      <c r="B2280" s="2" t="n">
        <v>43212.17126157408</v>
      </c>
      <c r="C2280" t="n">
        <v>7</v>
      </c>
      <c r="D2280" t="n">
        <v>3</v>
      </c>
      <c r="E2280" t="s">
        <v>2274</v>
      </c>
      <c r="F2280" t="s"/>
      <c r="G2280" t="s"/>
      <c r="H2280" t="s"/>
      <c r="I2280" t="s"/>
      <c r="J2280" t="n">
        <v>-0.2649</v>
      </c>
      <c r="K2280" t="n">
        <v>0.104</v>
      </c>
      <c r="L2280" t="n">
        <v>0.793</v>
      </c>
      <c r="M2280" t="n">
        <v>0.103</v>
      </c>
    </row>
    <row r="2281" spans="1:13">
      <c r="A2281" s="1">
        <f>HYPERLINK("http://www.twitter.com/NathanBLawrence/status/987899547065245696", "987899547065245696")</f>
        <v/>
      </c>
      <c r="B2281" s="2" t="n">
        <v>43212.15486111111</v>
      </c>
      <c r="C2281" t="n">
        <v>0</v>
      </c>
      <c r="D2281" t="n">
        <v>6</v>
      </c>
      <c r="E2281" t="s">
        <v>2275</v>
      </c>
      <c r="F2281">
        <f>HYPERLINK("http://pbs.twimg.com/media/DbWvaasVwAAdVUg.jpg", "http://pbs.twimg.com/media/DbWvaasVwAAdVUg.jpg")</f>
        <v/>
      </c>
      <c r="G2281" t="s"/>
      <c r="H2281" t="s"/>
      <c r="I2281" t="s"/>
      <c r="J2281" t="n">
        <v>-0.4215</v>
      </c>
      <c r="K2281" t="n">
        <v>0.149</v>
      </c>
      <c r="L2281" t="n">
        <v>0.851</v>
      </c>
      <c r="M2281" t="n">
        <v>0</v>
      </c>
    </row>
    <row r="2282" spans="1:13">
      <c r="A2282" s="1">
        <f>HYPERLINK("http://www.twitter.com/NathanBLawrence/status/987893518902464513", "987893518902464513")</f>
        <v/>
      </c>
      <c r="B2282" s="2" t="n">
        <v>43212.13822916667</v>
      </c>
      <c r="C2282" t="n">
        <v>0</v>
      </c>
      <c r="D2282" t="n">
        <v>0</v>
      </c>
      <c r="E2282" t="s">
        <v>2276</v>
      </c>
      <c r="F2282" t="s"/>
      <c r="G2282" t="s"/>
      <c r="H2282" t="s"/>
      <c r="I2282" t="s"/>
      <c r="J2282" t="n">
        <v>-0.6136</v>
      </c>
      <c r="K2282" t="n">
        <v>0.184</v>
      </c>
      <c r="L2282" t="n">
        <v>0.6899999999999999</v>
      </c>
      <c r="M2282" t="n">
        <v>0.126</v>
      </c>
    </row>
    <row r="2283" spans="1:13">
      <c r="A2283" s="1">
        <f>HYPERLINK("http://www.twitter.com/NathanBLawrence/status/987893085597204481", "987893085597204481")</f>
        <v/>
      </c>
      <c r="B2283" s="2" t="n">
        <v>43212.13703703704</v>
      </c>
      <c r="C2283" t="n">
        <v>0</v>
      </c>
      <c r="D2283" t="n">
        <v>0</v>
      </c>
      <c r="E2283" t="s">
        <v>2277</v>
      </c>
      <c r="F2283" t="s"/>
      <c r="G2283" t="s"/>
      <c r="H2283" t="s"/>
      <c r="I2283" t="s"/>
      <c r="J2283" t="n">
        <v>0.594</v>
      </c>
      <c r="K2283" t="n">
        <v>0.101</v>
      </c>
      <c r="L2283" t="n">
        <v>0.709</v>
      </c>
      <c r="M2283" t="n">
        <v>0.19</v>
      </c>
    </row>
    <row r="2284" spans="1:13">
      <c r="A2284" s="1">
        <f>HYPERLINK("http://www.twitter.com/NathanBLawrence/status/987882974325682177", "987882974325682177")</f>
        <v/>
      </c>
      <c r="B2284" s="2" t="n">
        <v>43212.10913194445</v>
      </c>
      <c r="C2284" t="n">
        <v>0</v>
      </c>
      <c r="D2284" t="n">
        <v>0</v>
      </c>
      <c r="E2284" t="s">
        <v>2278</v>
      </c>
      <c r="F2284" t="s"/>
      <c r="G2284" t="s"/>
      <c r="H2284" t="s"/>
      <c r="I2284" t="s"/>
      <c r="J2284" t="n">
        <v>0</v>
      </c>
      <c r="K2284" t="n">
        <v>0</v>
      </c>
      <c r="L2284" t="n">
        <v>1</v>
      </c>
      <c r="M2284" t="n">
        <v>0</v>
      </c>
    </row>
    <row r="2285" spans="1:13">
      <c r="A2285" s="1">
        <f>HYPERLINK("http://www.twitter.com/NathanBLawrence/status/987882744947658752", "987882744947658752")</f>
        <v/>
      </c>
      <c r="B2285" s="2" t="n">
        <v>43212.10850694445</v>
      </c>
      <c r="C2285" t="n">
        <v>0</v>
      </c>
      <c r="D2285" t="n">
        <v>7</v>
      </c>
      <c r="E2285" t="s">
        <v>2279</v>
      </c>
      <c r="F2285" t="s"/>
      <c r="G2285" t="s"/>
      <c r="H2285" t="s"/>
      <c r="I2285" t="s"/>
      <c r="J2285" t="n">
        <v>-0.4019</v>
      </c>
      <c r="K2285" t="n">
        <v>0.109</v>
      </c>
      <c r="L2285" t="n">
        <v>0.891</v>
      </c>
      <c r="M2285" t="n">
        <v>0</v>
      </c>
    </row>
    <row r="2286" spans="1:13">
      <c r="A2286" s="1">
        <f>HYPERLINK("http://www.twitter.com/NathanBLawrence/status/987882667860471808", "987882667860471808")</f>
        <v/>
      </c>
      <c r="B2286" s="2" t="n">
        <v>43212.10828703704</v>
      </c>
      <c r="C2286" t="n">
        <v>0</v>
      </c>
      <c r="D2286" t="n">
        <v>10</v>
      </c>
      <c r="E2286" t="s">
        <v>2280</v>
      </c>
      <c r="F2286">
        <f>HYPERLINK("http://pbs.twimg.com/media/DbWhrhgX0AAzDIm.jpg", "http://pbs.twimg.com/media/DbWhrhgX0AAzDIm.jpg")</f>
        <v/>
      </c>
      <c r="G2286" t="s"/>
      <c r="H2286" t="s"/>
      <c r="I2286" t="s"/>
      <c r="J2286" t="n">
        <v>0</v>
      </c>
      <c r="K2286" t="n">
        <v>0</v>
      </c>
      <c r="L2286" t="n">
        <v>1</v>
      </c>
      <c r="M2286" t="n">
        <v>0</v>
      </c>
    </row>
    <row r="2287" spans="1:13">
      <c r="A2287" s="1">
        <f>HYPERLINK("http://www.twitter.com/NathanBLawrence/status/987871620768333824", "987871620768333824")</f>
        <v/>
      </c>
      <c r="B2287" s="2" t="n">
        <v>43212.07780092592</v>
      </c>
      <c r="C2287" t="n">
        <v>1</v>
      </c>
      <c r="D2287" t="n">
        <v>0</v>
      </c>
      <c r="E2287" t="s">
        <v>2281</v>
      </c>
      <c r="F2287" t="s"/>
      <c r="G2287" t="s"/>
      <c r="H2287" t="s"/>
      <c r="I2287" t="s"/>
      <c r="J2287" t="n">
        <v>-0.7096</v>
      </c>
      <c r="K2287" t="n">
        <v>0.1</v>
      </c>
      <c r="L2287" t="n">
        <v>0.9</v>
      </c>
      <c r="M2287" t="n">
        <v>0</v>
      </c>
    </row>
    <row r="2288" spans="1:13">
      <c r="A2288" s="1">
        <f>HYPERLINK("http://www.twitter.com/NathanBLawrence/status/987866941380493317", "987866941380493317")</f>
        <v/>
      </c>
      <c r="B2288" s="2" t="n">
        <v>43212.06489583333</v>
      </c>
      <c r="C2288" t="n">
        <v>0</v>
      </c>
      <c r="D2288" t="n">
        <v>4</v>
      </c>
      <c r="E2288" t="s">
        <v>2282</v>
      </c>
      <c r="F2288" t="s"/>
      <c r="G2288" t="s"/>
      <c r="H2288" t="s"/>
      <c r="I2288" t="s"/>
      <c r="J2288" t="n">
        <v>-0.6908</v>
      </c>
      <c r="K2288" t="n">
        <v>0.183</v>
      </c>
      <c r="L2288" t="n">
        <v>0.8169999999999999</v>
      </c>
      <c r="M2288" t="n">
        <v>0</v>
      </c>
    </row>
    <row r="2289" spans="1:13">
      <c r="A2289" s="1">
        <f>HYPERLINK("http://www.twitter.com/NathanBLawrence/status/987866860568895493", "987866860568895493")</f>
        <v/>
      </c>
      <c r="B2289" s="2" t="n">
        <v>43212.06466435185</v>
      </c>
      <c r="C2289" t="n">
        <v>0</v>
      </c>
      <c r="D2289" t="n">
        <v>0</v>
      </c>
      <c r="E2289" t="s">
        <v>2283</v>
      </c>
      <c r="F2289" t="s"/>
      <c r="G2289" t="s"/>
      <c r="H2289" t="s"/>
      <c r="I2289" t="s"/>
      <c r="J2289" t="n">
        <v>0</v>
      </c>
      <c r="K2289" t="n">
        <v>0</v>
      </c>
      <c r="L2289" t="n">
        <v>1</v>
      </c>
      <c r="M2289" t="n">
        <v>0</v>
      </c>
    </row>
    <row r="2290" spans="1:13">
      <c r="A2290" s="1">
        <f>HYPERLINK("http://www.twitter.com/NathanBLawrence/status/987866842139168768", "987866842139168768")</f>
        <v/>
      </c>
      <c r="B2290" s="2" t="n">
        <v>43212.06461805556</v>
      </c>
      <c r="C2290" t="n">
        <v>0</v>
      </c>
      <c r="D2290" t="n">
        <v>1</v>
      </c>
      <c r="E2290" t="s">
        <v>2284</v>
      </c>
      <c r="F2290" t="s"/>
      <c r="G2290" t="s"/>
      <c r="H2290" t="s"/>
      <c r="I2290" t="s"/>
      <c r="J2290" t="n">
        <v>-0.0516</v>
      </c>
      <c r="K2290" t="n">
        <v>0.052</v>
      </c>
      <c r="L2290" t="n">
        <v>0.948</v>
      </c>
      <c r="M2290" t="n">
        <v>0</v>
      </c>
    </row>
    <row r="2291" spans="1:13">
      <c r="A2291" s="1">
        <f>HYPERLINK("http://www.twitter.com/NathanBLawrence/status/987866770492022785", "987866770492022785")</f>
        <v/>
      </c>
      <c r="B2291" s="2" t="n">
        <v>43212.06442129629</v>
      </c>
      <c r="C2291" t="n">
        <v>4</v>
      </c>
      <c r="D2291" t="n">
        <v>4</v>
      </c>
      <c r="E2291" t="s">
        <v>2285</v>
      </c>
      <c r="F2291" t="s"/>
      <c r="G2291" t="s"/>
      <c r="H2291" t="s"/>
      <c r="I2291" t="s"/>
      <c r="J2291" t="n">
        <v>-0.8764</v>
      </c>
      <c r="K2291" t="n">
        <v>0.255</v>
      </c>
      <c r="L2291" t="n">
        <v>0.655</v>
      </c>
      <c r="M2291" t="n">
        <v>0.09</v>
      </c>
    </row>
    <row r="2292" spans="1:13">
      <c r="A2292" s="1">
        <f>HYPERLINK("http://www.twitter.com/NathanBLawrence/status/987860773585276933", "987860773585276933")</f>
        <v/>
      </c>
      <c r="B2292" s="2" t="n">
        <v>43212.04787037037</v>
      </c>
      <c r="C2292" t="n">
        <v>0</v>
      </c>
      <c r="D2292" t="n">
        <v>1</v>
      </c>
      <c r="E2292" t="s">
        <v>2286</v>
      </c>
      <c r="F2292" t="s"/>
      <c r="G2292" t="s"/>
      <c r="H2292" t="s"/>
      <c r="I2292" t="s"/>
      <c r="J2292" t="n">
        <v>0.765</v>
      </c>
      <c r="K2292" t="n">
        <v>0</v>
      </c>
      <c r="L2292" t="n">
        <v>0.769</v>
      </c>
      <c r="M2292" t="n">
        <v>0.231</v>
      </c>
    </row>
    <row r="2293" spans="1:13">
      <c r="A2293" s="1">
        <f>HYPERLINK("http://www.twitter.com/NathanBLawrence/status/987860755470045184", "987860755470045184")</f>
        <v/>
      </c>
      <c r="B2293" s="2" t="n">
        <v>43212.04782407408</v>
      </c>
      <c r="C2293" t="n">
        <v>0</v>
      </c>
      <c r="D2293" t="n">
        <v>63</v>
      </c>
      <c r="E2293" t="s">
        <v>2287</v>
      </c>
      <c r="F2293">
        <f>HYPERLINK("http://pbs.twimg.com/media/DbT3VHXUQAAMDSC.jpg", "http://pbs.twimg.com/media/DbT3VHXUQAAMDSC.jpg")</f>
        <v/>
      </c>
      <c r="G2293" t="s"/>
      <c r="H2293" t="s"/>
      <c r="I2293" t="s"/>
      <c r="J2293" t="n">
        <v>0</v>
      </c>
      <c r="K2293" t="n">
        <v>0</v>
      </c>
      <c r="L2293" t="n">
        <v>1</v>
      </c>
      <c r="M2293" t="n">
        <v>0</v>
      </c>
    </row>
    <row r="2294" spans="1:13">
      <c r="A2294" s="1">
        <f>HYPERLINK("http://www.twitter.com/NathanBLawrence/status/987860554004992000", "987860554004992000")</f>
        <v/>
      </c>
      <c r="B2294" s="2" t="n">
        <v>43212.04726851852</v>
      </c>
      <c r="C2294" t="n">
        <v>0</v>
      </c>
      <c r="D2294" t="n">
        <v>11</v>
      </c>
      <c r="E2294" t="s">
        <v>2288</v>
      </c>
      <c r="F2294" t="s"/>
      <c r="G2294" t="s"/>
      <c r="H2294" t="s"/>
      <c r="I2294" t="s"/>
      <c r="J2294" t="n">
        <v>-0.6633</v>
      </c>
      <c r="K2294" t="n">
        <v>0.198</v>
      </c>
      <c r="L2294" t="n">
        <v>0.802</v>
      </c>
      <c r="M2294" t="n">
        <v>0</v>
      </c>
    </row>
    <row r="2295" spans="1:13">
      <c r="A2295" s="1">
        <f>HYPERLINK("http://www.twitter.com/NathanBLawrence/status/987860489312067585", "987860489312067585")</f>
        <v/>
      </c>
      <c r="B2295" s="2" t="n">
        <v>43212.04708333333</v>
      </c>
      <c r="C2295" t="n">
        <v>0</v>
      </c>
      <c r="D2295" t="n">
        <v>5</v>
      </c>
      <c r="E2295" t="s">
        <v>2289</v>
      </c>
      <c r="F2295" t="s"/>
      <c r="G2295" t="s"/>
      <c r="H2295" t="s"/>
      <c r="I2295" t="s"/>
      <c r="J2295" t="n">
        <v>0.0772</v>
      </c>
      <c r="K2295" t="n">
        <v>0.11</v>
      </c>
      <c r="L2295" t="n">
        <v>0.77</v>
      </c>
      <c r="M2295" t="n">
        <v>0.12</v>
      </c>
    </row>
    <row r="2296" spans="1:13">
      <c r="A2296" s="1">
        <f>HYPERLINK("http://www.twitter.com/NathanBLawrence/status/987860455522734080", "987860455522734080")</f>
        <v/>
      </c>
      <c r="B2296" s="2" t="n">
        <v>43212.04699074074</v>
      </c>
      <c r="C2296" t="n">
        <v>0</v>
      </c>
      <c r="D2296" t="n">
        <v>8</v>
      </c>
      <c r="E2296" t="s">
        <v>2290</v>
      </c>
      <c r="F2296" t="s"/>
      <c r="G2296" t="s"/>
      <c r="H2296" t="s"/>
      <c r="I2296" t="s"/>
      <c r="J2296" t="n">
        <v>0</v>
      </c>
      <c r="K2296" t="n">
        <v>0</v>
      </c>
      <c r="L2296" t="n">
        <v>1</v>
      </c>
      <c r="M2296" t="n">
        <v>0</v>
      </c>
    </row>
    <row r="2297" spans="1:13">
      <c r="A2297" s="1">
        <f>HYPERLINK("http://www.twitter.com/NathanBLawrence/status/987860442734358529", "987860442734358529")</f>
        <v/>
      </c>
      <c r="B2297" s="2" t="n">
        <v>43212.04695601852</v>
      </c>
      <c r="C2297" t="n">
        <v>0</v>
      </c>
      <c r="D2297" t="n">
        <v>8</v>
      </c>
      <c r="E2297" t="s">
        <v>2291</v>
      </c>
      <c r="F2297" t="s"/>
      <c r="G2297" t="s"/>
      <c r="H2297" t="s"/>
      <c r="I2297" t="s"/>
      <c r="J2297" t="n">
        <v>-0.8834</v>
      </c>
      <c r="K2297" t="n">
        <v>0.353</v>
      </c>
      <c r="L2297" t="n">
        <v>0.579</v>
      </c>
      <c r="M2297" t="n">
        <v>0.06900000000000001</v>
      </c>
    </row>
    <row r="2298" spans="1:13">
      <c r="A2298" s="1">
        <f>HYPERLINK("http://www.twitter.com/NathanBLawrence/status/987860398190850048", "987860398190850048")</f>
        <v/>
      </c>
      <c r="B2298" s="2" t="n">
        <v>43212.04684027778</v>
      </c>
      <c r="C2298" t="n">
        <v>0</v>
      </c>
      <c r="D2298" t="n">
        <v>9</v>
      </c>
      <c r="E2298" t="s">
        <v>2292</v>
      </c>
      <c r="F2298" t="s"/>
      <c r="G2298" t="s"/>
      <c r="H2298" t="s"/>
      <c r="I2298" t="s"/>
      <c r="J2298" t="n">
        <v>-0.5661</v>
      </c>
      <c r="K2298" t="n">
        <v>0.199</v>
      </c>
      <c r="L2298" t="n">
        <v>0.737</v>
      </c>
      <c r="M2298" t="n">
        <v>0.064</v>
      </c>
    </row>
    <row r="2299" spans="1:13">
      <c r="A2299" s="1">
        <f>HYPERLINK("http://www.twitter.com/NathanBLawrence/status/987860373364772864", "987860373364772864")</f>
        <v/>
      </c>
      <c r="B2299" s="2" t="n">
        <v>43212.04677083333</v>
      </c>
      <c r="C2299" t="n">
        <v>0</v>
      </c>
      <c r="D2299" t="n">
        <v>7</v>
      </c>
      <c r="E2299" t="s">
        <v>2293</v>
      </c>
      <c r="F2299" t="s"/>
      <c r="G2299" t="s"/>
      <c r="H2299" t="s"/>
      <c r="I2299" t="s"/>
      <c r="J2299" t="n">
        <v>-0.4767</v>
      </c>
      <c r="K2299" t="n">
        <v>0.114</v>
      </c>
      <c r="L2299" t="n">
        <v>0.886</v>
      </c>
      <c r="M2299" t="n">
        <v>0</v>
      </c>
    </row>
    <row r="2300" spans="1:13">
      <c r="A2300" s="1">
        <f>HYPERLINK("http://www.twitter.com/NathanBLawrence/status/987860321271459840", "987860321271459840")</f>
        <v/>
      </c>
      <c r="B2300" s="2" t="n">
        <v>43212.04662037037</v>
      </c>
      <c r="C2300" t="n">
        <v>0</v>
      </c>
      <c r="D2300" t="n">
        <v>12</v>
      </c>
      <c r="E2300" t="s">
        <v>1983</v>
      </c>
      <c r="F2300">
        <f>HYPERLINK("http://pbs.twimg.com/media/DbUm14CVwAAoQol.jpg", "http://pbs.twimg.com/media/DbUm14CVwAAoQol.jpg")</f>
        <v/>
      </c>
      <c r="G2300" t="s"/>
      <c r="H2300" t="s"/>
      <c r="I2300" t="s"/>
      <c r="J2300" t="n">
        <v>-0.5106000000000001</v>
      </c>
      <c r="K2300" t="n">
        <v>0.217</v>
      </c>
      <c r="L2300" t="n">
        <v>0.6860000000000001</v>
      </c>
      <c r="M2300" t="n">
        <v>0.097</v>
      </c>
    </row>
    <row r="2301" spans="1:13">
      <c r="A2301" s="1">
        <f>HYPERLINK("http://www.twitter.com/NathanBLawrence/status/987860237427314688", "987860237427314688")</f>
        <v/>
      </c>
      <c r="B2301" s="2" t="n">
        <v>43212.04638888889</v>
      </c>
      <c r="C2301" t="n">
        <v>0</v>
      </c>
      <c r="D2301" t="n">
        <v>7</v>
      </c>
      <c r="E2301" t="s">
        <v>2294</v>
      </c>
      <c r="F2301" t="s"/>
      <c r="G2301" t="s"/>
      <c r="H2301" t="s"/>
      <c r="I2301" t="s"/>
      <c r="J2301" t="n">
        <v>0</v>
      </c>
      <c r="K2301" t="n">
        <v>0</v>
      </c>
      <c r="L2301" t="n">
        <v>1</v>
      </c>
      <c r="M2301" t="n">
        <v>0</v>
      </c>
    </row>
    <row r="2302" spans="1:13">
      <c r="A2302" s="1">
        <f>HYPERLINK("http://www.twitter.com/NathanBLawrence/status/987860212454436865", "987860212454436865")</f>
        <v/>
      </c>
      <c r="B2302" s="2" t="n">
        <v>43212.04631944445</v>
      </c>
      <c r="C2302" t="n">
        <v>0</v>
      </c>
      <c r="D2302" t="n">
        <v>4</v>
      </c>
      <c r="E2302" t="s">
        <v>2295</v>
      </c>
      <c r="F2302" t="s"/>
      <c r="G2302" t="s"/>
      <c r="H2302" t="s"/>
      <c r="I2302" t="s"/>
      <c r="J2302" t="n">
        <v>-0.34</v>
      </c>
      <c r="K2302" t="n">
        <v>0.194</v>
      </c>
      <c r="L2302" t="n">
        <v>0.806</v>
      </c>
      <c r="M2302" t="n">
        <v>0</v>
      </c>
    </row>
    <row r="2303" spans="1:13">
      <c r="A2303" s="1">
        <f>HYPERLINK("http://www.twitter.com/NathanBLawrence/status/987860198797840384", "987860198797840384")</f>
        <v/>
      </c>
      <c r="B2303" s="2" t="n">
        <v>43212.04628472222</v>
      </c>
      <c r="C2303" t="n">
        <v>0</v>
      </c>
      <c r="D2303" t="n">
        <v>6</v>
      </c>
      <c r="E2303" t="s">
        <v>2296</v>
      </c>
      <c r="F2303" t="s"/>
      <c r="G2303" t="s"/>
      <c r="H2303" t="s"/>
      <c r="I2303" t="s"/>
      <c r="J2303" t="n">
        <v>0.2732</v>
      </c>
      <c r="K2303" t="n">
        <v>0.096</v>
      </c>
      <c r="L2303" t="n">
        <v>0.723</v>
      </c>
      <c r="M2303" t="n">
        <v>0.181</v>
      </c>
    </row>
    <row r="2304" spans="1:13">
      <c r="A2304" s="1">
        <f>HYPERLINK("http://www.twitter.com/NathanBLawrence/status/987860144934608896", "987860144934608896")</f>
        <v/>
      </c>
      <c r="B2304" s="2" t="n">
        <v>43212.04613425926</v>
      </c>
      <c r="C2304" t="n">
        <v>0</v>
      </c>
      <c r="D2304" t="n">
        <v>13</v>
      </c>
      <c r="E2304" t="s">
        <v>2297</v>
      </c>
      <c r="F2304" t="s"/>
      <c r="G2304" t="s"/>
      <c r="H2304" t="s"/>
      <c r="I2304" t="s"/>
      <c r="J2304" t="n">
        <v>0.4019</v>
      </c>
      <c r="K2304" t="n">
        <v>0.115</v>
      </c>
      <c r="L2304" t="n">
        <v>0.6909999999999999</v>
      </c>
      <c r="M2304" t="n">
        <v>0.194</v>
      </c>
    </row>
    <row r="2305" spans="1:13">
      <c r="A2305" s="1">
        <f>HYPERLINK("http://www.twitter.com/NathanBLawrence/status/987834641322266626", "987834641322266626")</f>
        <v/>
      </c>
      <c r="B2305" s="2" t="n">
        <v>43211.97576388889</v>
      </c>
      <c r="C2305" t="n">
        <v>0</v>
      </c>
      <c r="D2305" t="n">
        <v>31</v>
      </c>
      <c r="E2305" t="s">
        <v>2298</v>
      </c>
      <c r="F2305" t="s"/>
      <c r="G2305" t="s"/>
      <c r="H2305" t="s"/>
      <c r="I2305" t="s"/>
      <c r="J2305" t="n">
        <v>-0.6705</v>
      </c>
      <c r="K2305" t="n">
        <v>0.2</v>
      </c>
      <c r="L2305" t="n">
        <v>0.8</v>
      </c>
      <c r="M2305" t="n">
        <v>0</v>
      </c>
    </row>
    <row r="2306" spans="1:13">
      <c r="A2306" s="1">
        <f>HYPERLINK("http://www.twitter.com/NathanBLawrence/status/987829709265305600", "987829709265305600")</f>
        <v/>
      </c>
      <c r="B2306" s="2" t="n">
        <v>43211.96215277778</v>
      </c>
      <c r="C2306" t="n">
        <v>0</v>
      </c>
      <c r="D2306" t="n">
        <v>7</v>
      </c>
      <c r="E2306" t="s">
        <v>2299</v>
      </c>
      <c r="F2306" t="s"/>
      <c r="G2306" t="s"/>
      <c r="H2306" t="s"/>
      <c r="I2306" t="s"/>
      <c r="J2306" t="n">
        <v>-0.594</v>
      </c>
      <c r="K2306" t="n">
        <v>0.149</v>
      </c>
      <c r="L2306" t="n">
        <v>0.851</v>
      </c>
      <c r="M2306" t="n">
        <v>0</v>
      </c>
    </row>
    <row r="2307" spans="1:13">
      <c r="A2307" s="1">
        <f>HYPERLINK("http://www.twitter.com/NathanBLawrence/status/987829504059105282", "987829504059105282")</f>
        <v/>
      </c>
      <c r="B2307" s="2" t="n">
        <v>43211.96158564815</v>
      </c>
      <c r="C2307" t="n">
        <v>0</v>
      </c>
      <c r="D2307" t="n">
        <v>4</v>
      </c>
      <c r="E2307" t="s">
        <v>2300</v>
      </c>
      <c r="F2307" t="s"/>
      <c r="G2307" t="s"/>
      <c r="H2307" t="s"/>
      <c r="I2307" t="s"/>
      <c r="J2307" t="n">
        <v>-0.25</v>
      </c>
      <c r="K2307" t="n">
        <v>0.135</v>
      </c>
      <c r="L2307" t="n">
        <v>0.769</v>
      </c>
      <c r="M2307" t="n">
        <v>0.096</v>
      </c>
    </row>
    <row r="2308" spans="1:13">
      <c r="A2308" s="1">
        <f>HYPERLINK("http://www.twitter.com/NathanBLawrence/status/987829470290735104", "987829470290735104")</f>
        <v/>
      </c>
      <c r="B2308" s="2" t="n">
        <v>43211.96149305555</v>
      </c>
      <c r="C2308" t="n">
        <v>10</v>
      </c>
      <c r="D2308" t="n">
        <v>7</v>
      </c>
      <c r="E2308" t="s">
        <v>2301</v>
      </c>
      <c r="F2308" t="s"/>
      <c r="G2308" t="s"/>
      <c r="H2308" t="s"/>
      <c r="I2308" t="s"/>
      <c r="J2308" t="n">
        <v>-0.9072</v>
      </c>
      <c r="K2308" t="n">
        <v>0.198</v>
      </c>
      <c r="L2308" t="n">
        <v>0.802</v>
      </c>
      <c r="M2308" t="n">
        <v>0</v>
      </c>
    </row>
    <row r="2309" spans="1:13">
      <c r="A2309" s="1">
        <f>HYPERLINK("http://www.twitter.com/NathanBLawrence/status/987828683883900928", "987828683883900928")</f>
        <v/>
      </c>
      <c r="B2309" s="2" t="n">
        <v>43211.95931712963</v>
      </c>
      <c r="C2309" t="n">
        <v>7</v>
      </c>
      <c r="D2309" t="n">
        <v>4</v>
      </c>
      <c r="E2309" t="s">
        <v>2302</v>
      </c>
      <c r="F2309" t="s"/>
      <c r="G2309" t="s"/>
      <c r="H2309" t="s"/>
      <c r="I2309" t="s"/>
      <c r="J2309" t="n">
        <v>-0.8196</v>
      </c>
      <c r="K2309" t="n">
        <v>0.23</v>
      </c>
      <c r="L2309" t="n">
        <v>0.6830000000000001</v>
      </c>
      <c r="M2309" t="n">
        <v>0.08699999999999999</v>
      </c>
    </row>
    <row r="2310" spans="1:13">
      <c r="A2310" s="1">
        <f>HYPERLINK("http://www.twitter.com/NathanBLawrence/status/987828279099953155", "987828279099953155")</f>
        <v/>
      </c>
      <c r="B2310" s="2" t="n">
        <v>43211.95820601852</v>
      </c>
      <c r="C2310" t="n">
        <v>0</v>
      </c>
      <c r="D2310" t="n">
        <v>7</v>
      </c>
      <c r="E2310" t="s">
        <v>2303</v>
      </c>
      <c r="F2310" t="s"/>
      <c r="G2310" t="s"/>
      <c r="H2310" t="s"/>
      <c r="I2310" t="s"/>
      <c r="J2310" t="n">
        <v>0.4019</v>
      </c>
      <c r="K2310" t="n">
        <v>0.178</v>
      </c>
      <c r="L2310" t="n">
        <v>0.582</v>
      </c>
      <c r="M2310" t="n">
        <v>0.24</v>
      </c>
    </row>
    <row r="2311" spans="1:13">
      <c r="A2311" s="1">
        <f>HYPERLINK("http://www.twitter.com/NathanBLawrence/status/987787013964423171", "987787013964423171")</f>
        <v/>
      </c>
      <c r="B2311" s="2" t="n">
        <v>43211.8443287037</v>
      </c>
      <c r="C2311" t="n">
        <v>1</v>
      </c>
      <c r="D2311" t="n">
        <v>0</v>
      </c>
      <c r="E2311" t="s">
        <v>2304</v>
      </c>
      <c r="F2311" t="s"/>
      <c r="G2311" t="s"/>
      <c r="H2311" t="s"/>
      <c r="I2311" t="s"/>
      <c r="J2311" t="n">
        <v>-0.1431</v>
      </c>
      <c r="K2311" t="n">
        <v>0.136</v>
      </c>
      <c r="L2311" t="n">
        <v>0.749</v>
      </c>
      <c r="M2311" t="n">
        <v>0.114</v>
      </c>
    </row>
    <row r="2312" spans="1:13">
      <c r="A2312" s="1">
        <f>HYPERLINK("http://www.twitter.com/NathanBLawrence/status/987786854371090432", "987786854371090432")</f>
        <v/>
      </c>
      <c r="B2312" s="2" t="n">
        <v>43211.84388888889</v>
      </c>
      <c r="C2312" t="n">
        <v>0</v>
      </c>
      <c r="D2312" t="n">
        <v>12117</v>
      </c>
      <c r="E2312" t="s">
        <v>2305</v>
      </c>
      <c r="F2312" t="s"/>
      <c r="G2312" t="s"/>
      <c r="H2312" t="s"/>
      <c r="I2312" t="s"/>
      <c r="J2312" t="n">
        <v>-0.4215</v>
      </c>
      <c r="K2312" t="n">
        <v>0.128</v>
      </c>
      <c r="L2312" t="n">
        <v>0.872</v>
      </c>
      <c r="M2312" t="n">
        <v>0</v>
      </c>
    </row>
    <row r="2313" spans="1:13">
      <c r="A2313" s="1">
        <f>HYPERLINK("http://www.twitter.com/NathanBLawrence/status/987786819285798913", "987786819285798913")</f>
        <v/>
      </c>
      <c r="B2313" s="2" t="n">
        <v>43211.8437962963</v>
      </c>
      <c r="C2313" t="n">
        <v>0</v>
      </c>
      <c r="D2313" t="n">
        <v>23167</v>
      </c>
      <c r="E2313" t="s">
        <v>2306</v>
      </c>
      <c r="F2313" t="s"/>
      <c r="G2313" t="s"/>
      <c r="H2313" t="s"/>
      <c r="I2313" t="s"/>
      <c r="J2313" t="n">
        <v>0.6369</v>
      </c>
      <c r="K2313" t="n">
        <v>0</v>
      </c>
      <c r="L2313" t="n">
        <v>0.625</v>
      </c>
      <c r="M2313" t="n">
        <v>0.375</v>
      </c>
    </row>
    <row r="2314" spans="1:13">
      <c r="A2314" s="1">
        <f>HYPERLINK("http://www.twitter.com/NathanBLawrence/status/987786700599517184", "987786700599517184")</f>
        <v/>
      </c>
      <c r="B2314" s="2" t="n">
        <v>43211.84347222222</v>
      </c>
      <c r="C2314" t="n">
        <v>0</v>
      </c>
      <c r="D2314" t="n">
        <v>6</v>
      </c>
      <c r="E2314" t="s">
        <v>2307</v>
      </c>
      <c r="F2314" t="s"/>
      <c r="G2314" t="s"/>
      <c r="H2314" t="s"/>
      <c r="I2314" t="s"/>
      <c r="J2314" t="n">
        <v>-0.4003</v>
      </c>
      <c r="K2314" t="n">
        <v>0.137</v>
      </c>
      <c r="L2314" t="n">
        <v>0.863</v>
      </c>
      <c r="M2314" t="n">
        <v>0</v>
      </c>
    </row>
    <row r="2315" spans="1:13">
      <c r="A2315" s="1">
        <f>HYPERLINK("http://www.twitter.com/NathanBLawrence/status/987786662708174848", "987786662708174848")</f>
        <v/>
      </c>
      <c r="B2315" s="2" t="n">
        <v>43211.84336805555</v>
      </c>
      <c r="C2315" t="n">
        <v>0</v>
      </c>
      <c r="D2315" t="n">
        <v>13</v>
      </c>
      <c r="E2315" t="s">
        <v>2308</v>
      </c>
      <c r="F2315" t="s"/>
      <c r="G2315" t="s"/>
      <c r="H2315" t="s"/>
      <c r="I2315" t="s"/>
      <c r="J2315" t="n">
        <v>0.3612</v>
      </c>
      <c r="K2315" t="n">
        <v>0</v>
      </c>
      <c r="L2315" t="n">
        <v>0.894</v>
      </c>
      <c r="M2315" t="n">
        <v>0.106</v>
      </c>
    </row>
    <row r="2316" spans="1:13">
      <c r="A2316" s="1">
        <f>HYPERLINK("http://www.twitter.com/NathanBLawrence/status/987786619641122818", "987786619641122818")</f>
        <v/>
      </c>
      <c r="B2316" s="2" t="n">
        <v>43211.84324074074</v>
      </c>
      <c r="C2316" t="n">
        <v>0</v>
      </c>
      <c r="D2316" t="n">
        <v>9</v>
      </c>
      <c r="E2316" t="s">
        <v>2309</v>
      </c>
      <c r="F2316" t="s"/>
      <c r="G2316" t="s"/>
      <c r="H2316" t="s"/>
      <c r="I2316" t="s"/>
      <c r="J2316" t="n">
        <v>0</v>
      </c>
      <c r="K2316" t="n">
        <v>0</v>
      </c>
      <c r="L2316" t="n">
        <v>1</v>
      </c>
      <c r="M2316" t="n">
        <v>0</v>
      </c>
    </row>
    <row r="2317" spans="1:13">
      <c r="A2317" s="1">
        <f>HYPERLINK("http://www.twitter.com/NathanBLawrence/status/987780379913474050", "987780379913474050")</f>
        <v/>
      </c>
      <c r="B2317" s="2" t="n">
        <v>43211.82603009259</v>
      </c>
      <c r="C2317" t="n">
        <v>12</v>
      </c>
      <c r="D2317" t="n">
        <v>13</v>
      </c>
      <c r="E2317" t="s">
        <v>2310</v>
      </c>
      <c r="F2317" t="s"/>
      <c r="G2317" t="s"/>
      <c r="H2317" t="s"/>
      <c r="I2317" t="s"/>
      <c r="J2317" t="n">
        <v>-0.7088</v>
      </c>
      <c r="K2317" t="n">
        <v>0.193</v>
      </c>
      <c r="L2317" t="n">
        <v>0.694</v>
      </c>
      <c r="M2317" t="n">
        <v>0.112</v>
      </c>
    </row>
    <row r="2318" spans="1:13">
      <c r="A2318" s="1">
        <f>HYPERLINK("http://www.twitter.com/NathanBLawrence/status/987779159295488001", "987779159295488001")</f>
        <v/>
      </c>
      <c r="B2318" s="2" t="n">
        <v>43211.82266203704</v>
      </c>
      <c r="C2318" t="n">
        <v>3</v>
      </c>
      <c r="D2318" t="n">
        <v>0</v>
      </c>
      <c r="E2318" t="s">
        <v>2311</v>
      </c>
      <c r="F2318" t="s"/>
      <c r="G2318" t="s"/>
      <c r="H2318" t="s"/>
      <c r="I2318" t="s"/>
      <c r="J2318" t="n">
        <v>-0.7618</v>
      </c>
      <c r="K2318" t="n">
        <v>0.232</v>
      </c>
      <c r="L2318" t="n">
        <v>0.768</v>
      </c>
      <c r="M2318" t="n">
        <v>0</v>
      </c>
    </row>
    <row r="2319" spans="1:13">
      <c r="A2319" s="1">
        <f>HYPERLINK("http://www.twitter.com/NathanBLawrence/status/987775320458694658", "987775320458694658")</f>
        <v/>
      </c>
      <c r="B2319" s="2" t="n">
        <v>43211.81207175926</v>
      </c>
      <c r="C2319" t="n">
        <v>0</v>
      </c>
      <c r="D2319" t="n">
        <v>4</v>
      </c>
      <c r="E2319" t="s">
        <v>2312</v>
      </c>
      <c r="F2319" t="s"/>
      <c r="G2319" t="s"/>
      <c r="H2319" t="s"/>
      <c r="I2319" t="s"/>
      <c r="J2319" t="n">
        <v>0.4019</v>
      </c>
      <c r="K2319" t="n">
        <v>0</v>
      </c>
      <c r="L2319" t="n">
        <v>0.803</v>
      </c>
      <c r="M2319" t="n">
        <v>0.197</v>
      </c>
    </row>
    <row r="2320" spans="1:13">
      <c r="A2320" s="1">
        <f>HYPERLINK("http://www.twitter.com/NathanBLawrence/status/987775294881792002", "987775294881792002")</f>
        <v/>
      </c>
      <c r="B2320" s="2" t="n">
        <v>43211.81199074074</v>
      </c>
      <c r="C2320" t="n">
        <v>0</v>
      </c>
      <c r="D2320" t="n">
        <v>10</v>
      </c>
      <c r="E2320" t="s">
        <v>2313</v>
      </c>
      <c r="F2320" t="s"/>
      <c r="G2320" t="s"/>
      <c r="H2320" t="s"/>
      <c r="I2320" t="s"/>
      <c r="J2320" t="n">
        <v>-0.5719</v>
      </c>
      <c r="K2320" t="n">
        <v>0.207</v>
      </c>
      <c r="L2320" t="n">
        <v>0.793</v>
      </c>
      <c r="M2320" t="n">
        <v>0</v>
      </c>
    </row>
    <row r="2321" spans="1:13">
      <c r="A2321" s="1">
        <f>HYPERLINK("http://www.twitter.com/NathanBLawrence/status/987775171258933248", "987775171258933248")</f>
        <v/>
      </c>
      <c r="B2321" s="2" t="n">
        <v>43211.81165509259</v>
      </c>
      <c r="C2321" t="n">
        <v>0</v>
      </c>
      <c r="D2321" t="n">
        <v>4</v>
      </c>
      <c r="E2321" t="s">
        <v>2314</v>
      </c>
      <c r="F2321" t="s"/>
      <c r="G2321" t="s"/>
      <c r="H2321" t="s"/>
      <c r="I2321" t="s"/>
      <c r="J2321" t="n">
        <v>0</v>
      </c>
      <c r="K2321" t="n">
        <v>0</v>
      </c>
      <c r="L2321" t="n">
        <v>1</v>
      </c>
      <c r="M2321" t="n">
        <v>0</v>
      </c>
    </row>
    <row r="2322" spans="1:13">
      <c r="A2322" s="1">
        <f>HYPERLINK("http://www.twitter.com/NathanBLawrence/status/987775125645856769", "987775125645856769")</f>
        <v/>
      </c>
      <c r="B2322" s="2" t="n">
        <v>43211.81152777778</v>
      </c>
      <c r="C2322" t="n">
        <v>0</v>
      </c>
      <c r="D2322" t="n">
        <v>12</v>
      </c>
      <c r="E2322" t="s">
        <v>2315</v>
      </c>
      <c r="F2322" t="s"/>
      <c r="G2322" t="s"/>
      <c r="H2322" t="s"/>
      <c r="I2322" t="s"/>
      <c r="J2322" t="n">
        <v>-0.34</v>
      </c>
      <c r="K2322" t="n">
        <v>0.118</v>
      </c>
      <c r="L2322" t="n">
        <v>0.882</v>
      </c>
      <c r="M2322" t="n">
        <v>0</v>
      </c>
    </row>
    <row r="2323" spans="1:13">
      <c r="A2323" s="1">
        <f>HYPERLINK("http://www.twitter.com/NathanBLawrence/status/987771244668956674", "987771244668956674")</f>
        <v/>
      </c>
      <c r="B2323" s="2" t="n">
        <v>43211.80082175926</v>
      </c>
      <c r="C2323" t="n">
        <v>0</v>
      </c>
      <c r="D2323" t="n">
        <v>3</v>
      </c>
      <c r="E2323" t="s">
        <v>2316</v>
      </c>
      <c r="F2323" t="s"/>
      <c r="G2323" t="s"/>
      <c r="H2323" t="s"/>
      <c r="I2323" t="s"/>
      <c r="J2323" t="n">
        <v>0.1531</v>
      </c>
      <c r="K2323" t="n">
        <v>0</v>
      </c>
      <c r="L2323" t="n">
        <v>0.9350000000000001</v>
      </c>
      <c r="M2323" t="n">
        <v>0.065</v>
      </c>
    </row>
    <row r="2324" spans="1:13">
      <c r="A2324" s="1">
        <f>HYPERLINK("http://www.twitter.com/NathanBLawrence/status/987771221763911681", "987771221763911681")</f>
        <v/>
      </c>
      <c r="B2324" s="2" t="n">
        <v>43211.80075231481</v>
      </c>
      <c r="C2324" t="n">
        <v>0</v>
      </c>
      <c r="D2324" t="n">
        <v>14</v>
      </c>
      <c r="E2324" t="s">
        <v>2317</v>
      </c>
      <c r="F2324">
        <f>HYPERLINK("http://pbs.twimg.com/media/DbVDMQCVAAAUmte.jpg", "http://pbs.twimg.com/media/DbVDMQCVAAAUmte.jpg")</f>
        <v/>
      </c>
      <c r="G2324" t="s"/>
      <c r="H2324" t="s"/>
      <c r="I2324" t="s"/>
      <c r="J2324" t="n">
        <v>-0.34</v>
      </c>
      <c r="K2324" t="n">
        <v>0.112</v>
      </c>
      <c r="L2324" t="n">
        <v>0.888</v>
      </c>
      <c r="M2324" t="n">
        <v>0</v>
      </c>
    </row>
    <row r="2325" spans="1:13">
      <c r="A2325" s="1">
        <f>HYPERLINK("http://www.twitter.com/NathanBLawrence/status/987771204076539905", "987771204076539905")</f>
        <v/>
      </c>
      <c r="B2325" s="2" t="n">
        <v>43211.80070601852</v>
      </c>
      <c r="C2325" t="n">
        <v>0</v>
      </c>
      <c r="D2325" t="n">
        <v>11</v>
      </c>
      <c r="E2325" t="s">
        <v>2318</v>
      </c>
      <c r="F2325" t="s"/>
      <c r="G2325" t="s"/>
      <c r="H2325" t="s"/>
      <c r="I2325" t="s"/>
      <c r="J2325" t="n">
        <v>0</v>
      </c>
      <c r="K2325" t="n">
        <v>0</v>
      </c>
      <c r="L2325" t="n">
        <v>1</v>
      </c>
      <c r="M2325" t="n">
        <v>0</v>
      </c>
    </row>
    <row r="2326" spans="1:13">
      <c r="A2326" s="1">
        <f>HYPERLINK("http://www.twitter.com/NathanBLawrence/status/987768411446013952", "987768411446013952")</f>
        <v/>
      </c>
      <c r="B2326" s="2" t="n">
        <v>43211.79299768519</v>
      </c>
      <c r="C2326" t="n">
        <v>0</v>
      </c>
      <c r="D2326" t="n">
        <v>9</v>
      </c>
      <c r="E2326" t="s">
        <v>2319</v>
      </c>
      <c r="F2326" t="s"/>
      <c r="G2326" t="s"/>
      <c r="H2326" t="s"/>
      <c r="I2326" t="s"/>
      <c r="J2326" t="n">
        <v>-0.34</v>
      </c>
      <c r="K2326" t="n">
        <v>0.098</v>
      </c>
      <c r="L2326" t="n">
        <v>0.902</v>
      </c>
      <c r="M2326" t="n">
        <v>0</v>
      </c>
    </row>
    <row r="2327" spans="1:13">
      <c r="A2327" s="1">
        <f>HYPERLINK("http://www.twitter.com/NathanBLawrence/status/987734467631607808", "987734467631607808")</f>
        <v/>
      </c>
      <c r="B2327" s="2" t="n">
        <v>43211.6993287037</v>
      </c>
      <c r="C2327" t="n">
        <v>0</v>
      </c>
      <c r="D2327" t="n">
        <v>5</v>
      </c>
      <c r="E2327" t="s">
        <v>2320</v>
      </c>
      <c r="F2327" t="s"/>
      <c r="G2327" t="s"/>
      <c r="H2327" t="s"/>
      <c r="I2327" t="s"/>
      <c r="J2327" t="n">
        <v>0</v>
      </c>
      <c r="K2327" t="n">
        <v>0</v>
      </c>
      <c r="L2327" t="n">
        <v>1</v>
      </c>
      <c r="M2327" t="n">
        <v>0</v>
      </c>
    </row>
    <row r="2328" spans="1:13">
      <c r="A2328" s="1">
        <f>HYPERLINK("http://www.twitter.com/NathanBLawrence/status/987706912140652544", "987706912140652544")</f>
        <v/>
      </c>
      <c r="B2328" s="2" t="n">
        <v>43211.62329861111</v>
      </c>
      <c r="C2328" t="n">
        <v>7</v>
      </c>
      <c r="D2328" t="n">
        <v>2</v>
      </c>
      <c r="E2328" t="s">
        <v>2321</v>
      </c>
      <c r="F2328" t="s"/>
      <c r="G2328" t="s"/>
      <c r="H2328" t="s"/>
      <c r="I2328" t="s"/>
      <c r="J2328" t="n">
        <v>-0.4927</v>
      </c>
      <c r="K2328" t="n">
        <v>0.079</v>
      </c>
      <c r="L2328" t="n">
        <v>0.921</v>
      </c>
      <c r="M2328" t="n">
        <v>0</v>
      </c>
    </row>
    <row r="2329" spans="1:13">
      <c r="A2329" s="1">
        <f>HYPERLINK("http://www.twitter.com/NathanBLawrence/status/987694115704983552", "987694115704983552")</f>
        <v/>
      </c>
      <c r="B2329" s="2" t="n">
        <v>43211.58798611111</v>
      </c>
      <c r="C2329" t="n">
        <v>0</v>
      </c>
      <c r="D2329" t="n">
        <v>79</v>
      </c>
      <c r="E2329" t="s">
        <v>2322</v>
      </c>
      <c r="F2329">
        <f>HYPERLINK("http://pbs.twimg.com/media/DbSJgPlW0AAu9M1.jpg", "http://pbs.twimg.com/media/DbSJgPlW0AAu9M1.jpg")</f>
        <v/>
      </c>
      <c r="G2329" t="s"/>
      <c r="H2329" t="s"/>
      <c r="I2329" t="s"/>
      <c r="J2329" t="n">
        <v>-0.8316</v>
      </c>
      <c r="K2329" t="n">
        <v>0.328</v>
      </c>
      <c r="L2329" t="n">
        <v>0.672</v>
      </c>
      <c r="M2329" t="n">
        <v>0</v>
      </c>
    </row>
    <row r="2330" spans="1:13">
      <c r="A2330" s="1">
        <f>HYPERLINK("http://www.twitter.com/NathanBLawrence/status/987693846787223552", "987693846787223552")</f>
        <v/>
      </c>
      <c r="B2330" s="2" t="n">
        <v>43211.58724537037</v>
      </c>
      <c r="C2330" t="n">
        <v>0</v>
      </c>
      <c r="D2330" t="n">
        <v>0</v>
      </c>
      <c r="E2330" t="s">
        <v>2323</v>
      </c>
      <c r="F2330" t="s"/>
      <c r="G2330" t="s"/>
      <c r="H2330" t="s"/>
      <c r="I2330" t="s"/>
      <c r="J2330" t="n">
        <v>-0.5859</v>
      </c>
      <c r="K2330" t="n">
        <v>0.304</v>
      </c>
      <c r="L2330" t="n">
        <v>0.696</v>
      </c>
      <c r="M2330" t="n">
        <v>0</v>
      </c>
    </row>
    <row r="2331" spans="1:13">
      <c r="A2331" s="1">
        <f>HYPERLINK("http://www.twitter.com/NathanBLawrence/status/987693355621601280", "987693355621601280")</f>
        <v/>
      </c>
      <c r="B2331" s="2" t="n">
        <v>43211.5858912037</v>
      </c>
      <c r="C2331" t="n">
        <v>0</v>
      </c>
      <c r="D2331" t="n">
        <v>401</v>
      </c>
      <c r="E2331" t="s">
        <v>2324</v>
      </c>
      <c r="F2331" t="s"/>
      <c r="G2331" t="s"/>
      <c r="H2331" t="s"/>
      <c r="I2331" t="s"/>
      <c r="J2331" t="n">
        <v>0.6597</v>
      </c>
      <c r="K2331" t="n">
        <v>0</v>
      </c>
      <c r="L2331" t="n">
        <v>0.787</v>
      </c>
      <c r="M2331" t="n">
        <v>0.213</v>
      </c>
    </row>
    <row r="2332" spans="1:13">
      <c r="A2332" s="1">
        <f>HYPERLINK("http://www.twitter.com/NathanBLawrence/status/987692831161634817", "987692831161634817")</f>
        <v/>
      </c>
      <c r="B2332" s="2" t="n">
        <v>43211.58444444444</v>
      </c>
      <c r="C2332" t="n">
        <v>0</v>
      </c>
      <c r="D2332" t="n">
        <v>56</v>
      </c>
      <c r="E2332" t="s">
        <v>2325</v>
      </c>
      <c r="F2332" t="s"/>
      <c r="G2332" t="s"/>
      <c r="H2332" t="s"/>
      <c r="I2332" t="s"/>
      <c r="J2332" t="n">
        <v>-0.2023</v>
      </c>
      <c r="K2332" t="n">
        <v>0.197</v>
      </c>
      <c r="L2332" t="n">
        <v>0.669</v>
      </c>
      <c r="M2332" t="n">
        <v>0.134</v>
      </c>
    </row>
    <row r="2333" spans="1:13">
      <c r="A2333" s="1">
        <f>HYPERLINK("http://www.twitter.com/NathanBLawrence/status/987692769102716928", "987692769102716928")</f>
        <v/>
      </c>
      <c r="B2333" s="2" t="n">
        <v>43211.58427083334</v>
      </c>
      <c r="C2333" t="n">
        <v>0</v>
      </c>
      <c r="D2333" t="n">
        <v>13</v>
      </c>
      <c r="E2333" t="s">
        <v>2326</v>
      </c>
      <c r="F2333">
        <f>HYPERLINK("http://pbs.twimg.com/media/DbT8WmHVAAA8yAP.jpg", "http://pbs.twimg.com/media/DbT8WmHVAAA8yAP.jpg")</f>
        <v/>
      </c>
      <c r="G2333" t="s"/>
      <c r="H2333" t="s"/>
      <c r="I2333" t="s"/>
      <c r="J2333" t="n">
        <v>0.1779</v>
      </c>
      <c r="K2333" t="n">
        <v>0.097</v>
      </c>
      <c r="L2333" t="n">
        <v>0.778</v>
      </c>
      <c r="M2333" t="n">
        <v>0.125</v>
      </c>
    </row>
    <row r="2334" spans="1:13">
      <c r="A2334" s="1">
        <f>HYPERLINK("http://www.twitter.com/NathanBLawrence/status/987692484032647168", "987692484032647168")</f>
        <v/>
      </c>
      <c r="B2334" s="2" t="n">
        <v>43211.5834837963</v>
      </c>
      <c r="C2334" t="n">
        <v>0</v>
      </c>
      <c r="D2334" t="n">
        <v>7</v>
      </c>
      <c r="E2334" t="s">
        <v>2327</v>
      </c>
      <c r="F2334" t="s"/>
      <c r="G2334" t="s"/>
      <c r="H2334" t="s"/>
      <c r="I2334" t="s"/>
      <c r="J2334" t="n">
        <v>-0.2411</v>
      </c>
      <c r="K2334" t="n">
        <v>0.186</v>
      </c>
      <c r="L2334" t="n">
        <v>0.704</v>
      </c>
      <c r="M2334" t="n">
        <v>0.11</v>
      </c>
    </row>
    <row r="2335" spans="1:13">
      <c r="A2335" s="1">
        <f>HYPERLINK("http://www.twitter.com/NathanBLawrence/status/987692428160389120", "987692428160389120")</f>
        <v/>
      </c>
      <c r="B2335" s="2" t="n">
        <v>43211.58332175926</v>
      </c>
      <c r="C2335" t="n">
        <v>0</v>
      </c>
      <c r="D2335" t="n">
        <v>4</v>
      </c>
      <c r="E2335" t="s">
        <v>2328</v>
      </c>
      <c r="F2335" t="s"/>
      <c r="G2335" t="s"/>
      <c r="H2335" t="s"/>
      <c r="I2335" t="s"/>
      <c r="J2335" t="n">
        <v>-0.0772</v>
      </c>
      <c r="K2335" t="n">
        <v>0.096</v>
      </c>
      <c r="L2335" t="n">
        <v>0.819</v>
      </c>
      <c r="M2335" t="n">
        <v>0.08500000000000001</v>
      </c>
    </row>
    <row r="2336" spans="1:13">
      <c r="A2336" s="1">
        <f>HYPERLINK("http://www.twitter.com/NathanBLawrence/status/987692069866045440", "987692069866045440")</f>
        <v/>
      </c>
      <c r="B2336" s="2" t="n">
        <v>43211.58233796297</v>
      </c>
      <c r="C2336" t="n">
        <v>0</v>
      </c>
      <c r="D2336" t="n">
        <v>0</v>
      </c>
      <c r="E2336" t="s">
        <v>2329</v>
      </c>
      <c r="F2336" t="s"/>
      <c r="G2336" t="s"/>
      <c r="H2336" t="s"/>
      <c r="I2336" t="s"/>
      <c r="J2336" t="n">
        <v>0</v>
      </c>
      <c r="K2336" t="n">
        <v>0</v>
      </c>
      <c r="L2336" t="n">
        <v>1</v>
      </c>
      <c r="M2336" t="n">
        <v>0</v>
      </c>
    </row>
    <row r="2337" spans="1:13">
      <c r="A2337" s="1">
        <f>HYPERLINK("http://www.twitter.com/NathanBLawrence/status/987691988429438976", "987691988429438976")</f>
        <v/>
      </c>
      <c r="B2337" s="2" t="n">
        <v>43211.58211805556</v>
      </c>
      <c r="C2337" t="n">
        <v>9</v>
      </c>
      <c r="D2337" t="n">
        <v>5</v>
      </c>
      <c r="E2337" t="s">
        <v>2330</v>
      </c>
      <c r="F2337" t="s"/>
      <c r="G2337" t="s"/>
      <c r="H2337" t="s"/>
      <c r="I2337" t="s"/>
      <c r="J2337" t="n">
        <v>0.1511</v>
      </c>
      <c r="K2337" t="n">
        <v>0.042</v>
      </c>
      <c r="L2337" t="n">
        <v>0.906</v>
      </c>
      <c r="M2337" t="n">
        <v>0.053</v>
      </c>
    </row>
    <row r="2338" spans="1:13">
      <c r="A2338" s="1">
        <f>HYPERLINK("http://www.twitter.com/NathanBLawrence/status/987691270209527809", "987691270209527809")</f>
        <v/>
      </c>
      <c r="B2338" s="2" t="n">
        <v>43211.58012731482</v>
      </c>
      <c r="C2338" t="n">
        <v>6</v>
      </c>
      <c r="D2338" t="n">
        <v>3</v>
      </c>
      <c r="E2338" t="s">
        <v>2331</v>
      </c>
      <c r="F2338" t="s"/>
      <c r="G2338" t="s"/>
      <c r="H2338" t="s"/>
      <c r="I2338" t="s"/>
      <c r="J2338" t="n">
        <v>-0.8114</v>
      </c>
      <c r="K2338" t="n">
        <v>0.182</v>
      </c>
      <c r="L2338" t="n">
        <v>0.77</v>
      </c>
      <c r="M2338" t="n">
        <v>0.048</v>
      </c>
    </row>
    <row r="2339" spans="1:13">
      <c r="A2339" s="1">
        <f>HYPERLINK("http://www.twitter.com/NathanBLawrence/status/987690582100398081", "987690582100398081")</f>
        <v/>
      </c>
      <c r="B2339" s="2" t="n">
        <v>43211.57822916667</v>
      </c>
      <c r="C2339" t="n">
        <v>0</v>
      </c>
      <c r="D2339" t="n">
        <v>3498</v>
      </c>
      <c r="E2339" t="s">
        <v>2332</v>
      </c>
      <c r="F2339">
        <f>HYPERLINK("https://video.twimg.com/ext_tw_video/987678857112182784/pu/vid/720x1280/sci22_CfeefIMYfo.mp4?tag=3", "https://video.twimg.com/ext_tw_video/987678857112182784/pu/vid/720x1280/sci22_CfeefIMYfo.mp4?tag=3")</f>
        <v/>
      </c>
      <c r="G2339" t="s"/>
      <c r="H2339" t="s"/>
      <c r="I2339" t="s"/>
      <c r="J2339" t="n">
        <v>-0.4019</v>
      </c>
      <c r="K2339" t="n">
        <v>0.195</v>
      </c>
      <c r="L2339" t="n">
        <v>0.712</v>
      </c>
      <c r="M2339" t="n">
        <v>0.094</v>
      </c>
    </row>
    <row r="2340" spans="1:13">
      <c r="A2340" s="1">
        <f>HYPERLINK("http://www.twitter.com/NathanBLawrence/status/987690513489854464", "987690513489854464")</f>
        <v/>
      </c>
      <c r="B2340" s="2" t="n">
        <v>43211.57804398148</v>
      </c>
      <c r="C2340" t="n">
        <v>0</v>
      </c>
      <c r="D2340" t="n">
        <v>10712</v>
      </c>
      <c r="E2340" t="s">
        <v>2333</v>
      </c>
      <c r="F2340" t="s"/>
      <c r="G2340" t="s"/>
      <c r="H2340" t="s"/>
      <c r="I2340" t="s"/>
      <c r="J2340" t="n">
        <v>-0.2023</v>
      </c>
      <c r="K2340" t="n">
        <v>0.254</v>
      </c>
      <c r="L2340" t="n">
        <v>0.524</v>
      </c>
      <c r="M2340" t="n">
        <v>0.222</v>
      </c>
    </row>
    <row r="2341" spans="1:13">
      <c r="A2341" s="1">
        <f>HYPERLINK("http://www.twitter.com/NathanBLawrence/status/987690477196664832", "987690477196664832")</f>
        <v/>
      </c>
      <c r="B2341" s="2" t="n">
        <v>43211.57793981482</v>
      </c>
      <c r="C2341" t="n">
        <v>0</v>
      </c>
      <c r="D2341" t="n">
        <v>14441</v>
      </c>
      <c r="E2341" t="s">
        <v>2334</v>
      </c>
      <c r="F2341" t="s"/>
      <c r="G2341" t="s"/>
      <c r="H2341" t="s"/>
      <c r="I2341" t="s"/>
      <c r="J2341" t="n">
        <v>0</v>
      </c>
      <c r="K2341" t="n">
        <v>0</v>
      </c>
      <c r="L2341" t="n">
        <v>1</v>
      </c>
      <c r="M2341" t="n">
        <v>0</v>
      </c>
    </row>
    <row r="2342" spans="1:13">
      <c r="A2342" s="1">
        <f>HYPERLINK("http://www.twitter.com/NathanBLawrence/status/987689992519606272", "987689992519606272")</f>
        <v/>
      </c>
      <c r="B2342" s="2" t="n">
        <v>43211.5766087963</v>
      </c>
      <c r="C2342" t="n">
        <v>0</v>
      </c>
      <c r="D2342" t="n">
        <v>839</v>
      </c>
      <c r="E2342" t="s">
        <v>2335</v>
      </c>
      <c r="F2342" t="s"/>
      <c r="G2342" t="s"/>
      <c r="H2342" t="s"/>
      <c r="I2342" t="s"/>
      <c r="J2342" t="n">
        <v>-0.7003</v>
      </c>
      <c r="K2342" t="n">
        <v>0.209</v>
      </c>
      <c r="L2342" t="n">
        <v>0.791</v>
      </c>
      <c r="M2342" t="n">
        <v>0</v>
      </c>
    </row>
    <row r="2343" spans="1:13">
      <c r="A2343" s="1">
        <f>HYPERLINK("http://www.twitter.com/NathanBLawrence/status/987689959393021958", "987689959393021958")</f>
        <v/>
      </c>
      <c r="B2343" s="2" t="n">
        <v>43211.57651620371</v>
      </c>
      <c r="C2343" t="n">
        <v>0</v>
      </c>
      <c r="D2343" t="n">
        <v>8343</v>
      </c>
      <c r="E2343" t="s">
        <v>2336</v>
      </c>
      <c r="F2343" t="s"/>
      <c r="G2343" t="s"/>
      <c r="H2343" t="s"/>
      <c r="I2343" t="s"/>
      <c r="J2343" t="n">
        <v>-0.3818</v>
      </c>
      <c r="K2343" t="n">
        <v>0.23</v>
      </c>
      <c r="L2343" t="n">
        <v>0.652</v>
      </c>
      <c r="M2343" t="n">
        <v>0.117</v>
      </c>
    </row>
    <row r="2344" spans="1:13">
      <c r="A2344" s="1">
        <f>HYPERLINK("http://www.twitter.com/NathanBLawrence/status/987689896851791872", "987689896851791872")</f>
        <v/>
      </c>
      <c r="B2344" s="2" t="n">
        <v>43211.57634259259</v>
      </c>
      <c r="C2344" t="n">
        <v>0</v>
      </c>
      <c r="D2344" t="n">
        <v>1527</v>
      </c>
      <c r="E2344" t="s">
        <v>2337</v>
      </c>
      <c r="F2344" t="s"/>
      <c r="G2344" t="s"/>
      <c r="H2344" t="s"/>
      <c r="I2344" t="s"/>
      <c r="J2344" t="n">
        <v>0</v>
      </c>
      <c r="K2344" t="n">
        <v>0</v>
      </c>
      <c r="L2344" t="n">
        <v>1</v>
      </c>
      <c r="M2344" t="n">
        <v>0</v>
      </c>
    </row>
    <row r="2345" spans="1:13">
      <c r="A2345" s="1">
        <f>HYPERLINK("http://www.twitter.com/NathanBLawrence/status/987689817189253122", "987689817189253122")</f>
        <v/>
      </c>
      <c r="B2345" s="2" t="n">
        <v>43211.57612268518</v>
      </c>
      <c r="C2345" t="n">
        <v>0</v>
      </c>
      <c r="D2345" t="n">
        <v>1262</v>
      </c>
      <c r="E2345" t="s">
        <v>2338</v>
      </c>
      <c r="F2345" t="s"/>
      <c r="G2345" t="s"/>
      <c r="H2345" t="s"/>
      <c r="I2345" t="s"/>
      <c r="J2345" t="n">
        <v>0</v>
      </c>
      <c r="K2345" t="n">
        <v>0</v>
      </c>
      <c r="L2345" t="n">
        <v>1</v>
      </c>
      <c r="M2345" t="n">
        <v>0</v>
      </c>
    </row>
    <row r="2346" spans="1:13">
      <c r="A2346" s="1">
        <f>HYPERLINK("http://www.twitter.com/NathanBLawrence/status/987689754308300801", "987689754308300801")</f>
        <v/>
      </c>
      <c r="B2346" s="2" t="n">
        <v>43211.57594907407</v>
      </c>
      <c r="C2346" t="n">
        <v>0</v>
      </c>
      <c r="D2346" t="n">
        <v>28546</v>
      </c>
      <c r="E2346" t="s">
        <v>2339</v>
      </c>
      <c r="F2346" t="s"/>
      <c r="G2346" t="s"/>
      <c r="H2346" t="s"/>
      <c r="I2346" t="s"/>
      <c r="J2346" t="n">
        <v>0.1027</v>
      </c>
      <c r="K2346" t="n">
        <v>0.105</v>
      </c>
      <c r="L2346" t="n">
        <v>0.773</v>
      </c>
      <c r="M2346" t="n">
        <v>0.123</v>
      </c>
    </row>
    <row r="2347" spans="1:13">
      <c r="A2347" s="1">
        <f>HYPERLINK("http://www.twitter.com/NathanBLawrence/status/987689475353530368", "987689475353530368")</f>
        <v/>
      </c>
      <c r="B2347" s="2" t="n">
        <v>43211.57517361111</v>
      </c>
      <c r="C2347" t="n">
        <v>0</v>
      </c>
      <c r="D2347" t="n">
        <v>4335</v>
      </c>
      <c r="E2347" t="s">
        <v>2340</v>
      </c>
      <c r="F2347" t="s"/>
      <c r="G2347" t="s"/>
      <c r="H2347" t="s"/>
      <c r="I2347" t="s"/>
      <c r="J2347" t="n">
        <v>-0.8395</v>
      </c>
      <c r="K2347" t="n">
        <v>0.333</v>
      </c>
      <c r="L2347" t="n">
        <v>0.667</v>
      </c>
      <c r="M2347" t="n">
        <v>0</v>
      </c>
    </row>
    <row r="2348" spans="1:13">
      <c r="A2348" s="1">
        <f>HYPERLINK("http://www.twitter.com/NathanBLawrence/status/987688750879858689", "987688750879858689")</f>
        <v/>
      </c>
      <c r="B2348" s="2" t="n">
        <v>43211.57318287037</v>
      </c>
      <c r="C2348" t="n">
        <v>0</v>
      </c>
      <c r="D2348" t="n">
        <v>4</v>
      </c>
      <c r="E2348" t="s">
        <v>2341</v>
      </c>
      <c r="F2348" t="s"/>
      <c r="G2348" t="s"/>
      <c r="H2348" t="s"/>
      <c r="I2348" t="s"/>
      <c r="J2348" t="n">
        <v>0</v>
      </c>
      <c r="K2348" t="n">
        <v>0</v>
      </c>
      <c r="L2348" t="n">
        <v>1</v>
      </c>
      <c r="M2348" t="n">
        <v>0</v>
      </c>
    </row>
    <row r="2349" spans="1:13">
      <c r="A2349" s="1">
        <f>HYPERLINK("http://www.twitter.com/NathanBLawrence/status/987688651600596993", "987688651600596993")</f>
        <v/>
      </c>
      <c r="B2349" s="2" t="n">
        <v>43211.57290509259</v>
      </c>
      <c r="C2349" t="n">
        <v>0</v>
      </c>
      <c r="D2349" t="n">
        <v>627</v>
      </c>
      <c r="E2349" t="s">
        <v>2342</v>
      </c>
      <c r="F2349" t="s"/>
      <c r="G2349" t="s"/>
      <c r="H2349" t="s"/>
      <c r="I2349" t="s"/>
      <c r="J2349" t="n">
        <v>0.5815</v>
      </c>
      <c r="K2349" t="n">
        <v>0</v>
      </c>
      <c r="L2349" t="n">
        <v>0.746</v>
      </c>
      <c r="M2349" t="n">
        <v>0.254</v>
      </c>
    </row>
    <row r="2350" spans="1:13">
      <c r="A2350" s="1">
        <f>HYPERLINK("http://www.twitter.com/NathanBLawrence/status/987688618037739521", "987688618037739521")</f>
        <v/>
      </c>
      <c r="B2350" s="2" t="n">
        <v>43211.5728125</v>
      </c>
      <c r="C2350" t="n">
        <v>0</v>
      </c>
      <c r="D2350" t="n">
        <v>1572</v>
      </c>
      <c r="E2350" t="s">
        <v>2343</v>
      </c>
      <c r="F2350" t="s"/>
      <c r="G2350" t="s"/>
      <c r="H2350" t="s"/>
      <c r="I2350" t="s"/>
      <c r="J2350" t="n">
        <v>-0.6908</v>
      </c>
      <c r="K2350" t="n">
        <v>0.341</v>
      </c>
      <c r="L2350" t="n">
        <v>0.659</v>
      </c>
      <c r="M2350" t="n">
        <v>0</v>
      </c>
    </row>
    <row r="2351" spans="1:13">
      <c r="A2351" s="1">
        <f>HYPERLINK("http://www.twitter.com/NathanBLawrence/status/987688607375912960", "987688607375912960")</f>
        <v/>
      </c>
      <c r="B2351" s="2" t="n">
        <v>43211.57278935185</v>
      </c>
      <c r="C2351" t="n">
        <v>0</v>
      </c>
      <c r="D2351" t="n">
        <v>1783</v>
      </c>
      <c r="E2351" t="s">
        <v>2344</v>
      </c>
      <c r="F2351" t="s"/>
      <c r="G2351" t="s"/>
      <c r="H2351" t="s"/>
      <c r="I2351" t="s"/>
      <c r="J2351" t="n">
        <v>-0.4648</v>
      </c>
      <c r="K2351" t="n">
        <v>0.151</v>
      </c>
      <c r="L2351" t="n">
        <v>0.849</v>
      </c>
      <c r="M2351" t="n">
        <v>0</v>
      </c>
    </row>
    <row r="2352" spans="1:13">
      <c r="A2352" s="1">
        <f>HYPERLINK("http://www.twitter.com/NathanBLawrence/status/987688565265125376", "987688565265125376")</f>
        <v/>
      </c>
      <c r="B2352" s="2" t="n">
        <v>43211.57266203704</v>
      </c>
      <c r="C2352" t="n">
        <v>0</v>
      </c>
      <c r="D2352" t="n">
        <v>15897</v>
      </c>
      <c r="E2352" t="s">
        <v>2345</v>
      </c>
      <c r="F2352" t="s"/>
      <c r="G2352" t="s"/>
      <c r="H2352" t="s"/>
      <c r="I2352" t="s"/>
      <c r="J2352" t="n">
        <v>0</v>
      </c>
      <c r="K2352" t="n">
        <v>0</v>
      </c>
      <c r="L2352" t="n">
        <v>1</v>
      </c>
      <c r="M2352" t="n">
        <v>0</v>
      </c>
    </row>
    <row r="2353" spans="1:13">
      <c r="A2353" s="1">
        <f>HYPERLINK("http://www.twitter.com/NathanBLawrence/status/987688483102871554", "987688483102871554")</f>
        <v/>
      </c>
      <c r="B2353" s="2" t="n">
        <v>43211.57244212963</v>
      </c>
      <c r="C2353" t="n">
        <v>0</v>
      </c>
      <c r="D2353" t="n">
        <v>3</v>
      </c>
      <c r="E2353" t="s">
        <v>2346</v>
      </c>
      <c r="F2353" t="s"/>
      <c r="G2353" t="s"/>
      <c r="H2353" t="s"/>
      <c r="I2353" t="s"/>
      <c r="J2353" t="n">
        <v>-0.4753</v>
      </c>
      <c r="K2353" t="n">
        <v>0.134</v>
      </c>
      <c r="L2353" t="n">
        <v>0.866</v>
      </c>
      <c r="M2353" t="n">
        <v>0</v>
      </c>
    </row>
    <row r="2354" spans="1:13">
      <c r="A2354" s="1">
        <f>HYPERLINK("http://www.twitter.com/NathanBLawrence/status/987688466753482752", "987688466753482752")</f>
        <v/>
      </c>
      <c r="B2354" s="2" t="n">
        <v>43211.57239583333</v>
      </c>
      <c r="C2354" t="n">
        <v>0</v>
      </c>
      <c r="D2354" t="n">
        <v>31778</v>
      </c>
      <c r="E2354" t="s">
        <v>2347</v>
      </c>
      <c r="F2354" t="s"/>
      <c r="G2354" t="s"/>
      <c r="H2354" t="s"/>
      <c r="I2354" t="s"/>
      <c r="J2354" t="n">
        <v>0.3919</v>
      </c>
      <c r="K2354" t="n">
        <v>0.104</v>
      </c>
      <c r="L2354" t="n">
        <v>0.704</v>
      </c>
      <c r="M2354" t="n">
        <v>0.193</v>
      </c>
    </row>
    <row r="2355" spans="1:13">
      <c r="A2355" s="1">
        <f>HYPERLINK("http://www.twitter.com/NathanBLawrence/status/987688433182265345", "987688433182265345")</f>
        <v/>
      </c>
      <c r="B2355" s="2" t="n">
        <v>43211.57230324074</v>
      </c>
      <c r="C2355" t="n">
        <v>0</v>
      </c>
      <c r="D2355" t="n">
        <v>3</v>
      </c>
      <c r="E2355" t="s">
        <v>2348</v>
      </c>
      <c r="F2355" t="s"/>
      <c r="G2355" t="s"/>
      <c r="H2355" t="s"/>
      <c r="I2355" t="s"/>
      <c r="J2355" t="n">
        <v>-0.6249</v>
      </c>
      <c r="K2355" t="n">
        <v>0.204</v>
      </c>
      <c r="L2355" t="n">
        <v>0.743</v>
      </c>
      <c r="M2355" t="n">
        <v>0.052</v>
      </c>
    </row>
    <row r="2356" spans="1:13">
      <c r="A2356" s="1">
        <f>HYPERLINK("http://www.twitter.com/NathanBLawrence/status/987688333366226944", "987688333366226944")</f>
        <v/>
      </c>
      <c r="B2356" s="2" t="n">
        <v>43211.57202546296</v>
      </c>
      <c r="C2356" t="n">
        <v>0</v>
      </c>
      <c r="D2356" t="n">
        <v>398</v>
      </c>
      <c r="E2356" t="s">
        <v>2349</v>
      </c>
      <c r="F2356">
        <f>HYPERLINK("http://pbs.twimg.com/media/DbQQHjjU0AABQFP.jpg", "http://pbs.twimg.com/media/DbQQHjjU0AABQFP.jpg")</f>
        <v/>
      </c>
      <c r="G2356" t="s"/>
      <c r="H2356" t="s"/>
      <c r="I2356" t="s"/>
      <c r="J2356" t="n">
        <v>0</v>
      </c>
      <c r="K2356" t="n">
        <v>0</v>
      </c>
      <c r="L2356" t="n">
        <v>1</v>
      </c>
      <c r="M2356" t="n">
        <v>0</v>
      </c>
    </row>
    <row r="2357" spans="1:13">
      <c r="A2357" s="1">
        <f>HYPERLINK("http://www.twitter.com/NathanBLawrence/status/987688026523435008", "987688026523435008")</f>
        <v/>
      </c>
      <c r="B2357" s="2" t="n">
        <v>43211.57118055555</v>
      </c>
      <c r="C2357" t="n">
        <v>0</v>
      </c>
      <c r="D2357" t="n">
        <v>5</v>
      </c>
      <c r="E2357" t="s">
        <v>2350</v>
      </c>
      <c r="F2357" t="s"/>
      <c r="G2357" t="s"/>
      <c r="H2357" t="s"/>
      <c r="I2357" t="s"/>
      <c r="J2357" t="n">
        <v>0.128</v>
      </c>
      <c r="K2357" t="n">
        <v>0</v>
      </c>
      <c r="L2357" t="n">
        <v>0.923</v>
      </c>
      <c r="M2357" t="n">
        <v>0.077</v>
      </c>
    </row>
    <row r="2358" spans="1:13">
      <c r="A2358" s="1">
        <f>HYPERLINK("http://www.twitter.com/NathanBLawrence/status/987687968495357952", "987687968495357952")</f>
        <v/>
      </c>
      <c r="B2358" s="2" t="n">
        <v>43211.57101851852</v>
      </c>
      <c r="C2358" t="n">
        <v>0</v>
      </c>
      <c r="D2358" t="n">
        <v>9</v>
      </c>
      <c r="E2358" t="s">
        <v>2351</v>
      </c>
      <c r="F2358">
        <f>HYPERLINK("http://pbs.twimg.com/media/DbMA62sWsAAoO-a.jpg", "http://pbs.twimg.com/media/DbMA62sWsAAoO-a.jpg")</f>
        <v/>
      </c>
      <c r="G2358" t="s"/>
      <c r="H2358" t="s"/>
      <c r="I2358" t="s"/>
      <c r="J2358" t="n">
        <v>0.6166</v>
      </c>
      <c r="K2358" t="n">
        <v>0</v>
      </c>
      <c r="L2358" t="n">
        <v>0.8080000000000001</v>
      </c>
      <c r="M2358" t="n">
        <v>0.192</v>
      </c>
    </row>
    <row r="2359" spans="1:13">
      <c r="A2359" s="1">
        <f>HYPERLINK("http://www.twitter.com/NathanBLawrence/status/987687932474556416", "987687932474556416")</f>
        <v/>
      </c>
      <c r="B2359" s="2" t="n">
        <v>43211.57092592592</v>
      </c>
      <c r="C2359" t="n">
        <v>0</v>
      </c>
      <c r="D2359" t="n">
        <v>5</v>
      </c>
      <c r="E2359" t="s">
        <v>2352</v>
      </c>
      <c r="F2359" t="s"/>
      <c r="G2359" t="s"/>
      <c r="H2359" t="s"/>
      <c r="I2359" t="s"/>
      <c r="J2359" t="n">
        <v>-0.8626</v>
      </c>
      <c r="K2359" t="n">
        <v>0.399</v>
      </c>
      <c r="L2359" t="n">
        <v>0.601</v>
      </c>
      <c r="M2359" t="n">
        <v>0</v>
      </c>
    </row>
    <row r="2360" spans="1:13">
      <c r="A2360" s="1">
        <f>HYPERLINK("http://www.twitter.com/NathanBLawrence/status/987687894830772224", "987687894830772224")</f>
        <v/>
      </c>
      <c r="B2360" s="2" t="n">
        <v>43211.57082175926</v>
      </c>
      <c r="C2360" t="n">
        <v>0</v>
      </c>
      <c r="D2360" t="n">
        <v>4</v>
      </c>
      <c r="E2360" t="s">
        <v>2353</v>
      </c>
      <c r="F2360">
        <f>HYPERLINK("http://pbs.twimg.com/media/DbPl7z0U0AAHLf_.jpg", "http://pbs.twimg.com/media/DbPl7z0U0AAHLf_.jpg")</f>
        <v/>
      </c>
      <c r="G2360" t="s"/>
      <c r="H2360" t="s"/>
      <c r="I2360" t="s"/>
      <c r="J2360" t="n">
        <v>-0.8126</v>
      </c>
      <c r="K2360" t="n">
        <v>0.363</v>
      </c>
      <c r="L2360" t="n">
        <v>0.637</v>
      </c>
      <c r="M2360" t="n">
        <v>0</v>
      </c>
    </row>
    <row r="2361" spans="1:13">
      <c r="A2361" s="1">
        <f>HYPERLINK("http://www.twitter.com/NathanBLawrence/status/987687878766579712", "987687878766579712")</f>
        <v/>
      </c>
      <c r="B2361" s="2" t="n">
        <v>43211.57077546296</v>
      </c>
      <c r="C2361" t="n">
        <v>0</v>
      </c>
      <c r="D2361" t="n">
        <v>4</v>
      </c>
      <c r="E2361" t="s">
        <v>2354</v>
      </c>
      <c r="F2361">
        <f>HYPERLINK("http://pbs.twimg.com/media/DbQsc1VW0AIXcqK.jpg", "http://pbs.twimg.com/media/DbQsc1VW0AIXcqK.jpg")</f>
        <v/>
      </c>
      <c r="G2361" t="s"/>
      <c r="H2361" t="s"/>
      <c r="I2361" t="s"/>
      <c r="J2361" t="n">
        <v>-0.3612</v>
      </c>
      <c r="K2361" t="n">
        <v>0.238</v>
      </c>
      <c r="L2361" t="n">
        <v>0.762</v>
      </c>
      <c r="M2361" t="n">
        <v>0</v>
      </c>
    </row>
    <row r="2362" spans="1:13">
      <c r="A2362" s="1">
        <f>HYPERLINK("http://www.twitter.com/NathanBLawrence/status/987687833296089088", "987687833296089088")</f>
        <v/>
      </c>
      <c r="B2362" s="2" t="n">
        <v>43211.57064814815</v>
      </c>
      <c r="C2362" t="n">
        <v>0</v>
      </c>
      <c r="D2362" t="n">
        <v>9</v>
      </c>
      <c r="E2362" t="s">
        <v>2355</v>
      </c>
      <c r="F2362" t="s"/>
      <c r="G2362" t="s"/>
      <c r="H2362" t="s"/>
      <c r="I2362" t="s"/>
      <c r="J2362" t="n">
        <v>0.4019</v>
      </c>
      <c r="K2362" t="n">
        <v>0</v>
      </c>
      <c r="L2362" t="n">
        <v>0.876</v>
      </c>
      <c r="M2362" t="n">
        <v>0.124</v>
      </c>
    </row>
    <row r="2363" spans="1:13">
      <c r="A2363" s="1">
        <f>HYPERLINK("http://www.twitter.com/NathanBLawrence/status/987687783799099392", "987687783799099392")</f>
        <v/>
      </c>
      <c r="B2363" s="2" t="n">
        <v>43211.57050925926</v>
      </c>
      <c r="C2363" t="n">
        <v>0</v>
      </c>
      <c r="D2363" t="n">
        <v>8</v>
      </c>
      <c r="E2363" t="s">
        <v>2356</v>
      </c>
      <c r="F2363" t="s"/>
      <c r="G2363" t="s"/>
      <c r="H2363" t="s"/>
      <c r="I2363" t="s"/>
      <c r="J2363" t="n">
        <v>-0.3887</v>
      </c>
      <c r="K2363" t="n">
        <v>0.132</v>
      </c>
      <c r="L2363" t="n">
        <v>0.801</v>
      </c>
      <c r="M2363" t="n">
        <v>0.067</v>
      </c>
    </row>
    <row r="2364" spans="1:13">
      <c r="A2364" s="1">
        <f>HYPERLINK("http://www.twitter.com/NathanBLawrence/status/987687637912715265", "987687637912715265")</f>
        <v/>
      </c>
      <c r="B2364" s="2" t="n">
        <v>43211.57010416667</v>
      </c>
      <c r="C2364" t="n">
        <v>0</v>
      </c>
      <c r="D2364" t="n">
        <v>5</v>
      </c>
      <c r="E2364" t="s">
        <v>2357</v>
      </c>
      <c r="F2364" t="s"/>
      <c r="G2364" t="s"/>
      <c r="H2364" t="s"/>
      <c r="I2364" t="s"/>
      <c r="J2364" t="n">
        <v>0</v>
      </c>
      <c r="K2364" t="n">
        <v>0.135</v>
      </c>
      <c r="L2364" t="n">
        <v>0.73</v>
      </c>
      <c r="M2364" t="n">
        <v>0.135</v>
      </c>
    </row>
    <row r="2365" spans="1:13">
      <c r="A2365" s="1">
        <f>HYPERLINK("http://www.twitter.com/NathanBLawrence/status/987687602068312064", "987687602068312064")</f>
        <v/>
      </c>
      <c r="B2365" s="2" t="n">
        <v>43211.57001157408</v>
      </c>
      <c r="C2365" t="n">
        <v>0</v>
      </c>
      <c r="D2365" t="n">
        <v>7</v>
      </c>
      <c r="E2365" t="s">
        <v>2358</v>
      </c>
      <c r="F2365" t="s"/>
      <c r="G2365" t="s"/>
      <c r="H2365" t="s"/>
      <c r="I2365" t="s"/>
      <c r="J2365" t="n">
        <v>-0.459</v>
      </c>
      <c r="K2365" t="n">
        <v>0.132</v>
      </c>
      <c r="L2365" t="n">
        <v>0.8090000000000001</v>
      </c>
      <c r="M2365" t="n">
        <v>0.059</v>
      </c>
    </row>
    <row r="2366" spans="1:13">
      <c r="A2366" s="1">
        <f>HYPERLINK("http://www.twitter.com/NathanBLawrence/status/987687514117935104", "987687514117935104")</f>
        <v/>
      </c>
      <c r="B2366" s="2" t="n">
        <v>43211.56976851852</v>
      </c>
      <c r="C2366" t="n">
        <v>0</v>
      </c>
      <c r="D2366" t="n">
        <v>8</v>
      </c>
      <c r="E2366" t="s">
        <v>2359</v>
      </c>
      <c r="F2366">
        <f>HYPERLINK("https://video.twimg.com/ext_tw_video/987402809128771589/pu/vid/1280x720/-MV5xY8Y9ybGFz-c.mp4?tag=3", "https://video.twimg.com/ext_tw_video/987402809128771589/pu/vid/1280x720/-MV5xY8Y9ybGFz-c.mp4?tag=3")</f>
        <v/>
      </c>
      <c r="G2366" t="s"/>
      <c r="H2366" t="s"/>
      <c r="I2366" t="s"/>
      <c r="J2366" t="n">
        <v>-0.5574</v>
      </c>
      <c r="K2366" t="n">
        <v>0.175</v>
      </c>
      <c r="L2366" t="n">
        <v>0.825</v>
      </c>
      <c r="M2366" t="n">
        <v>0</v>
      </c>
    </row>
    <row r="2367" spans="1:13">
      <c r="A2367" s="1">
        <f>HYPERLINK("http://www.twitter.com/NathanBLawrence/status/987687465132666881", "987687465132666881")</f>
        <v/>
      </c>
      <c r="B2367" s="2" t="n">
        <v>43211.56962962963</v>
      </c>
      <c r="C2367" t="n">
        <v>0</v>
      </c>
      <c r="D2367" t="n">
        <v>9</v>
      </c>
      <c r="E2367" t="s">
        <v>2360</v>
      </c>
      <c r="F2367">
        <f>HYPERLINK("http://pbs.twimg.com/media/DbQ8KwFWkAEivtq.jpg", "http://pbs.twimg.com/media/DbQ8KwFWkAEivtq.jpg")</f>
        <v/>
      </c>
      <c r="G2367" t="s"/>
      <c r="H2367" t="s"/>
      <c r="I2367" t="s"/>
      <c r="J2367" t="n">
        <v>0</v>
      </c>
      <c r="K2367" t="n">
        <v>0</v>
      </c>
      <c r="L2367" t="n">
        <v>1</v>
      </c>
      <c r="M2367" t="n">
        <v>0</v>
      </c>
    </row>
    <row r="2368" spans="1:13">
      <c r="A2368" s="1">
        <f>HYPERLINK("http://www.twitter.com/NathanBLawrence/status/987687307850539008", "987687307850539008")</f>
        <v/>
      </c>
      <c r="B2368" s="2" t="n">
        <v>43211.56920138889</v>
      </c>
      <c r="C2368" t="n">
        <v>0</v>
      </c>
      <c r="D2368" t="n">
        <v>1</v>
      </c>
      <c r="E2368" t="s">
        <v>2361</v>
      </c>
      <c r="F2368" t="s"/>
      <c r="G2368" t="s"/>
      <c r="H2368" t="s"/>
      <c r="I2368" t="s"/>
      <c r="J2368" t="n">
        <v>0</v>
      </c>
      <c r="K2368" t="n">
        <v>0</v>
      </c>
      <c r="L2368" t="n">
        <v>1</v>
      </c>
      <c r="M2368" t="n">
        <v>0</v>
      </c>
    </row>
    <row r="2369" spans="1:13">
      <c r="A2369" s="1">
        <f>HYPERLINK("http://www.twitter.com/NathanBLawrence/status/987687287243857920", "987687287243857920")</f>
        <v/>
      </c>
      <c r="B2369" s="2" t="n">
        <v>43211.56914351852</v>
      </c>
      <c r="C2369" t="n">
        <v>0</v>
      </c>
      <c r="D2369" t="n">
        <v>10</v>
      </c>
      <c r="E2369" t="s">
        <v>2362</v>
      </c>
      <c r="F2369" t="s"/>
      <c r="G2369" t="s"/>
      <c r="H2369" t="s"/>
      <c r="I2369" t="s"/>
      <c r="J2369" t="n">
        <v>0</v>
      </c>
      <c r="K2369" t="n">
        <v>0</v>
      </c>
      <c r="L2369" t="n">
        <v>1</v>
      </c>
      <c r="M2369" t="n">
        <v>0</v>
      </c>
    </row>
    <row r="2370" spans="1:13">
      <c r="A2370" s="1">
        <f>HYPERLINK("http://www.twitter.com/NathanBLawrence/status/987687251298660352", "987687251298660352")</f>
        <v/>
      </c>
      <c r="B2370" s="2" t="n">
        <v>43211.56903935185</v>
      </c>
      <c r="C2370" t="n">
        <v>0</v>
      </c>
      <c r="D2370" t="n">
        <v>11</v>
      </c>
      <c r="E2370" t="s">
        <v>2363</v>
      </c>
      <c r="F2370">
        <f>HYPERLINK("http://pbs.twimg.com/media/DbNO8RJW4AEXCcj.jpg", "http://pbs.twimg.com/media/DbNO8RJW4AEXCcj.jpg")</f>
        <v/>
      </c>
      <c r="G2370" t="s"/>
      <c r="H2370" t="s"/>
      <c r="I2370" t="s"/>
      <c r="J2370" t="n">
        <v>0.2382</v>
      </c>
      <c r="K2370" t="n">
        <v>0</v>
      </c>
      <c r="L2370" t="n">
        <v>0.907</v>
      </c>
      <c r="M2370" t="n">
        <v>0.093</v>
      </c>
    </row>
    <row r="2371" spans="1:13">
      <c r="A2371" s="1">
        <f>HYPERLINK("http://www.twitter.com/NathanBLawrence/status/987687207455608833", "987687207455608833")</f>
        <v/>
      </c>
      <c r="B2371" s="2" t="n">
        <v>43211.56892361111</v>
      </c>
      <c r="C2371" t="n">
        <v>0</v>
      </c>
      <c r="D2371" t="n">
        <v>12</v>
      </c>
      <c r="E2371" t="s">
        <v>2364</v>
      </c>
      <c r="F2371" t="s"/>
      <c r="G2371" t="s"/>
      <c r="H2371" t="s"/>
      <c r="I2371" t="s"/>
      <c r="J2371" t="n">
        <v>-0.5411</v>
      </c>
      <c r="K2371" t="n">
        <v>0.171</v>
      </c>
      <c r="L2371" t="n">
        <v>0.757</v>
      </c>
      <c r="M2371" t="n">
        <v>0.07199999999999999</v>
      </c>
    </row>
    <row r="2372" spans="1:13">
      <c r="A2372" s="1">
        <f>HYPERLINK("http://www.twitter.com/NathanBLawrence/status/987687163688030208", "987687163688030208")</f>
        <v/>
      </c>
      <c r="B2372" s="2" t="n">
        <v>43211.5687962963</v>
      </c>
      <c r="C2372" t="n">
        <v>0</v>
      </c>
      <c r="D2372" t="n">
        <v>6</v>
      </c>
      <c r="E2372" t="s">
        <v>2365</v>
      </c>
      <c r="F2372" t="s"/>
      <c r="G2372" t="s"/>
      <c r="H2372" t="s"/>
      <c r="I2372" t="s"/>
      <c r="J2372" t="n">
        <v>-0.0572</v>
      </c>
      <c r="K2372" t="n">
        <v>0.058</v>
      </c>
      <c r="L2372" t="n">
        <v>0.9419999999999999</v>
      </c>
      <c r="M2372" t="n">
        <v>0</v>
      </c>
    </row>
    <row r="2373" spans="1:13">
      <c r="A2373" s="1">
        <f>HYPERLINK("http://www.twitter.com/NathanBLawrence/status/987687138815864833", "987687138815864833")</f>
        <v/>
      </c>
      <c r="B2373" s="2" t="n">
        <v>43211.56872685185</v>
      </c>
      <c r="C2373" t="n">
        <v>0</v>
      </c>
      <c r="D2373" t="n">
        <v>8</v>
      </c>
      <c r="E2373" t="s">
        <v>2366</v>
      </c>
      <c r="F2373" t="s"/>
      <c r="G2373" t="s"/>
      <c r="H2373" t="s"/>
      <c r="I2373" t="s"/>
      <c r="J2373" t="n">
        <v>-0.4767</v>
      </c>
      <c r="K2373" t="n">
        <v>0.206</v>
      </c>
      <c r="L2373" t="n">
        <v>0.711</v>
      </c>
      <c r="M2373" t="n">
        <v>0.083</v>
      </c>
    </row>
    <row r="2374" spans="1:13">
      <c r="A2374" s="1">
        <f>HYPERLINK("http://www.twitter.com/NathanBLawrence/status/987687019987001344", "987687019987001344")</f>
        <v/>
      </c>
      <c r="B2374" s="2" t="n">
        <v>43211.56840277778</v>
      </c>
      <c r="C2374" t="n">
        <v>0</v>
      </c>
      <c r="D2374" t="n">
        <v>7</v>
      </c>
      <c r="E2374" t="s">
        <v>1983</v>
      </c>
      <c r="F2374">
        <f>HYPERLINK("http://pbs.twimg.com/media/DbRMrz_X0AADWJz.jpg", "http://pbs.twimg.com/media/DbRMrz_X0AADWJz.jpg")</f>
        <v/>
      </c>
      <c r="G2374" t="s"/>
      <c r="H2374" t="s"/>
      <c r="I2374" t="s"/>
      <c r="J2374" t="n">
        <v>-0.5106000000000001</v>
      </c>
      <c r="K2374" t="n">
        <v>0.217</v>
      </c>
      <c r="L2374" t="n">
        <v>0.6860000000000001</v>
      </c>
      <c r="M2374" t="n">
        <v>0.097</v>
      </c>
    </row>
    <row r="2375" spans="1:13">
      <c r="A2375" s="1">
        <f>HYPERLINK("http://www.twitter.com/NathanBLawrence/status/987687005978025984", "987687005978025984")</f>
        <v/>
      </c>
      <c r="B2375" s="2" t="n">
        <v>43211.56836805555</v>
      </c>
      <c r="C2375" t="n">
        <v>0</v>
      </c>
      <c r="D2375" t="n">
        <v>8</v>
      </c>
      <c r="E2375" t="s">
        <v>2367</v>
      </c>
      <c r="F2375" t="s"/>
      <c r="G2375" t="s"/>
      <c r="H2375" t="s"/>
      <c r="I2375" t="s"/>
      <c r="J2375" t="n">
        <v>0</v>
      </c>
      <c r="K2375" t="n">
        <v>0</v>
      </c>
      <c r="L2375" t="n">
        <v>1</v>
      </c>
      <c r="M2375" t="n">
        <v>0</v>
      </c>
    </row>
    <row r="2376" spans="1:13">
      <c r="A2376" s="1">
        <f>HYPERLINK("http://www.twitter.com/NathanBLawrence/status/987686978513752064", "987686978513752064")</f>
        <v/>
      </c>
      <c r="B2376" s="2" t="n">
        <v>43211.56828703704</v>
      </c>
      <c r="C2376" t="n">
        <v>0</v>
      </c>
      <c r="D2376" t="n">
        <v>17</v>
      </c>
      <c r="E2376" t="s">
        <v>2368</v>
      </c>
      <c r="F2376">
        <f>HYPERLINK("http://pbs.twimg.com/media/DbQ-H-NWkAUbwgn.jpg", "http://pbs.twimg.com/media/DbQ-H-NWkAUbwgn.jpg")</f>
        <v/>
      </c>
      <c r="G2376" t="s"/>
      <c r="H2376" t="s"/>
      <c r="I2376" t="s"/>
      <c r="J2376" t="n">
        <v>0.3182</v>
      </c>
      <c r="K2376" t="n">
        <v>0.059</v>
      </c>
      <c r="L2376" t="n">
        <v>0.822</v>
      </c>
      <c r="M2376" t="n">
        <v>0.119</v>
      </c>
    </row>
    <row r="2377" spans="1:13">
      <c r="A2377" s="1">
        <f>HYPERLINK("http://www.twitter.com/NathanBLawrence/status/987686963779198976", "987686963779198976")</f>
        <v/>
      </c>
      <c r="B2377" s="2" t="n">
        <v>43211.56825231481</v>
      </c>
      <c r="C2377" t="n">
        <v>0</v>
      </c>
      <c r="D2377" t="n">
        <v>11</v>
      </c>
      <c r="E2377" t="s">
        <v>2369</v>
      </c>
      <c r="F2377" t="s"/>
      <c r="G2377" t="s"/>
      <c r="H2377" t="s"/>
      <c r="I2377" t="s"/>
      <c r="J2377" t="n">
        <v>-0.3182</v>
      </c>
      <c r="K2377" t="n">
        <v>0.081</v>
      </c>
      <c r="L2377" t="n">
        <v>0.919</v>
      </c>
      <c r="M2377" t="n">
        <v>0</v>
      </c>
    </row>
    <row r="2378" spans="1:13">
      <c r="A2378" s="1">
        <f>HYPERLINK("http://www.twitter.com/NathanBLawrence/status/987686943856177152", "987686943856177152")</f>
        <v/>
      </c>
      <c r="B2378" s="2" t="n">
        <v>43211.56819444444</v>
      </c>
      <c r="C2378" t="n">
        <v>0</v>
      </c>
      <c r="D2378" t="n">
        <v>11</v>
      </c>
      <c r="E2378" t="s">
        <v>2370</v>
      </c>
      <c r="F2378">
        <f>HYPERLINK("http://pbs.twimg.com/media/DbQrXimW4AExk2T.jpg", "http://pbs.twimg.com/media/DbQrXimW4AExk2T.jpg")</f>
        <v/>
      </c>
      <c r="G2378" t="s"/>
      <c r="H2378" t="s"/>
      <c r="I2378" t="s"/>
      <c r="J2378" t="n">
        <v>0.4019</v>
      </c>
      <c r="K2378" t="n">
        <v>0</v>
      </c>
      <c r="L2378" t="n">
        <v>0.876</v>
      </c>
      <c r="M2378" t="n">
        <v>0.124</v>
      </c>
    </row>
    <row r="2379" spans="1:13">
      <c r="A2379" s="1">
        <f>HYPERLINK("http://www.twitter.com/NathanBLawrence/status/987686864923627523", "987686864923627523")</f>
        <v/>
      </c>
      <c r="B2379" s="2" t="n">
        <v>43211.56797453704</v>
      </c>
      <c r="C2379" t="n">
        <v>0</v>
      </c>
      <c r="D2379" t="n">
        <v>4</v>
      </c>
      <c r="E2379" t="s">
        <v>2371</v>
      </c>
      <c r="F2379" t="s"/>
      <c r="G2379" t="s"/>
      <c r="H2379" t="s"/>
      <c r="I2379" t="s"/>
      <c r="J2379" t="n">
        <v>0</v>
      </c>
      <c r="K2379" t="n">
        <v>0</v>
      </c>
      <c r="L2379" t="n">
        <v>1</v>
      </c>
      <c r="M2379" t="n">
        <v>0</v>
      </c>
    </row>
    <row r="2380" spans="1:13">
      <c r="A2380" s="1">
        <f>HYPERLINK("http://www.twitter.com/NathanBLawrence/status/987559218319450112", "987559218319450112")</f>
        <v/>
      </c>
      <c r="B2380" s="2" t="n">
        <v>43211.21574074074</v>
      </c>
      <c r="C2380" t="n">
        <v>0</v>
      </c>
      <c r="D2380" t="n">
        <v>1</v>
      </c>
      <c r="E2380" t="s">
        <v>2372</v>
      </c>
      <c r="F2380" t="s"/>
      <c r="G2380" t="s"/>
      <c r="H2380" t="s"/>
      <c r="I2380" t="s"/>
      <c r="J2380" t="n">
        <v>0</v>
      </c>
      <c r="K2380" t="n">
        <v>0</v>
      </c>
      <c r="L2380" t="n">
        <v>1</v>
      </c>
      <c r="M2380" t="n">
        <v>0</v>
      </c>
    </row>
    <row r="2381" spans="1:13">
      <c r="A2381" s="1">
        <f>HYPERLINK("http://www.twitter.com/NathanBLawrence/status/987557743115595776", "987557743115595776")</f>
        <v/>
      </c>
      <c r="B2381" s="2" t="n">
        <v>43211.21166666667</v>
      </c>
      <c r="C2381" t="n">
        <v>7</v>
      </c>
      <c r="D2381" t="n">
        <v>4</v>
      </c>
      <c r="E2381" t="s">
        <v>2373</v>
      </c>
      <c r="F2381" t="s"/>
      <c r="G2381" t="s"/>
      <c r="H2381" t="s"/>
      <c r="I2381" t="s"/>
      <c r="J2381" t="n">
        <v>0.5106000000000001</v>
      </c>
      <c r="K2381" t="n">
        <v>0.04</v>
      </c>
      <c r="L2381" t="n">
        <v>0.859</v>
      </c>
      <c r="M2381" t="n">
        <v>0.101</v>
      </c>
    </row>
    <row r="2382" spans="1:13">
      <c r="A2382" s="1">
        <f>HYPERLINK("http://www.twitter.com/NathanBLawrence/status/987552301861818369", "987552301861818369")</f>
        <v/>
      </c>
      <c r="B2382" s="2" t="n">
        <v>43211.19665509259</v>
      </c>
      <c r="C2382" t="n">
        <v>10</v>
      </c>
      <c r="D2382" t="n">
        <v>4</v>
      </c>
      <c r="E2382" t="s">
        <v>2374</v>
      </c>
      <c r="F2382" t="s"/>
      <c r="G2382" t="s"/>
      <c r="H2382" t="s"/>
      <c r="I2382" t="s"/>
      <c r="J2382" t="n">
        <v>-0.0772</v>
      </c>
      <c r="K2382" t="n">
        <v>0.051</v>
      </c>
      <c r="L2382" t="n">
        <v>0.904</v>
      </c>
      <c r="M2382" t="n">
        <v>0.045</v>
      </c>
    </row>
    <row r="2383" spans="1:13">
      <c r="A2383" s="1">
        <f>HYPERLINK("http://www.twitter.com/NathanBLawrence/status/987551669767622657", "987551669767622657")</f>
        <v/>
      </c>
      <c r="B2383" s="2" t="n">
        <v>43211.19490740741</v>
      </c>
      <c r="C2383" t="n">
        <v>0</v>
      </c>
      <c r="D2383" t="n">
        <v>7</v>
      </c>
      <c r="E2383" t="s">
        <v>2375</v>
      </c>
      <c r="F2383" t="s"/>
      <c r="G2383" t="s"/>
      <c r="H2383" t="s"/>
      <c r="I2383" t="s"/>
      <c r="J2383" t="n">
        <v>-0.508</v>
      </c>
      <c r="K2383" t="n">
        <v>0.291</v>
      </c>
      <c r="L2383" t="n">
        <v>0.709</v>
      </c>
      <c r="M2383" t="n">
        <v>0</v>
      </c>
    </row>
    <row r="2384" spans="1:13">
      <c r="A2384" s="1">
        <f>HYPERLINK("http://www.twitter.com/NathanBLawrence/status/987551246080008192", "987551246080008192")</f>
        <v/>
      </c>
      <c r="B2384" s="2" t="n">
        <v>43211.19373842593</v>
      </c>
      <c r="C2384" t="n">
        <v>3</v>
      </c>
      <c r="D2384" t="n">
        <v>1</v>
      </c>
      <c r="E2384" t="s">
        <v>2376</v>
      </c>
      <c r="F2384" t="s"/>
      <c r="G2384" t="s"/>
      <c r="H2384" t="s"/>
      <c r="I2384" t="s"/>
      <c r="J2384" t="n">
        <v>-0.128</v>
      </c>
      <c r="K2384" t="n">
        <v>0.058</v>
      </c>
      <c r="L2384" t="n">
        <v>0.913</v>
      </c>
      <c r="M2384" t="n">
        <v>0.029</v>
      </c>
    </row>
    <row r="2385" spans="1:13">
      <c r="A2385" s="1">
        <f>HYPERLINK("http://www.twitter.com/NathanBLawrence/status/987550565218574336", "987550565218574336")</f>
        <v/>
      </c>
      <c r="B2385" s="2" t="n">
        <v>43211.19186342593</v>
      </c>
      <c r="C2385" t="n">
        <v>0</v>
      </c>
      <c r="D2385" t="n">
        <v>1</v>
      </c>
      <c r="E2385" t="s">
        <v>2377</v>
      </c>
      <c r="F2385" t="s"/>
      <c r="G2385" t="s"/>
      <c r="H2385" t="s"/>
      <c r="I2385" t="s"/>
      <c r="J2385" t="n">
        <v>-0.2732</v>
      </c>
      <c r="K2385" t="n">
        <v>0.128</v>
      </c>
      <c r="L2385" t="n">
        <v>0.783</v>
      </c>
      <c r="M2385" t="n">
        <v>0.089</v>
      </c>
    </row>
    <row r="2386" spans="1:13">
      <c r="A2386" s="1">
        <f>HYPERLINK("http://www.twitter.com/NathanBLawrence/status/987550536374407168", "987550536374407168")</f>
        <v/>
      </c>
      <c r="B2386" s="2" t="n">
        <v>43211.1917824074</v>
      </c>
      <c r="C2386" t="n">
        <v>1</v>
      </c>
      <c r="D2386" t="n">
        <v>1</v>
      </c>
      <c r="E2386" t="s">
        <v>2378</v>
      </c>
      <c r="F2386" t="s"/>
      <c r="G2386" t="s"/>
      <c r="H2386" t="s"/>
      <c r="I2386" t="s"/>
      <c r="J2386" t="n">
        <v>0.8074</v>
      </c>
      <c r="K2386" t="n">
        <v>0.036</v>
      </c>
      <c r="L2386" t="n">
        <v>0.768</v>
      </c>
      <c r="M2386" t="n">
        <v>0.196</v>
      </c>
    </row>
    <row r="2387" spans="1:13">
      <c r="A2387" s="1">
        <f>HYPERLINK("http://www.twitter.com/NathanBLawrence/status/987549262597820416", "987549262597820416")</f>
        <v/>
      </c>
      <c r="B2387" s="2" t="n">
        <v>43211.18826388889</v>
      </c>
      <c r="C2387" t="n">
        <v>0</v>
      </c>
      <c r="D2387" t="n">
        <v>0</v>
      </c>
      <c r="E2387" t="s">
        <v>2379</v>
      </c>
      <c r="F2387" t="s"/>
      <c r="G2387" t="s"/>
      <c r="H2387" t="s"/>
      <c r="I2387" t="s"/>
      <c r="J2387" t="n">
        <v>0</v>
      </c>
      <c r="K2387" t="n">
        <v>0</v>
      </c>
      <c r="L2387" t="n">
        <v>1</v>
      </c>
      <c r="M2387" t="n">
        <v>0</v>
      </c>
    </row>
    <row r="2388" spans="1:13">
      <c r="A2388" s="1">
        <f>HYPERLINK("http://www.twitter.com/NathanBLawrence/status/987549101884571648", "987549101884571648")</f>
        <v/>
      </c>
      <c r="B2388" s="2" t="n">
        <v>43211.18782407408</v>
      </c>
      <c r="C2388" t="n">
        <v>0</v>
      </c>
      <c r="D2388" t="n">
        <v>3</v>
      </c>
      <c r="E2388" t="s">
        <v>2380</v>
      </c>
      <c r="F2388" t="s"/>
      <c r="G2388" t="s"/>
      <c r="H2388" t="s"/>
      <c r="I2388" t="s"/>
      <c r="J2388" t="n">
        <v>-0.7783</v>
      </c>
      <c r="K2388" t="n">
        <v>0.337</v>
      </c>
      <c r="L2388" t="n">
        <v>0.5669999999999999</v>
      </c>
      <c r="M2388" t="n">
        <v>0.096</v>
      </c>
    </row>
    <row r="2389" spans="1:13">
      <c r="A2389" s="1">
        <f>HYPERLINK("http://www.twitter.com/NathanBLawrence/status/987549071434010626", "987549071434010626")</f>
        <v/>
      </c>
      <c r="B2389" s="2" t="n">
        <v>43211.18774305555</v>
      </c>
      <c r="C2389" t="n">
        <v>0</v>
      </c>
      <c r="D2389" t="n">
        <v>34</v>
      </c>
      <c r="E2389" t="s">
        <v>2381</v>
      </c>
      <c r="F2389">
        <f>HYPERLINK("http://pbs.twimg.com/media/DbLaDBRVQAElvdY.jpg", "http://pbs.twimg.com/media/DbLaDBRVQAElvdY.jpg")</f>
        <v/>
      </c>
      <c r="G2389">
        <f>HYPERLINK("http://pbs.twimg.com/media/DbLaDBSV4AEEGZp.jpg", "http://pbs.twimg.com/media/DbLaDBSV4AEEGZp.jpg")</f>
        <v/>
      </c>
      <c r="H2389">
        <f>HYPERLINK("http://pbs.twimg.com/media/DbLaDBSUwAATmKi.jpg", "http://pbs.twimg.com/media/DbLaDBSUwAATmKi.jpg")</f>
        <v/>
      </c>
      <c r="I2389" t="s"/>
      <c r="J2389" t="n">
        <v>0.7906</v>
      </c>
      <c r="K2389" t="n">
        <v>0.05</v>
      </c>
      <c r="L2389" t="n">
        <v>0.647</v>
      </c>
      <c r="M2389" t="n">
        <v>0.302</v>
      </c>
    </row>
    <row r="2390" spans="1:13">
      <c r="A2390" s="1">
        <f>HYPERLINK("http://www.twitter.com/NathanBLawrence/status/987540086945402880", "987540086945402880")</f>
        <v/>
      </c>
      <c r="B2390" s="2" t="n">
        <v>43211.16293981481</v>
      </c>
      <c r="C2390" t="n">
        <v>4</v>
      </c>
      <c r="D2390" t="n">
        <v>1</v>
      </c>
      <c r="E2390" t="s">
        <v>2382</v>
      </c>
      <c r="F2390" t="s"/>
      <c r="G2390" t="s"/>
      <c r="H2390" t="s"/>
      <c r="I2390" t="s"/>
      <c r="J2390" t="n">
        <v>-0.2732</v>
      </c>
      <c r="K2390" t="n">
        <v>0.109</v>
      </c>
      <c r="L2390" t="n">
        <v>0.8159999999999999</v>
      </c>
      <c r="M2390" t="n">
        <v>0.076</v>
      </c>
    </row>
    <row r="2391" spans="1:13">
      <c r="A2391" s="1">
        <f>HYPERLINK("http://www.twitter.com/NathanBLawrence/status/987526681891098626", "987526681891098626")</f>
        <v/>
      </c>
      <c r="B2391" s="2" t="n">
        <v>43211.12594907408</v>
      </c>
      <c r="C2391" t="n">
        <v>0</v>
      </c>
      <c r="D2391" t="n">
        <v>0</v>
      </c>
      <c r="E2391" t="s">
        <v>2383</v>
      </c>
      <c r="F2391" t="s"/>
      <c r="G2391" t="s"/>
      <c r="H2391" t="s"/>
      <c r="I2391" t="s"/>
      <c r="J2391" t="n">
        <v>-0.4404</v>
      </c>
      <c r="K2391" t="n">
        <v>0.224</v>
      </c>
      <c r="L2391" t="n">
        <v>0.667</v>
      </c>
      <c r="M2391" t="n">
        <v>0.109</v>
      </c>
    </row>
    <row r="2392" spans="1:13">
      <c r="A2392" s="1">
        <f>HYPERLINK("http://www.twitter.com/NathanBLawrence/status/987512060098629632", "987512060098629632")</f>
        <v/>
      </c>
      <c r="B2392" s="2" t="n">
        <v>43211.08560185185</v>
      </c>
      <c r="C2392" t="n">
        <v>2</v>
      </c>
      <c r="D2392" t="n">
        <v>0</v>
      </c>
      <c r="E2392" t="s">
        <v>2384</v>
      </c>
      <c r="F2392" t="s"/>
      <c r="G2392" t="s"/>
      <c r="H2392" t="s"/>
      <c r="I2392" t="s"/>
      <c r="J2392" t="n">
        <v>-0.4118</v>
      </c>
      <c r="K2392" t="n">
        <v>0.118</v>
      </c>
      <c r="L2392" t="n">
        <v>0.882</v>
      </c>
      <c r="M2392" t="n">
        <v>0</v>
      </c>
    </row>
    <row r="2393" spans="1:13">
      <c r="A2393" s="1">
        <f>HYPERLINK("http://www.twitter.com/NathanBLawrence/status/987511592828002304", "987511592828002304")</f>
        <v/>
      </c>
      <c r="B2393" s="2" t="n">
        <v>43211.08431712963</v>
      </c>
      <c r="C2393" t="n">
        <v>9</v>
      </c>
      <c r="D2393" t="n">
        <v>3</v>
      </c>
      <c r="E2393" t="s">
        <v>2385</v>
      </c>
      <c r="F2393" t="s"/>
      <c r="G2393" t="s"/>
      <c r="H2393" t="s"/>
      <c r="I2393" t="s"/>
      <c r="J2393" t="n">
        <v>-0.9118000000000001</v>
      </c>
      <c r="K2393" t="n">
        <v>0.273</v>
      </c>
      <c r="L2393" t="n">
        <v>0.679</v>
      </c>
      <c r="M2393" t="n">
        <v>0.048</v>
      </c>
    </row>
    <row r="2394" spans="1:13">
      <c r="A2394" s="1">
        <f>HYPERLINK("http://www.twitter.com/NathanBLawrence/status/987356287045394433", "987356287045394433")</f>
        <v/>
      </c>
      <c r="B2394" s="2" t="n">
        <v>43210.65575231481</v>
      </c>
      <c r="C2394" t="n">
        <v>0</v>
      </c>
      <c r="D2394" t="n">
        <v>0</v>
      </c>
      <c r="E2394" t="s">
        <v>2386</v>
      </c>
      <c r="F2394" t="s"/>
      <c r="G2394" t="s"/>
      <c r="H2394" t="s"/>
      <c r="I2394" t="s"/>
      <c r="J2394" t="n">
        <v>0.8343</v>
      </c>
      <c r="K2394" t="n">
        <v>0</v>
      </c>
      <c r="L2394" t="n">
        <v>0.819</v>
      </c>
      <c r="M2394" t="n">
        <v>0.181</v>
      </c>
    </row>
    <row r="2395" spans="1:13">
      <c r="A2395" s="1">
        <f>HYPERLINK("http://www.twitter.com/NathanBLawrence/status/987187448655556608", "987187448655556608")</f>
        <v/>
      </c>
      <c r="B2395" s="2" t="n">
        <v>43210.18984953704</v>
      </c>
      <c r="C2395" t="n">
        <v>0</v>
      </c>
      <c r="D2395" t="n">
        <v>3911</v>
      </c>
      <c r="E2395" t="s">
        <v>2387</v>
      </c>
      <c r="F2395" t="s"/>
      <c r="G2395" t="s"/>
      <c r="H2395" t="s"/>
      <c r="I2395" t="s"/>
      <c r="J2395" t="n">
        <v>-0.2732</v>
      </c>
      <c r="K2395" t="n">
        <v>0.174</v>
      </c>
      <c r="L2395" t="n">
        <v>0.826</v>
      </c>
      <c r="M2395" t="n">
        <v>0</v>
      </c>
    </row>
    <row r="2396" spans="1:13">
      <c r="A2396" s="1">
        <f>HYPERLINK("http://www.twitter.com/NathanBLawrence/status/987187186067001344", "987187186067001344")</f>
        <v/>
      </c>
      <c r="B2396" s="2" t="n">
        <v>43210.18912037037</v>
      </c>
      <c r="C2396" t="n">
        <v>0</v>
      </c>
      <c r="D2396" t="n">
        <v>5</v>
      </c>
      <c r="E2396" t="s">
        <v>2388</v>
      </c>
      <c r="F2396" t="s"/>
      <c r="G2396" t="s"/>
      <c r="H2396" t="s"/>
      <c r="I2396" t="s"/>
      <c r="J2396" t="n">
        <v>0</v>
      </c>
      <c r="K2396" t="n">
        <v>0</v>
      </c>
      <c r="L2396" t="n">
        <v>1</v>
      </c>
      <c r="M2396" t="n">
        <v>0</v>
      </c>
    </row>
    <row r="2397" spans="1:13">
      <c r="A2397" s="1">
        <f>HYPERLINK("http://www.twitter.com/NathanBLawrence/status/987187139468242944", "987187139468242944")</f>
        <v/>
      </c>
      <c r="B2397" s="2" t="n">
        <v>43210.18899305556</v>
      </c>
      <c r="C2397" t="n">
        <v>0</v>
      </c>
      <c r="D2397" t="n">
        <v>549</v>
      </c>
      <c r="E2397" t="s">
        <v>2389</v>
      </c>
      <c r="F2397" t="s"/>
      <c r="G2397" t="s"/>
      <c r="H2397" t="s"/>
      <c r="I2397" t="s"/>
      <c r="J2397" t="n">
        <v>-0.4767</v>
      </c>
      <c r="K2397" t="n">
        <v>0.193</v>
      </c>
      <c r="L2397" t="n">
        <v>0.8070000000000001</v>
      </c>
      <c r="M2397" t="n">
        <v>0</v>
      </c>
    </row>
    <row r="2398" spans="1:13">
      <c r="A2398" s="1">
        <f>HYPERLINK("http://www.twitter.com/NathanBLawrence/status/987187115388751874", "987187115388751874")</f>
        <v/>
      </c>
      <c r="B2398" s="2" t="n">
        <v>43210.18893518519</v>
      </c>
      <c r="C2398" t="n">
        <v>0</v>
      </c>
      <c r="D2398" t="n">
        <v>556</v>
      </c>
      <c r="E2398" t="s">
        <v>2390</v>
      </c>
      <c r="F2398" t="s"/>
      <c r="G2398" t="s"/>
      <c r="H2398" t="s"/>
      <c r="I2398" t="s"/>
      <c r="J2398" t="n">
        <v>0</v>
      </c>
      <c r="K2398" t="n">
        <v>0</v>
      </c>
      <c r="L2398" t="n">
        <v>1</v>
      </c>
      <c r="M2398" t="n">
        <v>0</v>
      </c>
    </row>
    <row r="2399" spans="1:13">
      <c r="A2399" s="1">
        <f>HYPERLINK("http://www.twitter.com/NathanBLawrence/status/987186978830635008", "987186978830635008")</f>
        <v/>
      </c>
      <c r="B2399" s="2" t="n">
        <v>43210.18855324074</v>
      </c>
      <c r="C2399" t="n">
        <v>0</v>
      </c>
      <c r="D2399" t="n">
        <v>1829</v>
      </c>
      <c r="E2399" t="s">
        <v>2391</v>
      </c>
      <c r="F2399" t="s"/>
      <c r="G2399" t="s"/>
      <c r="H2399" t="s"/>
      <c r="I2399" t="s"/>
      <c r="J2399" t="n">
        <v>0</v>
      </c>
      <c r="K2399" t="n">
        <v>0</v>
      </c>
      <c r="L2399" t="n">
        <v>1</v>
      </c>
      <c r="M2399" t="n">
        <v>0</v>
      </c>
    </row>
    <row r="2400" spans="1:13">
      <c r="A2400" s="1">
        <f>HYPERLINK("http://www.twitter.com/NathanBLawrence/status/987186889320001536", "987186889320001536")</f>
        <v/>
      </c>
      <c r="B2400" s="2" t="n">
        <v>43210.18831018519</v>
      </c>
      <c r="C2400" t="n">
        <v>0</v>
      </c>
      <c r="D2400" t="n">
        <v>2</v>
      </c>
      <c r="E2400" t="s">
        <v>2392</v>
      </c>
      <c r="F2400" t="s"/>
      <c r="G2400" t="s"/>
      <c r="H2400" t="s"/>
      <c r="I2400" t="s"/>
      <c r="J2400" t="n">
        <v>0.5256</v>
      </c>
      <c r="K2400" t="n">
        <v>0</v>
      </c>
      <c r="L2400" t="n">
        <v>0.848</v>
      </c>
      <c r="M2400" t="n">
        <v>0.152</v>
      </c>
    </row>
    <row r="2401" spans="1:13">
      <c r="A2401" s="1">
        <f>HYPERLINK("http://www.twitter.com/NathanBLawrence/status/987186859032961029", "987186859032961029")</f>
        <v/>
      </c>
      <c r="B2401" s="2" t="n">
        <v>43210.18821759259</v>
      </c>
      <c r="C2401" t="n">
        <v>0</v>
      </c>
      <c r="D2401" t="n">
        <v>1</v>
      </c>
      <c r="E2401" t="s">
        <v>2393</v>
      </c>
      <c r="F2401" t="s"/>
      <c r="G2401" t="s"/>
      <c r="H2401" t="s"/>
      <c r="I2401" t="s"/>
      <c r="J2401" t="n">
        <v>-0.296</v>
      </c>
      <c r="K2401" t="n">
        <v>0.104</v>
      </c>
      <c r="L2401" t="n">
        <v>0.896</v>
      </c>
      <c r="M2401" t="n">
        <v>0</v>
      </c>
    </row>
    <row r="2402" spans="1:13">
      <c r="A2402" s="1">
        <f>HYPERLINK("http://www.twitter.com/NathanBLawrence/status/987186772252807168", "987186772252807168")</f>
        <v/>
      </c>
      <c r="B2402" s="2" t="n">
        <v>43210.18798611111</v>
      </c>
      <c r="C2402" t="n">
        <v>0</v>
      </c>
      <c r="D2402" t="n">
        <v>0</v>
      </c>
      <c r="E2402" t="s">
        <v>2394</v>
      </c>
      <c r="F2402" t="s"/>
      <c r="G2402" t="s"/>
      <c r="H2402" t="s"/>
      <c r="I2402" t="s"/>
      <c r="J2402" t="n">
        <v>-0.836</v>
      </c>
      <c r="K2402" t="n">
        <v>0.355</v>
      </c>
      <c r="L2402" t="n">
        <v>0.645</v>
      </c>
      <c r="M2402" t="n">
        <v>0</v>
      </c>
    </row>
    <row r="2403" spans="1:13">
      <c r="A2403" s="1">
        <f>HYPERLINK("http://www.twitter.com/NathanBLawrence/status/987186479494500352", "987186479494500352")</f>
        <v/>
      </c>
      <c r="B2403" s="2" t="n">
        <v>43210.18717592592</v>
      </c>
      <c r="C2403" t="n">
        <v>0</v>
      </c>
      <c r="D2403" t="n">
        <v>3</v>
      </c>
      <c r="E2403" t="s">
        <v>2395</v>
      </c>
      <c r="F2403" t="s"/>
      <c r="G2403" t="s"/>
      <c r="H2403" t="s"/>
      <c r="I2403" t="s"/>
      <c r="J2403" t="n">
        <v>-0.3163</v>
      </c>
      <c r="K2403" t="n">
        <v>0.15</v>
      </c>
      <c r="L2403" t="n">
        <v>0.749</v>
      </c>
      <c r="M2403" t="n">
        <v>0.101</v>
      </c>
    </row>
    <row r="2404" spans="1:13">
      <c r="A2404" s="1">
        <f>HYPERLINK("http://www.twitter.com/NathanBLawrence/status/987186426449154049", "987186426449154049")</f>
        <v/>
      </c>
      <c r="B2404" s="2" t="n">
        <v>43210.18702546296</v>
      </c>
      <c r="C2404" t="n">
        <v>0</v>
      </c>
      <c r="D2404" t="n">
        <v>6</v>
      </c>
      <c r="E2404" t="s">
        <v>2396</v>
      </c>
      <c r="F2404" t="s"/>
      <c r="G2404" t="s"/>
      <c r="H2404" t="s"/>
      <c r="I2404" t="s"/>
      <c r="J2404" t="n">
        <v>0</v>
      </c>
      <c r="K2404" t="n">
        <v>0</v>
      </c>
      <c r="L2404" t="n">
        <v>1</v>
      </c>
      <c r="M2404" t="n">
        <v>0</v>
      </c>
    </row>
    <row r="2405" spans="1:13">
      <c r="A2405" s="1">
        <f>HYPERLINK("http://www.twitter.com/NathanBLawrence/status/987185839624081408", "987185839624081408")</f>
        <v/>
      </c>
      <c r="B2405" s="2" t="n">
        <v>43210.18540509259</v>
      </c>
      <c r="C2405" t="n">
        <v>0</v>
      </c>
      <c r="D2405" t="n">
        <v>6</v>
      </c>
      <c r="E2405" t="s">
        <v>2397</v>
      </c>
      <c r="F2405" t="s"/>
      <c r="G2405" t="s"/>
      <c r="H2405" t="s"/>
      <c r="I2405" t="s"/>
      <c r="J2405" t="n">
        <v>0.0772</v>
      </c>
      <c r="K2405" t="n">
        <v>0</v>
      </c>
      <c r="L2405" t="n">
        <v>0.92</v>
      </c>
      <c r="M2405" t="n">
        <v>0.08</v>
      </c>
    </row>
    <row r="2406" spans="1:13">
      <c r="A2406" s="1">
        <f>HYPERLINK("http://www.twitter.com/NathanBLawrence/status/987185816375087104", "987185816375087104")</f>
        <v/>
      </c>
      <c r="B2406" s="2" t="n">
        <v>43210.18534722222</v>
      </c>
      <c r="C2406" t="n">
        <v>0</v>
      </c>
      <c r="D2406" t="n">
        <v>6</v>
      </c>
      <c r="E2406" t="s">
        <v>2398</v>
      </c>
      <c r="F2406" t="s"/>
      <c r="G2406" t="s"/>
      <c r="H2406" t="s"/>
      <c r="I2406" t="s"/>
      <c r="J2406" t="n">
        <v>0.2716</v>
      </c>
      <c r="K2406" t="n">
        <v>0</v>
      </c>
      <c r="L2406" t="n">
        <v>0.741</v>
      </c>
      <c r="M2406" t="n">
        <v>0.259</v>
      </c>
    </row>
    <row r="2407" spans="1:13">
      <c r="A2407" s="1">
        <f>HYPERLINK("http://www.twitter.com/NathanBLawrence/status/987185649605332992", "987185649605332992")</f>
        <v/>
      </c>
      <c r="B2407" s="2" t="n">
        <v>43210.18488425926</v>
      </c>
      <c r="C2407" t="n">
        <v>0</v>
      </c>
      <c r="D2407" t="n">
        <v>0</v>
      </c>
      <c r="E2407" t="s">
        <v>2399</v>
      </c>
      <c r="F2407" t="s"/>
      <c r="G2407" t="s"/>
      <c r="H2407" t="s"/>
      <c r="I2407" t="s"/>
      <c r="J2407" t="n">
        <v>-0.836</v>
      </c>
      <c r="K2407" t="n">
        <v>0.382</v>
      </c>
      <c r="L2407" t="n">
        <v>0.618</v>
      </c>
      <c r="M2407" t="n">
        <v>0</v>
      </c>
    </row>
    <row r="2408" spans="1:13">
      <c r="A2408" s="1">
        <f>HYPERLINK("http://www.twitter.com/NathanBLawrence/status/987185606508924928", "987185606508924928")</f>
        <v/>
      </c>
      <c r="B2408" s="2" t="n">
        <v>43210.18476851852</v>
      </c>
      <c r="C2408" t="n">
        <v>5</v>
      </c>
      <c r="D2408" t="n">
        <v>0</v>
      </c>
      <c r="E2408" t="s">
        <v>2400</v>
      </c>
      <c r="F2408" t="s"/>
      <c r="G2408" t="s"/>
      <c r="H2408" t="s"/>
      <c r="I2408" t="s"/>
      <c r="J2408" t="n">
        <v>-0.836</v>
      </c>
      <c r="K2408" t="n">
        <v>0.368</v>
      </c>
      <c r="L2408" t="n">
        <v>0.632</v>
      </c>
      <c r="M2408" t="n">
        <v>0</v>
      </c>
    </row>
    <row r="2409" spans="1:13">
      <c r="A2409" s="1">
        <f>HYPERLINK("http://www.twitter.com/NathanBLawrence/status/987185573784899584", "987185573784899584")</f>
        <v/>
      </c>
      <c r="B2409" s="2" t="n">
        <v>43210.18467592593</v>
      </c>
      <c r="C2409" t="n">
        <v>0</v>
      </c>
      <c r="D2409" t="n">
        <v>105</v>
      </c>
      <c r="E2409" t="s">
        <v>2401</v>
      </c>
      <c r="F2409" t="s"/>
      <c r="G2409" t="s"/>
      <c r="H2409" t="s"/>
      <c r="I2409" t="s"/>
      <c r="J2409" t="n">
        <v>0.1027</v>
      </c>
      <c r="K2409" t="n">
        <v>0.139</v>
      </c>
      <c r="L2409" t="n">
        <v>0.696</v>
      </c>
      <c r="M2409" t="n">
        <v>0.165</v>
      </c>
    </row>
    <row r="2410" spans="1:13">
      <c r="A2410" s="1">
        <f>HYPERLINK("http://www.twitter.com/NathanBLawrence/status/987185455740448768", "987185455740448768")</f>
        <v/>
      </c>
      <c r="B2410" s="2" t="n">
        <v>43210.18435185185</v>
      </c>
      <c r="C2410" t="n">
        <v>0</v>
      </c>
      <c r="D2410" t="n">
        <v>4430</v>
      </c>
      <c r="E2410" t="s">
        <v>2402</v>
      </c>
      <c r="F2410">
        <f>HYPERLINK("https://video.twimg.com/ext_tw_video/987108406640099329/pu/vid/640x360/NixtJoEhQYGPsgHl.mp4?tag=3", "https://video.twimg.com/ext_tw_video/987108406640099329/pu/vid/640x360/NixtJoEhQYGPsgHl.mp4?tag=3")</f>
        <v/>
      </c>
      <c r="G2410" t="s"/>
      <c r="H2410" t="s"/>
      <c r="I2410" t="s"/>
      <c r="J2410" t="n">
        <v>0.7096</v>
      </c>
      <c r="K2410" t="n">
        <v>0</v>
      </c>
      <c r="L2410" t="n">
        <v>0.763</v>
      </c>
      <c r="M2410" t="n">
        <v>0.237</v>
      </c>
    </row>
    <row r="2411" spans="1:13">
      <c r="A2411" s="1">
        <f>HYPERLINK("http://www.twitter.com/NathanBLawrence/status/987185438388613121", "987185438388613121")</f>
        <v/>
      </c>
      <c r="B2411" s="2" t="n">
        <v>43210.18430555556</v>
      </c>
      <c r="C2411" t="n">
        <v>0</v>
      </c>
      <c r="D2411" t="n">
        <v>5251</v>
      </c>
      <c r="E2411" t="s">
        <v>2403</v>
      </c>
      <c r="F2411" t="s"/>
      <c r="G2411" t="s"/>
      <c r="H2411" t="s"/>
      <c r="I2411" t="s"/>
      <c r="J2411" t="n">
        <v>-0.5266999999999999</v>
      </c>
      <c r="K2411" t="n">
        <v>0.206</v>
      </c>
      <c r="L2411" t="n">
        <v>0.794</v>
      </c>
      <c r="M2411" t="n">
        <v>0</v>
      </c>
    </row>
    <row r="2412" spans="1:13">
      <c r="A2412" s="1">
        <f>HYPERLINK("http://www.twitter.com/NathanBLawrence/status/987185321396883456", "987185321396883456")</f>
        <v/>
      </c>
      <c r="B2412" s="2" t="n">
        <v>43210.18398148148</v>
      </c>
      <c r="C2412" t="n">
        <v>0</v>
      </c>
      <c r="D2412" t="n">
        <v>20229</v>
      </c>
      <c r="E2412" t="s">
        <v>2404</v>
      </c>
      <c r="F2412" t="s"/>
      <c r="G2412" t="s"/>
      <c r="H2412" t="s"/>
      <c r="I2412" t="s"/>
      <c r="J2412" t="n">
        <v>0.7845</v>
      </c>
      <c r="K2412" t="n">
        <v>0</v>
      </c>
      <c r="L2412" t="n">
        <v>0.717</v>
      </c>
      <c r="M2412" t="n">
        <v>0.283</v>
      </c>
    </row>
    <row r="2413" spans="1:13">
      <c r="A2413" s="1">
        <f>HYPERLINK("http://www.twitter.com/NathanBLawrence/status/987185253633724416", "987185253633724416")</f>
        <v/>
      </c>
      <c r="B2413" s="2" t="n">
        <v>43210.1837962963</v>
      </c>
      <c r="C2413" t="n">
        <v>0</v>
      </c>
      <c r="D2413" t="n">
        <v>3149</v>
      </c>
      <c r="E2413" t="s">
        <v>2405</v>
      </c>
      <c r="F2413" t="s"/>
      <c r="G2413" t="s"/>
      <c r="H2413" t="s"/>
      <c r="I2413" t="s"/>
      <c r="J2413" t="n">
        <v>0</v>
      </c>
      <c r="K2413" t="n">
        <v>0</v>
      </c>
      <c r="L2413" t="n">
        <v>1</v>
      </c>
      <c r="M2413" t="n">
        <v>0</v>
      </c>
    </row>
    <row r="2414" spans="1:13">
      <c r="A2414" s="1">
        <f>HYPERLINK("http://www.twitter.com/NathanBLawrence/status/987183752802652160", "987183752802652160")</f>
        <v/>
      </c>
      <c r="B2414" s="2" t="n">
        <v>43210.17965277778</v>
      </c>
      <c r="C2414" t="n">
        <v>0</v>
      </c>
      <c r="D2414" t="n">
        <v>0</v>
      </c>
      <c r="E2414" t="s">
        <v>2406</v>
      </c>
      <c r="F2414" t="s"/>
      <c r="G2414" t="s"/>
      <c r="H2414" t="s"/>
      <c r="I2414" t="s"/>
      <c r="J2414" t="n">
        <v>-0.5994</v>
      </c>
      <c r="K2414" t="n">
        <v>0.153</v>
      </c>
      <c r="L2414" t="n">
        <v>0.763</v>
      </c>
      <c r="M2414" t="n">
        <v>0.08500000000000001</v>
      </c>
    </row>
    <row r="2415" spans="1:13">
      <c r="A2415" s="1">
        <f>HYPERLINK("http://www.twitter.com/NathanBLawrence/status/987164814337368064", "987164814337368064")</f>
        <v/>
      </c>
      <c r="B2415" s="2" t="n">
        <v>43210.12739583333</v>
      </c>
      <c r="C2415" t="n">
        <v>0</v>
      </c>
      <c r="D2415" t="n">
        <v>2</v>
      </c>
      <c r="E2415" t="s">
        <v>2407</v>
      </c>
      <c r="F2415" t="s"/>
      <c r="G2415" t="s"/>
      <c r="H2415" t="s"/>
      <c r="I2415" t="s"/>
      <c r="J2415" t="n">
        <v>-0.6705</v>
      </c>
      <c r="K2415" t="n">
        <v>0.234</v>
      </c>
      <c r="L2415" t="n">
        <v>0.766</v>
      </c>
      <c r="M2415" t="n">
        <v>0</v>
      </c>
    </row>
    <row r="2416" spans="1:13">
      <c r="A2416" s="1">
        <f>HYPERLINK("http://www.twitter.com/NathanBLawrence/status/987164753184329729", "987164753184329729")</f>
        <v/>
      </c>
      <c r="B2416" s="2" t="n">
        <v>43210.12722222223</v>
      </c>
      <c r="C2416" t="n">
        <v>0</v>
      </c>
      <c r="D2416" t="n">
        <v>4</v>
      </c>
      <c r="E2416" t="s">
        <v>2408</v>
      </c>
      <c r="F2416" t="s"/>
      <c r="G2416" t="s"/>
      <c r="H2416" t="s"/>
      <c r="I2416" t="s"/>
      <c r="J2416" t="n">
        <v>-0.5622</v>
      </c>
      <c r="K2416" t="n">
        <v>0.161</v>
      </c>
      <c r="L2416" t="n">
        <v>0.839</v>
      </c>
      <c r="M2416" t="n">
        <v>0</v>
      </c>
    </row>
    <row r="2417" spans="1:13">
      <c r="A2417" s="1">
        <f>HYPERLINK("http://www.twitter.com/NathanBLawrence/status/987164730023391232", "987164730023391232")</f>
        <v/>
      </c>
      <c r="B2417" s="2" t="n">
        <v>43210.12715277778</v>
      </c>
      <c r="C2417" t="n">
        <v>0</v>
      </c>
      <c r="D2417" t="n">
        <v>6</v>
      </c>
      <c r="E2417" t="s">
        <v>2409</v>
      </c>
      <c r="F2417" t="s"/>
      <c r="G2417" t="s"/>
      <c r="H2417" t="s"/>
      <c r="I2417" t="s"/>
      <c r="J2417" t="n">
        <v>-0.7178</v>
      </c>
      <c r="K2417" t="n">
        <v>0.231</v>
      </c>
      <c r="L2417" t="n">
        <v>0.769</v>
      </c>
      <c r="M2417" t="n">
        <v>0</v>
      </c>
    </row>
    <row r="2418" spans="1:13">
      <c r="A2418" s="1">
        <f>HYPERLINK("http://www.twitter.com/NathanBLawrence/status/987135161044054017", "987135161044054017")</f>
        <v/>
      </c>
      <c r="B2418" s="2" t="n">
        <v>43210.04556712963</v>
      </c>
      <c r="C2418" t="n">
        <v>0</v>
      </c>
      <c r="D2418" t="n">
        <v>12</v>
      </c>
      <c r="E2418" t="s">
        <v>2410</v>
      </c>
      <c r="F2418">
        <f>HYPERLINK("http://pbs.twimg.com/media/DbMCIh_UMAE8Xl4.jpg", "http://pbs.twimg.com/media/DbMCIh_UMAE8Xl4.jpg")</f>
        <v/>
      </c>
      <c r="G2418" t="s"/>
      <c r="H2418" t="s"/>
      <c r="I2418" t="s"/>
      <c r="J2418" t="n">
        <v>0.4391</v>
      </c>
      <c r="K2418" t="n">
        <v>0</v>
      </c>
      <c r="L2418" t="n">
        <v>0.888</v>
      </c>
      <c r="M2418" t="n">
        <v>0.112</v>
      </c>
    </row>
    <row r="2419" spans="1:13">
      <c r="A2419" s="1">
        <f>HYPERLINK("http://www.twitter.com/NathanBLawrence/status/987134448679481345", "987134448679481345")</f>
        <v/>
      </c>
      <c r="B2419" s="2" t="n">
        <v>43210.04359953704</v>
      </c>
      <c r="C2419" t="n">
        <v>0</v>
      </c>
      <c r="D2419" t="n">
        <v>4</v>
      </c>
      <c r="E2419" t="s">
        <v>2411</v>
      </c>
      <c r="F2419">
        <f>HYPERLINK("http://pbs.twimg.com/media/DbLbQtXWAAAln3d.jpg", "http://pbs.twimg.com/media/DbLbQtXWAAAln3d.jpg")</f>
        <v/>
      </c>
      <c r="G2419" t="s"/>
      <c r="H2419" t="s"/>
      <c r="I2419" t="s"/>
      <c r="J2419" t="n">
        <v>0</v>
      </c>
      <c r="K2419" t="n">
        <v>0</v>
      </c>
      <c r="L2419" t="n">
        <v>1</v>
      </c>
      <c r="M2419" t="n">
        <v>0</v>
      </c>
    </row>
    <row r="2420" spans="1:13">
      <c r="A2420" s="1">
        <f>HYPERLINK("http://www.twitter.com/NathanBLawrence/status/987134286632546304", "987134286632546304")</f>
        <v/>
      </c>
      <c r="B2420" s="2" t="n">
        <v>43210.04314814815</v>
      </c>
      <c r="C2420" t="n">
        <v>0</v>
      </c>
      <c r="D2420" t="n">
        <v>3</v>
      </c>
      <c r="E2420" t="s">
        <v>2412</v>
      </c>
      <c r="F2420" t="s"/>
      <c r="G2420" t="s"/>
      <c r="H2420" t="s"/>
      <c r="I2420" t="s"/>
      <c r="J2420" t="n">
        <v>0</v>
      </c>
      <c r="K2420" t="n">
        <v>0</v>
      </c>
      <c r="L2420" t="n">
        <v>1</v>
      </c>
      <c r="M2420" t="n">
        <v>0</v>
      </c>
    </row>
    <row r="2421" spans="1:13">
      <c r="A2421" s="1">
        <f>HYPERLINK("http://www.twitter.com/NathanBLawrence/status/987134203220447232", "987134203220447232")</f>
        <v/>
      </c>
      <c r="B2421" s="2" t="n">
        <v>43210.04291666667</v>
      </c>
      <c r="C2421" t="n">
        <v>5</v>
      </c>
      <c r="D2421" t="n">
        <v>2</v>
      </c>
      <c r="E2421" t="s">
        <v>2413</v>
      </c>
      <c r="F2421" t="s"/>
      <c r="G2421" t="s"/>
      <c r="H2421" t="s"/>
      <c r="I2421" t="s"/>
      <c r="J2421" t="n">
        <v>0.0516</v>
      </c>
      <c r="K2421" t="n">
        <v>0.083</v>
      </c>
      <c r="L2421" t="n">
        <v>0.789</v>
      </c>
      <c r="M2421" t="n">
        <v>0.128</v>
      </c>
    </row>
    <row r="2422" spans="1:13">
      <c r="A2422" s="1">
        <f>HYPERLINK("http://www.twitter.com/NathanBLawrence/status/987133960814723075", "987133960814723075")</f>
        <v/>
      </c>
      <c r="B2422" s="2" t="n">
        <v>43210.04224537037</v>
      </c>
      <c r="C2422" t="n">
        <v>0</v>
      </c>
      <c r="D2422" t="n">
        <v>2</v>
      </c>
      <c r="E2422" t="s">
        <v>2414</v>
      </c>
      <c r="F2422" t="s"/>
      <c r="G2422" t="s"/>
      <c r="H2422" t="s"/>
      <c r="I2422" t="s"/>
      <c r="J2422" t="n">
        <v>0.3491</v>
      </c>
      <c r="K2422" t="n">
        <v>0.137</v>
      </c>
      <c r="L2422" t="n">
        <v>0.653</v>
      </c>
      <c r="M2422" t="n">
        <v>0.21</v>
      </c>
    </row>
    <row r="2423" spans="1:13">
      <c r="A2423" s="1">
        <f>HYPERLINK("http://www.twitter.com/NathanBLawrence/status/987133947720192001", "987133947720192001")</f>
        <v/>
      </c>
      <c r="B2423" s="2" t="n">
        <v>43210.04221064815</v>
      </c>
      <c r="C2423" t="n">
        <v>0</v>
      </c>
      <c r="D2423" t="n">
        <v>3</v>
      </c>
      <c r="E2423" t="s">
        <v>2415</v>
      </c>
      <c r="F2423" t="s"/>
      <c r="G2423" t="s"/>
      <c r="H2423" t="s"/>
      <c r="I2423" t="s"/>
      <c r="J2423" t="n">
        <v>0</v>
      </c>
      <c r="K2423" t="n">
        <v>0</v>
      </c>
      <c r="L2423" t="n">
        <v>1</v>
      </c>
      <c r="M2423" t="n">
        <v>0</v>
      </c>
    </row>
    <row r="2424" spans="1:13">
      <c r="A2424" s="1">
        <f>HYPERLINK("http://www.twitter.com/NathanBLawrence/status/987133932310233094", "987133932310233094")</f>
        <v/>
      </c>
      <c r="B2424" s="2" t="n">
        <v>43210.04217592593</v>
      </c>
      <c r="C2424" t="n">
        <v>0</v>
      </c>
      <c r="D2424" t="n">
        <v>4</v>
      </c>
      <c r="E2424" t="s">
        <v>2416</v>
      </c>
      <c r="F2424" t="s"/>
      <c r="G2424" t="s"/>
      <c r="H2424" t="s"/>
      <c r="I2424" t="s"/>
      <c r="J2424" t="n">
        <v>-0.4588</v>
      </c>
      <c r="K2424" t="n">
        <v>0.215</v>
      </c>
      <c r="L2424" t="n">
        <v>0.6909999999999999</v>
      </c>
      <c r="M2424" t="n">
        <v>0.093</v>
      </c>
    </row>
    <row r="2425" spans="1:13">
      <c r="A2425" s="1">
        <f>HYPERLINK("http://www.twitter.com/NathanBLawrence/status/987133911007399937", "987133911007399937")</f>
        <v/>
      </c>
      <c r="B2425" s="2" t="n">
        <v>43210.04211805556</v>
      </c>
      <c r="C2425" t="n">
        <v>0</v>
      </c>
      <c r="D2425" t="n">
        <v>5</v>
      </c>
      <c r="E2425" t="s">
        <v>2417</v>
      </c>
      <c r="F2425">
        <f>HYPERLINK("http://pbs.twimg.com/media/DbL9znLXcAAhrdG.jpg", "http://pbs.twimg.com/media/DbL9znLXcAAhrdG.jpg")</f>
        <v/>
      </c>
      <c r="G2425" t="s"/>
      <c r="H2425" t="s"/>
      <c r="I2425" t="s"/>
      <c r="J2425" t="n">
        <v>-0.5848</v>
      </c>
      <c r="K2425" t="n">
        <v>0.153</v>
      </c>
      <c r="L2425" t="n">
        <v>0.847</v>
      </c>
      <c r="M2425" t="n">
        <v>0</v>
      </c>
    </row>
    <row r="2426" spans="1:13">
      <c r="A2426" s="1">
        <f>HYPERLINK("http://www.twitter.com/NathanBLawrence/status/987133869412573184", "987133869412573184")</f>
        <v/>
      </c>
      <c r="B2426" s="2" t="n">
        <v>43210.04200231482</v>
      </c>
      <c r="C2426" t="n">
        <v>0</v>
      </c>
      <c r="D2426" t="n">
        <v>6</v>
      </c>
      <c r="E2426" t="s">
        <v>2418</v>
      </c>
      <c r="F2426" t="s"/>
      <c r="G2426" t="s"/>
      <c r="H2426" t="s"/>
      <c r="I2426" t="s"/>
      <c r="J2426" t="n">
        <v>0.5983000000000001</v>
      </c>
      <c r="K2426" t="n">
        <v>0</v>
      </c>
      <c r="L2426" t="n">
        <v>0.844</v>
      </c>
      <c r="M2426" t="n">
        <v>0.156</v>
      </c>
    </row>
    <row r="2427" spans="1:13">
      <c r="A2427" s="1">
        <f>HYPERLINK("http://www.twitter.com/NathanBLawrence/status/987133852849229825", "987133852849229825")</f>
        <v/>
      </c>
      <c r="B2427" s="2" t="n">
        <v>43210.04195601852</v>
      </c>
      <c r="C2427" t="n">
        <v>0</v>
      </c>
      <c r="D2427" t="n">
        <v>6</v>
      </c>
      <c r="E2427" t="s">
        <v>2419</v>
      </c>
      <c r="F2427">
        <f>HYPERLINK("http://pbs.twimg.com/media/DbL8sTpX0AIUASG.jpg", "http://pbs.twimg.com/media/DbL8sTpX0AIUASG.jpg")</f>
        <v/>
      </c>
      <c r="G2427" t="s"/>
      <c r="H2427" t="s"/>
      <c r="I2427" t="s"/>
      <c r="J2427" t="n">
        <v>-0.3071</v>
      </c>
      <c r="K2427" t="n">
        <v>0.111</v>
      </c>
      <c r="L2427" t="n">
        <v>0.889</v>
      </c>
      <c r="M2427" t="n">
        <v>0</v>
      </c>
    </row>
    <row r="2428" spans="1:13">
      <c r="A2428" s="1">
        <f>HYPERLINK("http://www.twitter.com/NathanBLawrence/status/987133835170275329", "987133835170275329")</f>
        <v/>
      </c>
      <c r="B2428" s="2" t="n">
        <v>43210.04190972223</v>
      </c>
      <c r="C2428" t="n">
        <v>0</v>
      </c>
      <c r="D2428" t="n">
        <v>5</v>
      </c>
      <c r="E2428" t="s">
        <v>2420</v>
      </c>
      <c r="F2428">
        <f>HYPERLINK("http://pbs.twimg.com/media/DbL7rc-VwAAQUYx.jpg", "http://pbs.twimg.com/media/DbL7rc-VwAAQUYx.jpg")</f>
        <v/>
      </c>
      <c r="G2428" t="s"/>
      <c r="H2428" t="s"/>
      <c r="I2428" t="s"/>
      <c r="J2428" t="n">
        <v>0.4588</v>
      </c>
      <c r="K2428" t="n">
        <v>0</v>
      </c>
      <c r="L2428" t="n">
        <v>0.864</v>
      </c>
      <c r="M2428" t="n">
        <v>0.136</v>
      </c>
    </row>
    <row r="2429" spans="1:13">
      <c r="A2429" s="1">
        <f>HYPERLINK("http://www.twitter.com/NathanBLawrence/status/987133802706341888", "987133802706341888")</f>
        <v/>
      </c>
      <c r="B2429" s="2" t="n">
        <v>43210.04181712963</v>
      </c>
      <c r="C2429" t="n">
        <v>0</v>
      </c>
      <c r="D2429" t="n">
        <v>7</v>
      </c>
      <c r="E2429" t="s">
        <v>2421</v>
      </c>
      <c r="F2429">
        <f>HYPERLINK("http://pbs.twimg.com/media/DbL6dDBX0AEe9jb.jpg", "http://pbs.twimg.com/media/DbL6dDBX0AEe9jb.jpg")</f>
        <v/>
      </c>
      <c r="G2429" t="s"/>
      <c r="H2429" t="s"/>
      <c r="I2429" t="s"/>
      <c r="J2429" t="n">
        <v>0</v>
      </c>
      <c r="K2429" t="n">
        <v>0</v>
      </c>
      <c r="L2429" t="n">
        <v>1</v>
      </c>
      <c r="M2429" t="n">
        <v>0</v>
      </c>
    </row>
    <row r="2430" spans="1:13">
      <c r="A2430" s="1">
        <f>HYPERLINK("http://www.twitter.com/NathanBLawrence/status/987126232478375936", "987126232478375936")</f>
        <v/>
      </c>
      <c r="B2430" s="2" t="n">
        <v>43210.02092592593</v>
      </c>
      <c r="C2430" t="n">
        <v>0</v>
      </c>
      <c r="D2430" t="n">
        <v>12</v>
      </c>
      <c r="E2430" t="s">
        <v>2422</v>
      </c>
      <c r="F2430">
        <f>HYPERLINK("http://pbs.twimg.com/media/DbL4zDgWkAEeZq8.jpg", "http://pbs.twimg.com/media/DbL4zDgWkAEeZq8.jpg")</f>
        <v/>
      </c>
      <c r="G2430" t="s"/>
      <c r="H2430" t="s"/>
      <c r="I2430" t="s"/>
      <c r="J2430" t="n">
        <v>-0.9001</v>
      </c>
      <c r="K2430" t="n">
        <v>0.429</v>
      </c>
      <c r="L2430" t="n">
        <v>0.571</v>
      </c>
      <c r="M2430" t="n">
        <v>0</v>
      </c>
    </row>
    <row r="2431" spans="1:13">
      <c r="A2431" s="1">
        <f>HYPERLINK("http://www.twitter.com/NathanBLawrence/status/987124190733062144", "987124190733062144")</f>
        <v/>
      </c>
      <c r="B2431" s="2" t="n">
        <v>43210.01528935185</v>
      </c>
      <c r="C2431" t="n">
        <v>0</v>
      </c>
      <c r="D2431" t="n">
        <v>3</v>
      </c>
      <c r="E2431" t="s">
        <v>2423</v>
      </c>
      <c r="F2431" t="s"/>
      <c r="G2431" t="s"/>
      <c r="H2431" t="s"/>
      <c r="I2431" t="s"/>
      <c r="J2431" t="n">
        <v>0</v>
      </c>
      <c r="K2431" t="n">
        <v>0</v>
      </c>
      <c r="L2431" t="n">
        <v>1</v>
      </c>
      <c r="M2431" t="n">
        <v>0</v>
      </c>
    </row>
    <row r="2432" spans="1:13">
      <c r="A2432" s="1">
        <f>HYPERLINK("http://www.twitter.com/NathanBLawrence/status/987124179408482307", "987124179408482307")</f>
        <v/>
      </c>
      <c r="B2432" s="2" t="n">
        <v>43210.01525462963</v>
      </c>
      <c r="C2432" t="n">
        <v>0</v>
      </c>
      <c r="D2432" t="n">
        <v>5</v>
      </c>
      <c r="E2432" t="s">
        <v>2424</v>
      </c>
      <c r="F2432" t="s"/>
      <c r="G2432" t="s"/>
      <c r="H2432" t="s"/>
      <c r="I2432" t="s"/>
      <c r="J2432" t="n">
        <v>0</v>
      </c>
      <c r="K2432" t="n">
        <v>0</v>
      </c>
      <c r="L2432" t="n">
        <v>1</v>
      </c>
      <c r="M2432" t="n">
        <v>0</v>
      </c>
    </row>
    <row r="2433" spans="1:13">
      <c r="A2433" s="1">
        <f>HYPERLINK("http://www.twitter.com/NathanBLawrence/status/987124140590104576", "987124140590104576")</f>
        <v/>
      </c>
      <c r="B2433" s="2" t="n">
        <v>43210.01515046296</v>
      </c>
      <c r="C2433" t="n">
        <v>0</v>
      </c>
      <c r="D2433" t="n">
        <v>7</v>
      </c>
      <c r="E2433" t="s">
        <v>2425</v>
      </c>
      <c r="F2433" t="s"/>
      <c r="G2433" t="s"/>
      <c r="H2433" t="s"/>
      <c r="I2433" t="s"/>
      <c r="J2433" t="n">
        <v>0</v>
      </c>
      <c r="K2433" t="n">
        <v>0</v>
      </c>
      <c r="L2433" t="n">
        <v>1</v>
      </c>
      <c r="M2433" t="n">
        <v>0</v>
      </c>
    </row>
    <row r="2434" spans="1:13">
      <c r="A2434" s="1">
        <f>HYPERLINK("http://www.twitter.com/NathanBLawrence/status/987122504429916160", "987122504429916160")</f>
        <v/>
      </c>
      <c r="B2434" s="2" t="n">
        <v>43210.01063657407</v>
      </c>
      <c r="C2434" t="n">
        <v>0</v>
      </c>
      <c r="D2434" t="n">
        <v>7</v>
      </c>
      <c r="E2434" t="s">
        <v>2426</v>
      </c>
      <c r="F2434" t="s"/>
      <c r="G2434" t="s"/>
      <c r="H2434" t="s"/>
      <c r="I2434" t="s"/>
      <c r="J2434" t="n">
        <v>0.168</v>
      </c>
      <c r="K2434" t="n">
        <v>0.092</v>
      </c>
      <c r="L2434" t="n">
        <v>0.787</v>
      </c>
      <c r="M2434" t="n">
        <v>0.121</v>
      </c>
    </row>
    <row r="2435" spans="1:13">
      <c r="A2435" s="1">
        <f>HYPERLINK("http://www.twitter.com/NathanBLawrence/status/987122464961462272", "987122464961462272")</f>
        <v/>
      </c>
      <c r="B2435" s="2" t="n">
        <v>43210.01053240741</v>
      </c>
      <c r="C2435" t="n">
        <v>0</v>
      </c>
      <c r="D2435" t="n">
        <v>6</v>
      </c>
      <c r="E2435" t="s">
        <v>2427</v>
      </c>
      <c r="F2435" t="s"/>
      <c r="G2435" t="s"/>
      <c r="H2435" t="s"/>
      <c r="I2435" t="s"/>
      <c r="J2435" t="n">
        <v>-0.0772</v>
      </c>
      <c r="K2435" t="n">
        <v>0.08400000000000001</v>
      </c>
      <c r="L2435" t="n">
        <v>0.843</v>
      </c>
      <c r="M2435" t="n">
        <v>0.073</v>
      </c>
    </row>
    <row r="2436" spans="1:13">
      <c r="A2436" s="1">
        <f>HYPERLINK("http://www.twitter.com/NathanBLawrence/status/987121314040373248", "987121314040373248")</f>
        <v/>
      </c>
      <c r="B2436" s="2" t="n">
        <v>43210.00734953704</v>
      </c>
      <c r="C2436" t="n">
        <v>0</v>
      </c>
      <c r="D2436" t="n">
        <v>7</v>
      </c>
      <c r="E2436" t="s">
        <v>2428</v>
      </c>
      <c r="F2436">
        <f>HYPERLINK("http://pbs.twimg.com/media/DbL03uyXUAImbA1.jpg", "http://pbs.twimg.com/media/DbL03uyXUAImbA1.jpg")</f>
        <v/>
      </c>
      <c r="G2436" t="s"/>
      <c r="H2436" t="s"/>
      <c r="I2436" t="s"/>
      <c r="J2436" t="n">
        <v>-0.4588</v>
      </c>
      <c r="K2436" t="n">
        <v>0.157</v>
      </c>
      <c r="L2436" t="n">
        <v>0.784</v>
      </c>
      <c r="M2436" t="n">
        <v>0.059</v>
      </c>
    </row>
    <row r="2437" spans="1:13">
      <c r="A2437" s="1">
        <f>HYPERLINK("http://www.twitter.com/NathanBLawrence/status/987121294083846144", "987121294083846144")</f>
        <v/>
      </c>
      <c r="B2437" s="2" t="n">
        <v>43210.00729166667</v>
      </c>
      <c r="C2437" t="n">
        <v>0</v>
      </c>
      <c r="D2437" t="n">
        <v>8</v>
      </c>
      <c r="E2437" t="s">
        <v>2429</v>
      </c>
      <c r="F2437" t="s"/>
      <c r="G2437" t="s"/>
      <c r="H2437" t="s"/>
      <c r="I2437" t="s"/>
      <c r="J2437" t="n">
        <v>-0.8519</v>
      </c>
      <c r="K2437" t="n">
        <v>0.288</v>
      </c>
      <c r="L2437" t="n">
        <v>0.712</v>
      </c>
      <c r="M2437" t="n">
        <v>0</v>
      </c>
    </row>
    <row r="2438" spans="1:13">
      <c r="A2438" s="1">
        <f>HYPERLINK("http://www.twitter.com/NathanBLawrence/status/987119927072116736", "987119927072116736")</f>
        <v/>
      </c>
      <c r="B2438" s="2" t="n">
        <v>43210.0035300926</v>
      </c>
      <c r="C2438" t="n">
        <v>0</v>
      </c>
      <c r="D2438" t="n">
        <v>4</v>
      </c>
      <c r="E2438" t="s">
        <v>2430</v>
      </c>
      <c r="F2438" t="s"/>
      <c r="G2438" t="s"/>
      <c r="H2438" t="s"/>
      <c r="I2438" t="s"/>
      <c r="J2438" t="n">
        <v>0</v>
      </c>
      <c r="K2438" t="n">
        <v>0</v>
      </c>
      <c r="L2438" t="n">
        <v>1</v>
      </c>
      <c r="M2438" t="n">
        <v>0</v>
      </c>
    </row>
    <row r="2439" spans="1:13">
      <c r="A2439" s="1">
        <f>HYPERLINK("http://www.twitter.com/NathanBLawrence/status/987119867634569217", "987119867634569217")</f>
        <v/>
      </c>
      <c r="B2439" s="2" t="n">
        <v>43210.00335648148</v>
      </c>
      <c r="C2439" t="n">
        <v>0</v>
      </c>
      <c r="D2439" t="n">
        <v>8</v>
      </c>
      <c r="E2439" t="s">
        <v>2431</v>
      </c>
      <c r="F2439" t="s"/>
      <c r="G2439" t="s"/>
      <c r="H2439" t="s"/>
      <c r="I2439" t="s"/>
      <c r="J2439" t="n">
        <v>0</v>
      </c>
      <c r="K2439" t="n">
        <v>0</v>
      </c>
      <c r="L2439" t="n">
        <v>1</v>
      </c>
      <c r="M2439" t="n">
        <v>0</v>
      </c>
    </row>
    <row r="2440" spans="1:13">
      <c r="A2440" s="1">
        <f>HYPERLINK("http://www.twitter.com/NathanBLawrence/status/987119856121253888", "987119856121253888")</f>
        <v/>
      </c>
      <c r="B2440" s="2" t="n">
        <v>43210.00333333333</v>
      </c>
      <c r="C2440" t="n">
        <v>0</v>
      </c>
      <c r="D2440" t="n">
        <v>5</v>
      </c>
      <c r="E2440" t="s">
        <v>2432</v>
      </c>
      <c r="F2440" t="s"/>
      <c r="G2440" t="s"/>
      <c r="H2440" t="s"/>
      <c r="I2440" t="s"/>
      <c r="J2440" t="n">
        <v>-0.6705</v>
      </c>
      <c r="K2440" t="n">
        <v>0.234</v>
      </c>
      <c r="L2440" t="n">
        <v>0.766</v>
      </c>
      <c r="M2440" t="n">
        <v>0</v>
      </c>
    </row>
    <row r="2441" spans="1:13">
      <c r="A2441" s="1">
        <f>HYPERLINK("http://www.twitter.com/NathanBLawrence/status/987119834474332160", "987119834474332160")</f>
        <v/>
      </c>
      <c r="B2441" s="2" t="n">
        <v>43210.00326388889</v>
      </c>
      <c r="C2441" t="n">
        <v>0</v>
      </c>
      <c r="D2441" t="n">
        <v>6</v>
      </c>
      <c r="E2441" t="s">
        <v>2433</v>
      </c>
      <c r="F2441">
        <f>HYPERLINK("http://pbs.twimg.com/media/DbLv6xbXcAYX2xw.jpg", "http://pbs.twimg.com/media/DbLv6xbXcAYX2xw.jpg")</f>
        <v/>
      </c>
      <c r="G2441" t="s"/>
      <c r="H2441" t="s"/>
      <c r="I2441" t="s"/>
      <c r="J2441" t="n">
        <v>0</v>
      </c>
      <c r="K2441" t="n">
        <v>0</v>
      </c>
      <c r="L2441" t="n">
        <v>1</v>
      </c>
      <c r="M2441" t="n">
        <v>0</v>
      </c>
    </row>
    <row r="2442" spans="1:13">
      <c r="A2442" s="1">
        <f>HYPERLINK("http://www.twitter.com/NathanBLawrence/status/987119775770869761", "987119775770869761")</f>
        <v/>
      </c>
      <c r="B2442" s="2" t="n">
        <v>43210.00310185185</v>
      </c>
      <c r="C2442" t="n">
        <v>0</v>
      </c>
      <c r="D2442" t="n">
        <v>10</v>
      </c>
      <c r="E2442" t="s">
        <v>2429</v>
      </c>
      <c r="F2442" t="s"/>
      <c r="G2442" t="s"/>
      <c r="H2442" t="s"/>
      <c r="I2442" t="s"/>
      <c r="J2442" t="n">
        <v>-0.8519</v>
      </c>
      <c r="K2442" t="n">
        <v>0.288</v>
      </c>
      <c r="L2442" t="n">
        <v>0.712</v>
      </c>
      <c r="M2442" t="n">
        <v>0</v>
      </c>
    </row>
    <row r="2443" spans="1:13">
      <c r="A2443" s="1">
        <f>HYPERLINK("http://www.twitter.com/NathanBLawrence/status/987119757483827206", "987119757483827206")</f>
        <v/>
      </c>
      <c r="B2443" s="2" t="n">
        <v>43210.00305555556</v>
      </c>
      <c r="C2443" t="n">
        <v>0</v>
      </c>
      <c r="D2443" t="n">
        <v>7</v>
      </c>
      <c r="E2443" t="s">
        <v>2434</v>
      </c>
      <c r="F2443" t="s"/>
      <c r="G2443" t="s"/>
      <c r="H2443" t="s"/>
      <c r="I2443" t="s"/>
      <c r="J2443" t="n">
        <v>-0.8777</v>
      </c>
      <c r="K2443" t="n">
        <v>0.384</v>
      </c>
      <c r="L2443" t="n">
        <v>0.573</v>
      </c>
      <c r="M2443" t="n">
        <v>0.044</v>
      </c>
    </row>
    <row r="2444" spans="1:13">
      <c r="A2444" s="1">
        <f>HYPERLINK("http://www.twitter.com/NathanBLawrence/status/987119739053977600", "987119739053977600")</f>
        <v/>
      </c>
      <c r="B2444" s="2" t="n">
        <v>43210.00300925926</v>
      </c>
      <c r="C2444" t="n">
        <v>0</v>
      </c>
      <c r="D2444" t="n">
        <v>6</v>
      </c>
      <c r="E2444" t="s">
        <v>2435</v>
      </c>
      <c r="F2444">
        <f>HYPERLINK("http://pbs.twimg.com/media/DbLmHBmW4AAVSYL.jpg", "http://pbs.twimg.com/media/DbLmHBmW4AAVSYL.jpg")</f>
        <v/>
      </c>
      <c r="G2444" t="s"/>
      <c r="H2444" t="s"/>
      <c r="I2444" t="s"/>
      <c r="J2444" t="n">
        <v>-0.5707</v>
      </c>
      <c r="K2444" t="n">
        <v>0.251</v>
      </c>
      <c r="L2444" t="n">
        <v>0.749</v>
      </c>
      <c r="M2444" t="n">
        <v>0</v>
      </c>
    </row>
    <row r="2445" spans="1:13">
      <c r="A2445" s="1">
        <f>HYPERLINK("http://www.twitter.com/NathanBLawrence/status/987119404256198656", "987119404256198656")</f>
        <v/>
      </c>
      <c r="B2445" s="2" t="n">
        <v>43210.00208333333</v>
      </c>
      <c r="C2445" t="n">
        <v>0</v>
      </c>
      <c r="D2445" t="n">
        <v>0</v>
      </c>
      <c r="E2445" t="s">
        <v>2436</v>
      </c>
      <c r="F2445" t="s"/>
      <c r="G2445" t="s"/>
      <c r="H2445" t="s"/>
      <c r="I2445" t="s"/>
      <c r="J2445" t="n">
        <v>-0.4939</v>
      </c>
      <c r="K2445" t="n">
        <v>0.261</v>
      </c>
      <c r="L2445" t="n">
        <v>0.619</v>
      </c>
      <c r="M2445" t="n">
        <v>0.119</v>
      </c>
    </row>
    <row r="2446" spans="1:13">
      <c r="A2446" s="1">
        <f>HYPERLINK("http://www.twitter.com/NathanBLawrence/status/987119247523565568", "987119247523565568")</f>
        <v/>
      </c>
      <c r="B2446" s="2" t="n">
        <v>43210.00165509259</v>
      </c>
      <c r="C2446" t="n">
        <v>0</v>
      </c>
      <c r="D2446" t="n">
        <v>4</v>
      </c>
      <c r="E2446" t="s">
        <v>2437</v>
      </c>
      <c r="F2446">
        <f>HYPERLINK("http://pbs.twimg.com/media/DbLpFKkXcAAdVU7.jpg", "http://pbs.twimg.com/media/DbLpFKkXcAAdVU7.jpg")</f>
        <v/>
      </c>
      <c r="G2446" t="s"/>
      <c r="H2446" t="s"/>
      <c r="I2446" t="s"/>
      <c r="J2446" t="n">
        <v>-0.5266999999999999</v>
      </c>
      <c r="K2446" t="n">
        <v>0.167</v>
      </c>
      <c r="L2446" t="n">
        <v>0.833</v>
      </c>
      <c r="M2446" t="n">
        <v>0</v>
      </c>
    </row>
    <row r="2447" spans="1:13">
      <c r="A2447" s="1">
        <f>HYPERLINK("http://www.twitter.com/NathanBLawrence/status/987119234198196224", "987119234198196224")</f>
        <v/>
      </c>
      <c r="B2447" s="2" t="n">
        <v>43210.00160879629</v>
      </c>
      <c r="C2447" t="n">
        <v>0</v>
      </c>
      <c r="D2447" t="n">
        <v>10</v>
      </c>
      <c r="E2447" t="s">
        <v>2438</v>
      </c>
      <c r="F2447">
        <f>HYPERLINK("http://pbs.twimg.com/media/DbLlNliW4AEvU92.jpg", "http://pbs.twimg.com/media/DbLlNliW4AEvU92.jpg")</f>
        <v/>
      </c>
      <c r="G2447">
        <f>HYPERLINK("http://pbs.twimg.com/media/DbLlOFkXkAAv0Aq.jpg", "http://pbs.twimg.com/media/DbLlOFkXkAAv0Aq.jpg")</f>
        <v/>
      </c>
      <c r="H2447">
        <f>HYPERLINK("http://pbs.twimg.com/media/DbLlO2MX0AASxRX.jpg", "http://pbs.twimg.com/media/DbLlO2MX0AASxRX.jpg")</f>
        <v/>
      </c>
      <c r="I2447">
        <f>HYPERLINK("http://pbs.twimg.com/media/DbLlPhaXUAEZJTw.jpg", "http://pbs.twimg.com/media/DbLlPhaXUAEZJTw.jpg")</f>
        <v/>
      </c>
      <c r="J2447" t="n">
        <v>-0.5266999999999999</v>
      </c>
      <c r="K2447" t="n">
        <v>0.227</v>
      </c>
      <c r="L2447" t="n">
        <v>0.773</v>
      </c>
      <c r="M2447" t="n">
        <v>0</v>
      </c>
    </row>
    <row r="2448" spans="1:13">
      <c r="A2448" s="1">
        <f>HYPERLINK("http://www.twitter.com/NathanBLawrence/status/987119208000557056", "987119208000557056")</f>
        <v/>
      </c>
      <c r="B2448" s="2" t="n">
        <v>43210.00153935186</v>
      </c>
      <c r="C2448" t="n">
        <v>0</v>
      </c>
      <c r="D2448" t="n">
        <v>6</v>
      </c>
      <c r="E2448" t="s">
        <v>2439</v>
      </c>
      <c r="F2448">
        <f>HYPERLINK("http://pbs.twimg.com/media/DbLheyuXcAE-uTT.jpg", "http://pbs.twimg.com/media/DbLheyuXcAE-uTT.jpg")</f>
        <v/>
      </c>
      <c r="G2448" t="s"/>
      <c r="H2448" t="s"/>
      <c r="I2448" t="s"/>
      <c r="J2448" t="n">
        <v>-0.8411999999999999</v>
      </c>
      <c r="K2448" t="n">
        <v>0.347</v>
      </c>
      <c r="L2448" t="n">
        <v>0.653</v>
      </c>
      <c r="M2448" t="n">
        <v>0</v>
      </c>
    </row>
    <row r="2449" spans="1:13">
      <c r="A2449" s="1">
        <f>HYPERLINK("http://www.twitter.com/NathanBLawrence/status/987119175201099776", "987119175201099776")</f>
        <v/>
      </c>
      <c r="B2449" s="2" t="n">
        <v>43210.00144675926</v>
      </c>
      <c r="C2449" t="n">
        <v>0</v>
      </c>
      <c r="D2449" t="n">
        <v>9</v>
      </c>
      <c r="E2449" t="s">
        <v>2440</v>
      </c>
      <c r="F2449">
        <f>HYPERLINK("http://pbs.twimg.com/media/DbLoWDIWsAEfnWd.jpg", "http://pbs.twimg.com/media/DbLoWDIWsAEfnWd.jpg")</f>
        <v/>
      </c>
      <c r="G2449" t="s"/>
      <c r="H2449" t="s"/>
      <c r="I2449" t="s"/>
      <c r="J2449" t="n">
        <v>0.0258</v>
      </c>
      <c r="K2449" t="n">
        <v>0.189</v>
      </c>
      <c r="L2449" t="n">
        <v>0.617</v>
      </c>
      <c r="M2449" t="n">
        <v>0.193</v>
      </c>
    </row>
    <row r="2450" spans="1:13">
      <c r="A2450" s="1">
        <f>HYPERLINK("http://www.twitter.com/NathanBLawrence/status/987119144268124160", "987119144268124160")</f>
        <v/>
      </c>
      <c r="B2450" s="2" t="n">
        <v>43210.00136574074</v>
      </c>
      <c r="C2450" t="n">
        <v>0</v>
      </c>
      <c r="D2450" t="n">
        <v>9</v>
      </c>
      <c r="E2450" t="s">
        <v>2441</v>
      </c>
      <c r="F2450">
        <f>HYPERLINK("http://pbs.twimg.com/media/DbLsZC_VAAAd8eZ.jpg", "http://pbs.twimg.com/media/DbLsZC_VAAAd8eZ.jpg")</f>
        <v/>
      </c>
      <c r="G2450" t="s"/>
      <c r="H2450" t="s"/>
      <c r="I2450" t="s"/>
      <c r="J2450" t="n">
        <v>0</v>
      </c>
      <c r="K2450" t="n">
        <v>0</v>
      </c>
      <c r="L2450" t="n">
        <v>1</v>
      </c>
      <c r="M2450" t="n">
        <v>0</v>
      </c>
    </row>
    <row r="2451" spans="1:13">
      <c r="A2451" s="1">
        <f>HYPERLINK("http://www.twitter.com/NathanBLawrence/status/987119121321091073", "987119121321091073")</f>
        <v/>
      </c>
      <c r="B2451" s="2" t="n">
        <v>43210.00129629629</v>
      </c>
      <c r="C2451" t="n">
        <v>0</v>
      </c>
      <c r="D2451" t="n">
        <v>9</v>
      </c>
      <c r="E2451" t="s">
        <v>2442</v>
      </c>
      <c r="F2451">
        <f>HYPERLINK("http://pbs.twimg.com/media/DbLqMnQX4AUllLt.jpg", "http://pbs.twimg.com/media/DbLqMnQX4AUllLt.jpg")</f>
        <v/>
      </c>
      <c r="G2451" t="s"/>
      <c r="H2451" t="s"/>
      <c r="I2451" t="s"/>
      <c r="J2451" t="n">
        <v>0.3237</v>
      </c>
      <c r="K2451" t="n">
        <v>0.112</v>
      </c>
      <c r="L2451" t="n">
        <v>0.6820000000000001</v>
      </c>
      <c r="M2451" t="n">
        <v>0.206</v>
      </c>
    </row>
    <row r="2452" spans="1:13">
      <c r="A2452" s="1">
        <f>HYPERLINK("http://www.twitter.com/NathanBLawrence/status/987119080489586688", "987119080489586688")</f>
        <v/>
      </c>
      <c r="B2452" s="2" t="n">
        <v>43210.00119212963</v>
      </c>
      <c r="C2452" t="n">
        <v>0</v>
      </c>
      <c r="D2452" t="n">
        <v>8</v>
      </c>
      <c r="E2452" t="s">
        <v>2443</v>
      </c>
      <c r="F2452">
        <f>HYPERLINK("http://pbs.twimg.com/media/DbLrrntWAAAHboE.jpg", "http://pbs.twimg.com/media/DbLrrntWAAAHboE.jpg")</f>
        <v/>
      </c>
      <c r="G2452">
        <f>HYPERLINK("http://pbs.twimg.com/media/DbLrrnyXcAAmjVW.jpg", "http://pbs.twimg.com/media/DbLrrnyXcAAmjVW.jpg")</f>
        <v/>
      </c>
      <c r="H2452" t="s"/>
      <c r="I2452" t="s"/>
      <c r="J2452" t="n">
        <v>0</v>
      </c>
      <c r="K2452" t="n">
        <v>0</v>
      </c>
      <c r="L2452" t="n">
        <v>1</v>
      </c>
      <c r="M2452" t="n">
        <v>0</v>
      </c>
    </row>
    <row r="2453" spans="1:13">
      <c r="A2453" s="1">
        <f>HYPERLINK("http://www.twitter.com/NathanBLawrence/status/987119016669040641", "987119016669040641")</f>
        <v/>
      </c>
      <c r="B2453" s="2" t="n">
        <v>43210.00101851852</v>
      </c>
      <c r="C2453" t="n">
        <v>0</v>
      </c>
      <c r="D2453" t="n">
        <v>9</v>
      </c>
      <c r="E2453" t="s">
        <v>2444</v>
      </c>
      <c r="F2453">
        <f>HYPERLINK("http://pbs.twimg.com/media/DbLuajgXcAEAOOF.jpg", "http://pbs.twimg.com/media/DbLuajgXcAEAOOF.jpg")</f>
        <v/>
      </c>
      <c r="G2453" t="s"/>
      <c r="H2453" t="s"/>
      <c r="I2453" t="s"/>
      <c r="J2453" t="n">
        <v>0.3506</v>
      </c>
      <c r="K2453" t="n">
        <v>0.07199999999999999</v>
      </c>
      <c r="L2453" t="n">
        <v>0.742</v>
      </c>
      <c r="M2453" t="n">
        <v>0.186</v>
      </c>
    </row>
    <row r="2454" spans="1:13">
      <c r="A2454" s="1">
        <f>HYPERLINK("http://www.twitter.com/NathanBLawrence/status/987115873189224448", "987115873189224448")</f>
        <v/>
      </c>
      <c r="B2454" s="2" t="n">
        <v>43209.99233796296</v>
      </c>
      <c r="C2454" t="n">
        <v>3</v>
      </c>
      <c r="D2454" t="n">
        <v>2</v>
      </c>
      <c r="E2454" t="s">
        <v>2445</v>
      </c>
      <c r="F2454" t="s"/>
      <c r="G2454" t="s"/>
      <c r="H2454" t="s"/>
      <c r="I2454" t="s"/>
      <c r="J2454" t="n">
        <v>-0.3127</v>
      </c>
      <c r="K2454" t="n">
        <v>0.176</v>
      </c>
      <c r="L2454" t="n">
        <v>0.698</v>
      </c>
      <c r="M2454" t="n">
        <v>0.126</v>
      </c>
    </row>
    <row r="2455" spans="1:13">
      <c r="A2455" s="1">
        <f>HYPERLINK("http://www.twitter.com/NathanBLawrence/status/987089274695798784", "987089274695798784")</f>
        <v/>
      </c>
      <c r="B2455" s="2" t="n">
        <v>43209.91893518518</v>
      </c>
      <c r="C2455" t="n">
        <v>0</v>
      </c>
      <c r="D2455" t="n">
        <v>8902</v>
      </c>
      <c r="E2455" t="s">
        <v>2446</v>
      </c>
      <c r="F2455" t="s"/>
      <c r="G2455" t="s"/>
      <c r="H2455" t="s"/>
      <c r="I2455" t="s"/>
      <c r="J2455" t="n">
        <v>0.5574</v>
      </c>
      <c r="K2455" t="n">
        <v>0</v>
      </c>
      <c r="L2455" t="n">
        <v>0.841</v>
      </c>
      <c r="M2455" t="n">
        <v>0.159</v>
      </c>
    </row>
    <row r="2456" spans="1:13">
      <c r="A2456" s="1">
        <f>HYPERLINK("http://www.twitter.com/NathanBLawrence/status/987089254298914819", "987089254298914819")</f>
        <v/>
      </c>
      <c r="B2456" s="2" t="n">
        <v>43209.91888888889</v>
      </c>
      <c r="C2456" t="n">
        <v>0</v>
      </c>
      <c r="D2456" t="n">
        <v>1</v>
      </c>
      <c r="E2456" t="s">
        <v>2447</v>
      </c>
      <c r="F2456" t="s"/>
      <c r="G2456" t="s"/>
      <c r="H2456" t="s"/>
      <c r="I2456" t="s"/>
      <c r="J2456" t="n">
        <v>0</v>
      </c>
      <c r="K2456" t="n">
        <v>0</v>
      </c>
      <c r="L2456" t="n">
        <v>1</v>
      </c>
      <c r="M2456" t="n">
        <v>0</v>
      </c>
    </row>
    <row r="2457" spans="1:13">
      <c r="A2457" s="1">
        <f>HYPERLINK("http://www.twitter.com/NathanBLawrence/status/987089244752695298", "987089244752695298")</f>
        <v/>
      </c>
      <c r="B2457" s="2" t="n">
        <v>43209.91885416667</v>
      </c>
      <c r="C2457" t="n">
        <v>0</v>
      </c>
      <c r="D2457" t="n">
        <v>1</v>
      </c>
      <c r="E2457" t="s">
        <v>2448</v>
      </c>
      <c r="F2457" t="s"/>
      <c r="G2457" t="s"/>
      <c r="H2457" t="s"/>
      <c r="I2457" t="s"/>
      <c r="J2457" t="n">
        <v>0.4767</v>
      </c>
      <c r="K2457" t="n">
        <v>0</v>
      </c>
      <c r="L2457" t="n">
        <v>0.617</v>
      </c>
      <c r="M2457" t="n">
        <v>0.383</v>
      </c>
    </row>
    <row r="2458" spans="1:13">
      <c r="A2458" s="1">
        <f>HYPERLINK("http://www.twitter.com/NathanBLawrence/status/987089108358107141", "987089108358107141")</f>
        <v/>
      </c>
      <c r="B2458" s="2" t="n">
        <v>43209.9184837963</v>
      </c>
      <c r="C2458" t="n">
        <v>0</v>
      </c>
      <c r="D2458" t="n">
        <v>2280</v>
      </c>
      <c r="E2458" t="s">
        <v>2449</v>
      </c>
      <c r="F2458" t="s"/>
      <c r="G2458" t="s"/>
      <c r="H2458" t="s"/>
      <c r="I2458" t="s"/>
      <c r="J2458" t="n">
        <v>-0.0258</v>
      </c>
      <c r="K2458" t="n">
        <v>0.048</v>
      </c>
      <c r="L2458" t="n">
        <v>0.952</v>
      </c>
      <c r="M2458" t="n">
        <v>0</v>
      </c>
    </row>
    <row r="2459" spans="1:13">
      <c r="A2459" s="1">
        <f>HYPERLINK("http://www.twitter.com/NathanBLawrence/status/987089096408432647", "987089096408432647")</f>
        <v/>
      </c>
      <c r="B2459" s="2" t="n">
        <v>43209.91844907407</v>
      </c>
      <c r="C2459" t="n">
        <v>0</v>
      </c>
      <c r="D2459" t="n">
        <v>40205</v>
      </c>
      <c r="E2459" t="s">
        <v>2450</v>
      </c>
      <c r="F2459" t="s"/>
      <c r="G2459" t="s"/>
      <c r="H2459" t="s"/>
      <c r="I2459" t="s"/>
      <c r="J2459" t="n">
        <v>0</v>
      </c>
      <c r="K2459" t="n">
        <v>0</v>
      </c>
      <c r="L2459" t="n">
        <v>1</v>
      </c>
      <c r="M2459" t="n">
        <v>0</v>
      </c>
    </row>
    <row r="2460" spans="1:13">
      <c r="A2460" s="1">
        <f>HYPERLINK("http://www.twitter.com/NathanBLawrence/status/987089083330715648", "987089083330715648")</f>
        <v/>
      </c>
      <c r="B2460" s="2" t="n">
        <v>43209.91841435185</v>
      </c>
      <c r="C2460" t="n">
        <v>0</v>
      </c>
      <c r="D2460" t="n">
        <v>11</v>
      </c>
      <c r="E2460" t="s">
        <v>2451</v>
      </c>
      <c r="F2460" t="s"/>
      <c r="G2460" t="s"/>
      <c r="H2460" t="s"/>
      <c r="I2460" t="s"/>
      <c r="J2460" t="n">
        <v>0.0772</v>
      </c>
      <c r="K2460" t="n">
        <v>0.1</v>
      </c>
      <c r="L2460" t="n">
        <v>0.788</v>
      </c>
      <c r="M2460" t="n">
        <v>0.112</v>
      </c>
    </row>
    <row r="2461" spans="1:13">
      <c r="A2461" s="1">
        <f>HYPERLINK("http://www.twitter.com/NathanBLawrence/status/987089053089783808", "987089053089783808")</f>
        <v/>
      </c>
      <c r="B2461" s="2" t="n">
        <v>43209.91833333333</v>
      </c>
      <c r="C2461" t="n">
        <v>0</v>
      </c>
      <c r="D2461" t="n">
        <v>408</v>
      </c>
      <c r="E2461" t="s">
        <v>2452</v>
      </c>
      <c r="F2461" t="s"/>
      <c r="G2461" t="s"/>
      <c r="H2461" t="s"/>
      <c r="I2461" t="s"/>
      <c r="J2461" t="n">
        <v>0.6369</v>
      </c>
      <c r="K2461" t="n">
        <v>0</v>
      </c>
      <c r="L2461" t="n">
        <v>0.792</v>
      </c>
      <c r="M2461" t="n">
        <v>0.208</v>
      </c>
    </row>
    <row r="2462" spans="1:13">
      <c r="A2462" s="1">
        <f>HYPERLINK("http://www.twitter.com/NathanBLawrence/status/987089004746207233", "987089004746207233")</f>
        <v/>
      </c>
      <c r="B2462" s="2" t="n">
        <v>43209.91819444444</v>
      </c>
      <c r="C2462" t="n">
        <v>0</v>
      </c>
      <c r="D2462" t="n">
        <v>38</v>
      </c>
      <c r="E2462" t="s">
        <v>2453</v>
      </c>
      <c r="F2462" t="s"/>
      <c r="G2462" t="s"/>
      <c r="H2462" t="s"/>
      <c r="I2462" t="s"/>
      <c r="J2462" t="n">
        <v>0.5423</v>
      </c>
      <c r="K2462" t="n">
        <v>0</v>
      </c>
      <c r="L2462" t="n">
        <v>0.632</v>
      </c>
      <c r="M2462" t="n">
        <v>0.368</v>
      </c>
    </row>
    <row r="2463" spans="1:13">
      <c r="A2463" s="1">
        <f>HYPERLINK("http://www.twitter.com/NathanBLawrence/status/987071574791671808", "987071574791671808")</f>
        <v/>
      </c>
      <c r="B2463" s="2" t="n">
        <v>43209.8700925926</v>
      </c>
      <c r="C2463" t="n">
        <v>0</v>
      </c>
      <c r="D2463" t="n">
        <v>3</v>
      </c>
      <c r="E2463" t="s">
        <v>2454</v>
      </c>
      <c r="F2463" t="s"/>
      <c r="G2463" t="s"/>
      <c r="H2463" t="s"/>
      <c r="I2463" t="s"/>
      <c r="J2463" t="n">
        <v>0.5859</v>
      </c>
      <c r="K2463" t="n">
        <v>0</v>
      </c>
      <c r="L2463" t="n">
        <v>0.863</v>
      </c>
      <c r="M2463" t="n">
        <v>0.137</v>
      </c>
    </row>
    <row r="2464" spans="1:13">
      <c r="A2464" s="1">
        <f>HYPERLINK("http://www.twitter.com/NathanBLawrence/status/987067746541363201", "987067746541363201")</f>
        <v/>
      </c>
      <c r="B2464" s="2" t="n">
        <v>43209.85953703704</v>
      </c>
      <c r="C2464" t="n">
        <v>4</v>
      </c>
      <c r="D2464" t="n">
        <v>3</v>
      </c>
      <c r="E2464" t="s">
        <v>2455</v>
      </c>
      <c r="F2464" t="s"/>
      <c r="G2464" t="s"/>
      <c r="H2464" t="s"/>
      <c r="I2464" t="s"/>
      <c r="J2464" t="n">
        <v>0.7717000000000001</v>
      </c>
      <c r="K2464" t="n">
        <v>0</v>
      </c>
      <c r="L2464" t="n">
        <v>0.835</v>
      </c>
      <c r="M2464" t="n">
        <v>0.165</v>
      </c>
    </row>
    <row r="2465" spans="1:13">
      <c r="A2465" s="1">
        <f>HYPERLINK("http://www.twitter.com/NathanBLawrence/status/987066988840345600", "987066988840345600")</f>
        <v/>
      </c>
      <c r="B2465" s="2" t="n">
        <v>43209.85744212963</v>
      </c>
      <c r="C2465" t="n">
        <v>2</v>
      </c>
      <c r="D2465" t="n">
        <v>0</v>
      </c>
      <c r="E2465" t="s">
        <v>2456</v>
      </c>
      <c r="F2465" t="s"/>
      <c r="G2465" t="s"/>
      <c r="H2465" t="s"/>
      <c r="I2465" t="s"/>
      <c r="J2465" t="n">
        <v>-0.0451</v>
      </c>
      <c r="K2465" t="n">
        <v>0.104</v>
      </c>
      <c r="L2465" t="n">
        <v>0.798</v>
      </c>
      <c r="M2465" t="n">
        <v>0.098</v>
      </c>
    </row>
    <row r="2466" spans="1:13">
      <c r="A2466" s="1">
        <f>HYPERLINK("http://www.twitter.com/NathanBLawrence/status/987066683029377024", "987066683029377024")</f>
        <v/>
      </c>
      <c r="B2466" s="2" t="n">
        <v>43209.85659722222</v>
      </c>
      <c r="C2466" t="n">
        <v>0</v>
      </c>
      <c r="D2466" t="n">
        <v>8</v>
      </c>
      <c r="E2466" t="s">
        <v>2457</v>
      </c>
      <c r="F2466">
        <f>HYPERLINK("http://pbs.twimg.com/media/DbJu3DzVQAAYkRv.jpg", "http://pbs.twimg.com/media/DbJu3DzVQAAYkRv.jpg")</f>
        <v/>
      </c>
      <c r="G2466" t="s"/>
      <c r="H2466" t="s"/>
      <c r="I2466" t="s"/>
      <c r="J2466" t="n">
        <v>0</v>
      </c>
      <c r="K2466" t="n">
        <v>0</v>
      </c>
      <c r="L2466" t="n">
        <v>1</v>
      </c>
      <c r="M2466" t="n">
        <v>0</v>
      </c>
    </row>
    <row r="2467" spans="1:13">
      <c r="A2467" s="1">
        <f>HYPERLINK("http://www.twitter.com/NathanBLawrence/status/987065926771146758", "987065926771146758")</f>
        <v/>
      </c>
      <c r="B2467" s="2" t="n">
        <v>43209.85451388889</v>
      </c>
      <c r="C2467" t="n">
        <v>0</v>
      </c>
      <c r="D2467" t="n">
        <v>3</v>
      </c>
      <c r="E2467" t="s">
        <v>2458</v>
      </c>
      <c r="F2467" t="s"/>
      <c r="G2467" t="s"/>
      <c r="H2467" t="s"/>
      <c r="I2467" t="s"/>
      <c r="J2467" t="n">
        <v>0</v>
      </c>
      <c r="K2467" t="n">
        <v>0</v>
      </c>
      <c r="L2467" t="n">
        <v>1</v>
      </c>
      <c r="M2467" t="n">
        <v>0</v>
      </c>
    </row>
    <row r="2468" spans="1:13">
      <c r="A2468" s="1">
        <f>HYPERLINK("http://www.twitter.com/NathanBLawrence/status/987065519273541634", "987065519273541634")</f>
        <v/>
      </c>
      <c r="B2468" s="2" t="n">
        <v>43209.8533912037</v>
      </c>
      <c r="C2468" t="n">
        <v>0</v>
      </c>
      <c r="D2468" t="n">
        <v>10</v>
      </c>
      <c r="E2468" t="s">
        <v>2227</v>
      </c>
      <c r="F2468" t="s"/>
      <c r="G2468" t="s"/>
      <c r="H2468" t="s"/>
      <c r="I2468" t="s"/>
      <c r="J2468" t="n">
        <v>-0.8070000000000001</v>
      </c>
      <c r="K2468" t="n">
        <v>0.328</v>
      </c>
      <c r="L2468" t="n">
        <v>0.672</v>
      </c>
      <c r="M2468" t="n">
        <v>0</v>
      </c>
    </row>
    <row r="2469" spans="1:13">
      <c r="A2469" s="1">
        <f>HYPERLINK("http://www.twitter.com/NathanBLawrence/status/987065509135994880", "987065509135994880")</f>
        <v/>
      </c>
      <c r="B2469" s="2" t="n">
        <v>43209.85335648148</v>
      </c>
      <c r="C2469" t="n">
        <v>0</v>
      </c>
      <c r="D2469" t="n">
        <v>4</v>
      </c>
      <c r="E2469" t="s">
        <v>2459</v>
      </c>
      <c r="F2469" t="s"/>
      <c r="G2469" t="s"/>
      <c r="H2469" t="s"/>
      <c r="I2469" t="s"/>
      <c r="J2469" t="n">
        <v>-0.5719</v>
      </c>
      <c r="K2469" t="n">
        <v>0.27</v>
      </c>
      <c r="L2469" t="n">
        <v>0.73</v>
      </c>
      <c r="M2469" t="n">
        <v>0</v>
      </c>
    </row>
    <row r="2470" spans="1:13">
      <c r="A2470" s="1">
        <f>HYPERLINK("http://www.twitter.com/NathanBLawrence/status/987065498247614465", "987065498247614465")</f>
        <v/>
      </c>
      <c r="B2470" s="2" t="n">
        <v>43209.85333333333</v>
      </c>
      <c r="C2470" t="n">
        <v>0</v>
      </c>
      <c r="D2470" t="n">
        <v>7</v>
      </c>
      <c r="E2470" t="s">
        <v>2460</v>
      </c>
      <c r="F2470" t="s"/>
      <c r="G2470" t="s"/>
      <c r="H2470" t="s"/>
      <c r="I2470" t="s"/>
      <c r="J2470" t="n">
        <v>0.5063</v>
      </c>
      <c r="K2470" t="n">
        <v>0.07199999999999999</v>
      </c>
      <c r="L2470" t="n">
        <v>0.729</v>
      </c>
      <c r="M2470" t="n">
        <v>0.198</v>
      </c>
    </row>
    <row r="2471" spans="1:13">
      <c r="A2471" s="1">
        <f>HYPERLINK("http://www.twitter.com/NathanBLawrence/status/987065465351622656", "987065465351622656")</f>
        <v/>
      </c>
      <c r="B2471" s="2" t="n">
        <v>43209.85324074074</v>
      </c>
      <c r="C2471" t="n">
        <v>0</v>
      </c>
      <c r="D2471" t="n">
        <v>7</v>
      </c>
      <c r="E2471" t="s">
        <v>2461</v>
      </c>
      <c r="F2471" t="s"/>
      <c r="G2471" t="s"/>
      <c r="H2471" t="s"/>
      <c r="I2471" t="s"/>
      <c r="J2471" t="n">
        <v>-0.3802</v>
      </c>
      <c r="K2471" t="n">
        <v>0.178</v>
      </c>
      <c r="L2471" t="n">
        <v>0.822</v>
      </c>
      <c r="M2471" t="n">
        <v>0</v>
      </c>
    </row>
    <row r="2472" spans="1:13">
      <c r="A2472" s="1">
        <f>HYPERLINK("http://www.twitter.com/NathanBLawrence/status/987065429393895424", "987065429393895424")</f>
        <v/>
      </c>
      <c r="B2472" s="2" t="n">
        <v>43209.85313657407</v>
      </c>
      <c r="C2472" t="n">
        <v>0</v>
      </c>
      <c r="D2472" t="n">
        <v>17</v>
      </c>
      <c r="E2472" t="s">
        <v>2439</v>
      </c>
      <c r="F2472">
        <f>HYPERLINK("http://pbs.twimg.com/media/DbLAcxfWkAAohV2.jpg", "http://pbs.twimg.com/media/DbLAcxfWkAAohV2.jpg")</f>
        <v/>
      </c>
      <c r="G2472" t="s"/>
      <c r="H2472" t="s"/>
      <c r="I2472" t="s"/>
      <c r="J2472" t="n">
        <v>-0.8411999999999999</v>
      </c>
      <c r="K2472" t="n">
        <v>0.347</v>
      </c>
      <c r="L2472" t="n">
        <v>0.653</v>
      </c>
      <c r="M2472" t="n">
        <v>0</v>
      </c>
    </row>
    <row r="2473" spans="1:13">
      <c r="A2473" s="1">
        <f>HYPERLINK("http://www.twitter.com/NathanBLawrence/status/987053823251369989", "987053823251369989")</f>
        <v/>
      </c>
      <c r="B2473" s="2" t="n">
        <v>43209.82111111111</v>
      </c>
      <c r="C2473" t="n">
        <v>0</v>
      </c>
      <c r="D2473" t="n">
        <v>6</v>
      </c>
      <c r="E2473" t="s">
        <v>2462</v>
      </c>
      <c r="F2473" t="s"/>
      <c r="G2473" t="s"/>
      <c r="H2473" t="s"/>
      <c r="I2473" t="s"/>
      <c r="J2473" t="n">
        <v>0.0258</v>
      </c>
      <c r="K2473" t="n">
        <v>0.1</v>
      </c>
      <c r="L2473" t="n">
        <v>0.795</v>
      </c>
      <c r="M2473" t="n">
        <v>0.105</v>
      </c>
    </row>
    <row r="2474" spans="1:13">
      <c r="A2474" s="1">
        <f>HYPERLINK("http://www.twitter.com/NathanBLawrence/status/987053770512183300", "987053770512183300")</f>
        <v/>
      </c>
      <c r="B2474" s="2" t="n">
        <v>43209.82097222222</v>
      </c>
      <c r="C2474" t="n">
        <v>7</v>
      </c>
      <c r="D2474" t="n">
        <v>3</v>
      </c>
      <c r="E2474" t="s">
        <v>2463</v>
      </c>
      <c r="F2474" t="s"/>
      <c r="G2474" t="s"/>
      <c r="H2474" t="s"/>
      <c r="I2474" t="s"/>
      <c r="J2474" t="n">
        <v>0.8074</v>
      </c>
      <c r="K2474" t="n">
        <v>0</v>
      </c>
      <c r="L2474" t="n">
        <v>0.804</v>
      </c>
      <c r="M2474" t="n">
        <v>0.196</v>
      </c>
    </row>
    <row r="2475" spans="1:13">
      <c r="A2475" s="1">
        <f>HYPERLINK("http://www.twitter.com/NathanBLawrence/status/987053274858704897", "987053274858704897")</f>
        <v/>
      </c>
      <c r="B2475" s="2" t="n">
        <v>43209.81959490741</v>
      </c>
      <c r="C2475" t="n">
        <v>0</v>
      </c>
      <c r="D2475" t="n">
        <v>12</v>
      </c>
      <c r="E2475" t="s">
        <v>2464</v>
      </c>
      <c r="F2475" t="s"/>
      <c r="G2475" t="s"/>
      <c r="H2475" t="s"/>
      <c r="I2475" t="s"/>
      <c r="J2475" t="n">
        <v>0.296</v>
      </c>
      <c r="K2475" t="n">
        <v>0.16</v>
      </c>
      <c r="L2475" t="n">
        <v>0.634</v>
      </c>
      <c r="M2475" t="n">
        <v>0.205</v>
      </c>
    </row>
    <row r="2476" spans="1:13">
      <c r="A2476" s="1">
        <f>HYPERLINK("http://www.twitter.com/NathanBLawrence/status/987053241769873408", "987053241769873408")</f>
        <v/>
      </c>
      <c r="B2476" s="2" t="n">
        <v>43209.81951388889</v>
      </c>
      <c r="C2476" t="n">
        <v>0</v>
      </c>
      <c r="D2476" t="n">
        <v>9</v>
      </c>
      <c r="E2476" t="s">
        <v>2465</v>
      </c>
      <c r="F2476" t="s"/>
      <c r="G2476" t="s"/>
      <c r="H2476" t="s"/>
      <c r="I2476" t="s"/>
      <c r="J2476" t="n">
        <v>0.6124000000000001</v>
      </c>
      <c r="K2476" t="n">
        <v>0</v>
      </c>
      <c r="L2476" t="n">
        <v>0.783</v>
      </c>
      <c r="M2476" t="n">
        <v>0.217</v>
      </c>
    </row>
    <row r="2477" spans="1:13">
      <c r="A2477" s="1">
        <f>HYPERLINK("http://www.twitter.com/NathanBLawrence/status/987053212279754752", "987053212279754752")</f>
        <v/>
      </c>
      <c r="B2477" s="2" t="n">
        <v>43209.81943287037</v>
      </c>
      <c r="C2477" t="n">
        <v>4</v>
      </c>
      <c r="D2477" t="n">
        <v>1</v>
      </c>
      <c r="E2477" t="s">
        <v>2466</v>
      </c>
      <c r="F2477" t="s"/>
      <c r="G2477" t="s"/>
      <c r="H2477" t="s"/>
      <c r="I2477" t="s"/>
      <c r="J2477" t="n">
        <v>0.0644</v>
      </c>
      <c r="K2477" t="n">
        <v>0.046</v>
      </c>
      <c r="L2477" t="n">
        <v>0.9</v>
      </c>
      <c r="M2477" t="n">
        <v>0.054</v>
      </c>
    </row>
    <row r="2478" spans="1:13">
      <c r="A2478" s="1">
        <f>HYPERLINK("http://www.twitter.com/NathanBLawrence/status/987052891881005057", "987052891881005057")</f>
        <v/>
      </c>
      <c r="B2478" s="2" t="n">
        <v>43209.81854166667</v>
      </c>
      <c r="C2478" t="n">
        <v>0</v>
      </c>
      <c r="D2478" t="n">
        <v>30</v>
      </c>
      <c r="E2478" t="s">
        <v>2467</v>
      </c>
      <c r="F2478" t="s"/>
      <c r="G2478" t="s"/>
      <c r="H2478" t="s"/>
      <c r="I2478" t="s"/>
      <c r="J2478" t="n">
        <v>0.128</v>
      </c>
      <c r="K2478" t="n">
        <v>0</v>
      </c>
      <c r="L2478" t="n">
        <v>0.88</v>
      </c>
      <c r="M2478" t="n">
        <v>0.12</v>
      </c>
    </row>
    <row r="2479" spans="1:13">
      <c r="A2479" s="1">
        <f>HYPERLINK("http://www.twitter.com/NathanBLawrence/status/987042329600167936", "987042329600167936")</f>
        <v/>
      </c>
      <c r="B2479" s="2" t="n">
        <v>43209.78939814815</v>
      </c>
      <c r="C2479" t="n">
        <v>0</v>
      </c>
      <c r="D2479" t="n">
        <v>1</v>
      </c>
      <c r="E2479" t="s">
        <v>2468</v>
      </c>
      <c r="F2479" t="s"/>
      <c r="G2479" t="s"/>
      <c r="H2479" t="s"/>
      <c r="I2479" t="s"/>
      <c r="J2479" t="n">
        <v>0</v>
      </c>
      <c r="K2479" t="n">
        <v>0</v>
      </c>
      <c r="L2479" t="n">
        <v>1</v>
      </c>
      <c r="M2479" t="n">
        <v>0</v>
      </c>
    </row>
    <row r="2480" spans="1:13">
      <c r="A2480" s="1">
        <f>HYPERLINK("http://www.twitter.com/NathanBLawrence/status/987036526751166467", "987036526751166467")</f>
        <v/>
      </c>
      <c r="B2480" s="2" t="n">
        <v>43209.77337962963</v>
      </c>
      <c r="C2480" t="n">
        <v>0</v>
      </c>
      <c r="D2480" t="n">
        <v>0</v>
      </c>
      <c r="E2480" t="s">
        <v>2469</v>
      </c>
      <c r="F2480" t="s"/>
      <c r="G2480" t="s"/>
      <c r="H2480" t="s"/>
      <c r="I2480" t="s"/>
      <c r="J2480" t="n">
        <v>0.6652</v>
      </c>
      <c r="K2480" t="n">
        <v>0.033</v>
      </c>
      <c r="L2480" t="n">
        <v>0.846</v>
      </c>
      <c r="M2480" t="n">
        <v>0.121</v>
      </c>
    </row>
    <row r="2481" spans="1:13">
      <c r="A2481" s="1">
        <f>HYPERLINK("http://www.twitter.com/NathanBLawrence/status/987035395484463105", "987035395484463105")</f>
        <v/>
      </c>
      <c r="B2481" s="2" t="n">
        <v>43209.7702662037</v>
      </c>
      <c r="C2481" t="n">
        <v>0</v>
      </c>
      <c r="D2481" t="n">
        <v>10</v>
      </c>
      <c r="E2481" t="s">
        <v>2470</v>
      </c>
      <c r="F2481" t="s"/>
      <c r="G2481" t="s"/>
      <c r="H2481" t="s"/>
      <c r="I2481" t="s"/>
      <c r="J2481" t="n">
        <v>-0.0258</v>
      </c>
      <c r="K2481" t="n">
        <v>0.08400000000000001</v>
      </c>
      <c r="L2481" t="n">
        <v>0.837</v>
      </c>
      <c r="M2481" t="n">
        <v>0.08</v>
      </c>
    </row>
    <row r="2482" spans="1:13">
      <c r="A2482" s="1">
        <f>HYPERLINK("http://www.twitter.com/NathanBLawrence/status/987035144769990656", "987035144769990656")</f>
        <v/>
      </c>
      <c r="B2482" s="2" t="n">
        <v>43209.76957175926</v>
      </c>
      <c r="C2482" t="n">
        <v>3</v>
      </c>
      <c r="D2482" t="n">
        <v>1</v>
      </c>
      <c r="E2482" t="s">
        <v>2471</v>
      </c>
      <c r="F2482" t="s"/>
      <c r="G2482" t="s"/>
      <c r="H2482" t="s"/>
      <c r="I2482" t="s"/>
      <c r="J2482" t="n">
        <v>0</v>
      </c>
      <c r="K2482" t="n">
        <v>0</v>
      </c>
      <c r="L2482" t="n">
        <v>1</v>
      </c>
      <c r="M2482" t="n">
        <v>0</v>
      </c>
    </row>
    <row r="2483" spans="1:13">
      <c r="A2483" s="1">
        <f>HYPERLINK("http://www.twitter.com/NathanBLawrence/status/987027502882263040", "987027502882263040")</f>
        <v/>
      </c>
      <c r="B2483" s="2" t="n">
        <v>43209.7484837963</v>
      </c>
      <c r="C2483" t="n">
        <v>14</v>
      </c>
      <c r="D2483" t="n">
        <v>10</v>
      </c>
      <c r="E2483" t="s">
        <v>2472</v>
      </c>
      <c r="F2483" t="s"/>
      <c r="G2483" t="s"/>
      <c r="H2483" t="s"/>
      <c r="I2483" t="s"/>
      <c r="J2483" t="n">
        <v>-0.0129</v>
      </c>
      <c r="K2483" t="n">
        <v>0.048</v>
      </c>
      <c r="L2483" t="n">
        <v>0.905</v>
      </c>
      <c r="M2483" t="n">
        <v>0.047</v>
      </c>
    </row>
    <row r="2484" spans="1:13">
      <c r="A2484" s="1">
        <f>HYPERLINK("http://www.twitter.com/NathanBLawrence/status/987027134077112320", "987027134077112320")</f>
        <v/>
      </c>
      <c r="B2484" s="2" t="n">
        <v>43209.74746527777</v>
      </c>
      <c r="C2484" t="n">
        <v>0</v>
      </c>
      <c r="D2484" t="n">
        <v>8</v>
      </c>
      <c r="E2484" t="s">
        <v>2473</v>
      </c>
      <c r="F2484" t="s"/>
      <c r="G2484" t="s"/>
      <c r="H2484" t="s"/>
      <c r="I2484" t="s"/>
      <c r="J2484" t="n">
        <v>0</v>
      </c>
      <c r="K2484" t="n">
        <v>0</v>
      </c>
      <c r="L2484" t="n">
        <v>1</v>
      </c>
      <c r="M2484" t="n">
        <v>0</v>
      </c>
    </row>
    <row r="2485" spans="1:13">
      <c r="A2485" s="1">
        <f>HYPERLINK("http://www.twitter.com/NathanBLawrence/status/987027076241817601", "987027076241817601")</f>
        <v/>
      </c>
      <c r="B2485" s="2" t="n">
        <v>43209.74730324074</v>
      </c>
      <c r="C2485" t="n">
        <v>0</v>
      </c>
      <c r="D2485" t="n">
        <v>0</v>
      </c>
      <c r="E2485" t="s">
        <v>2474</v>
      </c>
      <c r="F2485" t="s"/>
      <c r="G2485" t="s"/>
      <c r="H2485" t="s"/>
      <c r="I2485" t="s"/>
      <c r="J2485" t="n">
        <v>0</v>
      </c>
      <c r="K2485" t="n">
        <v>0</v>
      </c>
      <c r="L2485" t="n">
        <v>1</v>
      </c>
      <c r="M2485" t="n">
        <v>0</v>
      </c>
    </row>
    <row r="2486" spans="1:13">
      <c r="A2486" s="1">
        <f>HYPERLINK("http://www.twitter.com/NathanBLawrence/status/987026888458690560", "987026888458690560")</f>
        <v/>
      </c>
      <c r="B2486" s="2" t="n">
        <v>43209.7467824074</v>
      </c>
      <c r="C2486" t="n">
        <v>6</v>
      </c>
      <c r="D2486" t="n">
        <v>1</v>
      </c>
      <c r="E2486" t="s">
        <v>2475</v>
      </c>
      <c r="F2486" t="s"/>
      <c r="G2486" t="s"/>
      <c r="H2486" t="s"/>
      <c r="I2486" t="s"/>
      <c r="J2486" t="n">
        <v>-0.1027</v>
      </c>
      <c r="K2486" t="n">
        <v>0.037</v>
      </c>
      <c r="L2486" t="n">
        <v>0.963</v>
      </c>
      <c r="M2486" t="n">
        <v>0</v>
      </c>
    </row>
    <row r="2487" spans="1:13">
      <c r="A2487" s="1">
        <f>HYPERLINK("http://www.twitter.com/NathanBLawrence/status/987026168472797184", "987026168472797184")</f>
        <v/>
      </c>
      <c r="B2487" s="2" t="n">
        <v>43209.74480324074</v>
      </c>
      <c r="C2487" t="n">
        <v>1</v>
      </c>
      <c r="D2487" t="n">
        <v>0</v>
      </c>
      <c r="E2487" t="s">
        <v>2476</v>
      </c>
      <c r="F2487" t="s"/>
      <c r="G2487" t="s"/>
      <c r="H2487" t="s"/>
      <c r="I2487" t="s"/>
      <c r="J2487" t="n">
        <v>0.4574</v>
      </c>
      <c r="K2487" t="n">
        <v>0</v>
      </c>
      <c r="L2487" t="n">
        <v>0.251</v>
      </c>
      <c r="M2487" t="n">
        <v>0.749</v>
      </c>
    </row>
    <row r="2488" spans="1:13">
      <c r="A2488" s="1">
        <f>HYPERLINK("http://www.twitter.com/NathanBLawrence/status/987026056816275457", "987026056816275457")</f>
        <v/>
      </c>
      <c r="B2488" s="2" t="n">
        <v>43209.74449074074</v>
      </c>
      <c r="C2488" t="n">
        <v>0</v>
      </c>
      <c r="D2488" t="n">
        <v>4</v>
      </c>
      <c r="E2488" t="s">
        <v>2477</v>
      </c>
      <c r="F2488" t="s"/>
      <c r="G2488" t="s"/>
      <c r="H2488" t="s"/>
      <c r="I2488" t="s"/>
      <c r="J2488" t="n">
        <v>-0.2263</v>
      </c>
      <c r="K2488" t="n">
        <v>0.106</v>
      </c>
      <c r="L2488" t="n">
        <v>0.894</v>
      </c>
      <c r="M2488" t="n">
        <v>0</v>
      </c>
    </row>
    <row r="2489" spans="1:13">
      <c r="A2489" s="1">
        <f>HYPERLINK("http://www.twitter.com/NathanBLawrence/status/987026005037600769", "987026005037600769")</f>
        <v/>
      </c>
      <c r="B2489" s="2" t="n">
        <v>43209.74435185185</v>
      </c>
      <c r="C2489" t="n">
        <v>0</v>
      </c>
      <c r="D2489" t="n">
        <v>11</v>
      </c>
      <c r="E2489" t="s">
        <v>2478</v>
      </c>
      <c r="F2489">
        <f>HYPERLINK("http://pbs.twimg.com/media/DbHCbK4X0AAHwhf.jpg", "http://pbs.twimg.com/media/DbHCbK4X0AAHwhf.jpg")</f>
        <v/>
      </c>
      <c r="G2489" t="s"/>
      <c r="H2489" t="s"/>
      <c r="I2489" t="s"/>
      <c r="J2489" t="n">
        <v>0.7739</v>
      </c>
      <c r="K2489" t="n">
        <v>0</v>
      </c>
      <c r="L2489" t="n">
        <v>0.728</v>
      </c>
      <c r="M2489" t="n">
        <v>0.272</v>
      </c>
    </row>
    <row r="2490" spans="1:13">
      <c r="A2490" s="1">
        <f>HYPERLINK("http://www.twitter.com/NathanBLawrence/status/987025991175458816", "987025991175458816")</f>
        <v/>
      </c>
      <c r="B2490" s="2" t="n">
        <v>43209.74431712963</v>
      </c>
      <c r="C2490" t="n">
        <v>0</v>
      </c>
      <c r="D2490" t="n">
        <v>13</v>
      </c>
      <c r="E2490" t="s">
        <v>2479</v>
      </c>
      <c r="F2490" t="s"/>
      <c r="G2490" t="s"/>
      <c r="H2490" t="s"/>
      <c r="I2490" t="s"/>
      <c r="J2490" t="n">
        <v>0</v>
      </c>
      <c r="K2490" t="n">
        <v>0</v>
      </c>
      <c r="L2490" t="n">
        <v>1</v>
      </c>
      <c r="M2490" t="n">
        <v>0</v>
      </c>
    </row>
    <row r="2491" spans="1:13">
      <c r="A2491" s="1">
        <f>HYPERLINK("http://www.twitter.com/NathanBLawrence/status/987025978177269760", "987025978177269760")</f>
        <v/>
      </c>
      <c r="B2491" s="2" t="n">
        <v>43209.74427083333</v>
      </c>
      <c r="C2491" t="n">
        <v>0</v>
      </c>
      <c r="D2491" t="n">
        <v>12</v>
      </c>
      <c r="E2491" t="s">
        <v>2480</v>
      </c>
      <c r="F2491">
        <f>HYPERLINK("https://video.twimg.com/ext_tw_video/986832044738084864/pu/vid/320x180/JsnztLe-wKxa3GAA.mp4?tag=3", "https://video.twimg.com/ext_tw_video/986832044738084864/pu/vid/320x180/JsnztLe-wKxa3GAA.mp4?tag=3")</f>
        <v/>
      </c>
      <c r="G2491" t="s"/>
      <c r="H2491" t="s"/>
      <c r="I2491" t="s"/>
      <c r="J2491" t="n">
        <v>-0.5266999999999999</v>
      </c>
      <c r="K2491" t="n">
        <v>0.145</v>
      </c>
      <c r="L2491" t="n">
        <v>0.855</v>
      </c>
      <c r="M2491" t="n">
        <v>0</v>
      </c>
    </row>
    <row r="2492" spans="1:13">
      <c r="A2492" s="1">
        <f>HYPERLINK("http://www.twitter.com/NathanBLawrence/status/987025883201449987", "987025883201449987")</f>
        <v/>
      </c>
      <c r="B2492" s="2" t="n">
        <v>43209.7440162037</v>
      </c>
      <c r="C2492" t="n">
        <v>0</v>
      </c>
      <c r="D2492" t="n">
        <v>11</v>
      </c>
      <c r="E2492" t="s">
        <v>2438</v>
      </c>
      <c r="F2492">
        <f>HYPERLINK("http://pbs.twimg.com/media/DbHt_nkWkAAanAo.jpg", "http://pbs.twimg.com/media/DbHt_nkWkAAanAo.jpg")</f>
        <v/>
      </c>
      <c r="G2492">
        <f>HYPERLINK("http://pbs.twimg.com/media/DbHuANrXUAEPS-Y.jpg", "http://pbs.twimg.com/media/DbHuANrXUAEPS-Y.jpg")</f>
        <v/>
      </c>
      <c r="H2492">
        <f>HYPERLINK("http://pbs.twimg.com/media/DbHuA42XcAAb4hf.jpg", "http://pbs.twimg.com/media/DbHuA42XcAAb4hf.jpg")</f>
        <v/>
      </c>
      <c r="I2492">
        <f>HYPERLINK("http://pbs.twimg.com/media/DbHuBe7WkAESvgr.jpg", "http://pbs.twimg.com/media/DbHuBe7WkAESvgr.jpg")</f>
        <v/>
      </c>
      <c r="J2492" t="n">
        <v>-0.5266999999999999</v>
      </c>
      <c r="K2492" t="n">
        <v>0.227</v>
      </c>
      <c r="L2492" t="n">
        <v>0.773</v>
      </c>
      <c r="M2492" t="n">
        <v>0</v>
      </c>
    </row>
    <row r="2493" spans="1:13">
      <c r="A2493" s="1">
        <f>HYPERLINK("http://www.twitter.com/NathanBLawrence/status/987025856714469376", "987025856714469376")</f>
        <v/>
      </c>
      <c r="B2493" s="2" t="n">
        <v>43209.74393518519</v>
      </c>
      <c r="C2493" t="n">
        <v>0</v>
      </c>
      <c r="D2493" t="n">
        <v>14</v>
      </c>
      <c r="E2493" t="s">
        <v>2481</v>
      </c>
      <c r="F2493" t="s"/>
      <c r="G2493" t="s"/>
      <c r="H2493" t="s"/>
      <c r="I2493" t="s"/>
      <c r="J2493" t="n">
        <v>-0.908</v>
      </c>
      <c r="K2493" t="n">
        <v>0.443</v>
      </c>
      <c r="L2493" t="n">
        <v>0.478</v>
      </c>
      <c r="M2493" t="n">
        <v>0.08</v>
      </c>
    </row>
    <row r="2494" spans="1:13">
      <c r="A2494" s="1">
        <f>HYPERLINK("http://www.twitter.com/NathanBLawrence/status/987025643559882752", "987025643559882752")</f>
        <v/>
      </c>
      <c r="B2494" s="2" t="n">
        <v>43209.74335648148</v>
      </c>
      <c r="C2494" t="n">
        <v>0</v>
      </c>
      <c r="D2494" t="n">
        <v>65</v>
      </c>
      <c r="E2494" t="s">
        <v>2482</v>
      </c>
      <c r="F2494">
        <f>HYPERLINK("http://pbs.twimg.com/media/DbJ_hWtUQAA8-z0.jpg", "http://pbs.twimg.com/media/DbJ_hWtUQAA8-z0.jpg")</f>
        <v/>
      </c>
      <c r="G2494" t="s"/>
      <c r="H2494" t="s"/>
      <c r="I2494" t="s"/>
      <c r="J2494" t="n">
        <v>0</v>
      </c>
      <c r="K2494" t="n">
        <v>0</v>
      </c>
      <c r="L2494" t="n">
        <v>1</v>
      </c>
      <c r="M2494" t="n">
        <v>0</v>
      </c>
    </row>
    <row r="2495" spans="1:13">
      <c r="A2495" s="1">
        <f>HYPERLINK("http://www.twitter.com/NathanBLawrence/status/987025274347847680", "987025274347847680")</f>
        <v/>
      </c>
      <c r="B2495" s="2" t="n">
        <v>43209.74233796296</v>
      </c>
      <c r="C2495" t="n">
        <v>3</v>
      </c>
      <c r="D2495" t="n">
        <v>0</v>
      </c>
      <c r="E2495" t="s">
        <v>2483</v>
      </c>
      <c r="F2495" t="s"/>
      <c r="G2495" t="s"/>
      <c r="H2495" t="s"/>
      <c r="I2495" t="s"/>
      <c r="J2495" t="n">
        <v>0</v>
      </c>
      <c r="K2495" t="n">
        <v>0</v>
      </c>
      <c r="L2495" t="n">
        <v>1</v>
      </c>
      <c r="M2495" t="n">
        <v>0</v>
      </c>
    </row>
    <row r="2496" spans="1:13">
      <c r="A2496" s="1">
        <f>HYPERLINK("http://www.twitter.com/NathanBLawrence/status/987000077448294400", "987000077448294400")</f>
        <v/>
      </c>
      <c r="B2496" s="2" t="n">
        <v>43209.67280092592</v>
      </c>
      <c r="C2496" t="n">
        <v>1</v>
      </c>
      <c r="D2496" t="n">
        <v>1</v>
      </c>
      <c r="E2496" t="s">
        <v>2484</v>
      </c>
      <c r="F2496" t="s"/>
      <c r="G2496" t="s"/>
      <c r="H2496" t="s"/>
      <c r="I2496" t="s"/>
      <c r="J2496" t="n">
        <v>0.4215</v>
      </c>
      <c r="K2496" t="n">
        <v>0</v>
      </c>
      <c r="L2496" t="n">
        <v>0.714</v>
      </c>
      <c r="M2496" t="n">
        <v>0.286</v>
      </c>
    </row>
    <row r="2497" spans="1:13">
      <c r="A2497" s="1">
        <f>HYPERLINK("http://www.twitter.com/NathanBLawrence/status/986999951283638278", "986999951283638278")</f>
        <v/>
      </c>
      <c r="B2497" s="2" t="n">
        <v>43209.6724537037</v>
      </c>
      <c r="C2497" t="n">
        <v>0</v>
      </c>
      <c r="D2497" t="n">
        <v>0</v>
      </c>
      <c r="E2497" t="s">
        <v>2485</v>
      </c>
      <c r="F2497" t="s"/>
      <c r="G2497" t="s"/>
      <c r="H2497" t="s"/>
      <c r="I2497" t="s"/>
      <c r="J2497" t="n">
        <v>-0.4995</v>
      </c>
      <c r="K2497" t="n">
        <v>0.245</v>
      </c>
      <c r="L2497" t="n">
        <v>0.651</v>
      </c>
      <c r="M2497" t="n">
        <v>0.104</v>
      </c>
    </row>
    <row r="2498" spans="1:13">
      <c r="A2498" s="1">
        <f>HYPERLINK("http://www.twitter.com/NathanBLawrence/status/986999504510554112", "986999504510554112")</f>
        <v/>
      </c>
      <c r="B2498" s="2" t="n">
        <v>43209.67122685185</v>
      </c>
      <c r="C2498" t="n">
        <v>0</v>
      </c>
      <c r="D2498" t="n">
        <v>0</v>
      </c>
      <c r="E2498" t="s">
        <v>2486</v>
      </c>
      <c r="F2498" t="s"/>
      <c r="G2498" t="s"/>
      <c r="H2498" t="s"/>
      <c r="I2498" t="s"/>
      <c r="J2498" t="n">
        <v>0.6486</v>
      </c>
      <c r="K2498" t="n">
        <v>0</v>
      </c>
      <c r="L2498" t="n">
        <v>0.822</v>
      </c>
      <c r="M2498" t="n">
        <v>0.178</v>
      </c>
    </row>
    <row r="2499" spans="1:13">
      <c r="A2499" s="1">
        <f>HYPERLINK("http://www.twitter.com/NathanBLawrence/status/986991485701812224", "986991485701812224")</f>
        <v/>
      </c>
      <c r="B2499" s="2" t="n">
        <v>43209.64909722222</v>
      </c>
      <c r="C2499" t="n">
        <v>0</v>
      </c>
      <c r="D2499" t="n">
        <v>9</v>
      </c>
      <c r="E2499" t="s">
        <v>2487</v>
      </c>
      <c r="F2499" t="s"/>
      <c r="G2499" t="s"/>
      <c r="H2499" t="s"/>
      <c r="I2499" t="s"/>
      <c r="J2499" t="n">
        <v>-0.079</v>
      </c>
      <c r="K2499" t="n">
        <v>0.213</v>
      </c>
      <c r="L2499" t="n">
        <v>0.586</v>
      </c>
      <c r="M2499" t="n">
        <v>0.201</v>
      </c>
    </row>
    <row r="2500" spans="1:13">
      <c r="A2500" s="1">
        <f>HYPERLINK("http://www.twitter.com/NathanBLawrence/status/986991453485305857", "986991453485305857")</f>
        <v/>
      </c>
      <c r="B2500" s="2" t="n">
        <v>43209.64900462963</v>
      </c>
      <c r="C2500" t="n">
        <v>0</v>
      </c>
      <c r="D2500" t="n">
        <v>501</v>
      </c>
      <c r="E2500" t="s">
        <v>2488</v>
      </c>
      <c r="F2500" t="s"/>
      <c r="G2500" t="s"/>
      <c r="H2500" t="s"/>
      <c r="I2500" t="s"/>
      <c r="J2500" t="n">
        <v>0</v>
      </c>
      <c r="K2500" t="n">
        <v>0</v>
      </c>
      <c r="L2500" t="n">
        <v>1</v>
      </c>
      <c r="M2500" t="n">
        <v>0</v>
      </c>
    </row>
    <row r="2501" spans="1:13">
      <c r="A2501" s="1">
        <f>HYPERLINK("http://www.twitter.com/NathanBLawrence/status/986982816033406977", "986982816033406977")</f>
        <v/>
      </c>
      <c r="B2501" s="2" t="n">
        <v>43209.62517361111</v>
      </c>
      <c r="C2501" t="n">
        <v>0</v>
      </c>
      <c r="D2501" t="n">
        <v>8</v>
      </c>
      <c r="E2501" t="s">
        <v>2442</v>
      </c>
      <c r="F2501">
        <f>HYPERLINK("http://pbs.twimg.com/media/DbJ2wMvVwAU1bhL.jpg", "http://pbs.twimg.com/media/DbJ2wMvVwAU1bhL.jpg")</f>
        <v/>
      </c>
      <c r="G2501" t="s"/>
      <c r="H2501" t="s"/>
      <c r="I2501" t="s"/>
      <c r="J2501" t="n">
        <v>0.3237</v>
      </c>
      <c r="K2501" t="n">
        <v>0.112</v>
      </c>
      <c r="L2501" t="n">
        <v>0.6820000000000001</v>
      </c>
      <c r="M2501" t="n">
        <v>0.206</v>
      </c>
    </row>
    <row r="2502" spans="1:13">
      <c r="A2502" s="1">
        <f>HYPERLINK("http://www.twitter.com/NathanBLawrence/status/986982799801495552", "986982799801495552")</f>
        <v/>
      </c>
      <c r="B2502" s="2" t="n">
        <v>43209.62512731482</v>
      </c>
      <c r="C2502" t="n">
        <v>0</v>
      </c>
      <c r="D2502" t="n">
        <v>1</v>
      </c>
      <c r="E2502" t="s">
        <v>2489</v>
      </c>
      <c r="F2502" t="s"/>
      <c r="G2502" t="s"/>
      <c r="H2502" t="s"/>
      <c r="I2502" t="s"/>
      <c r="J2502" t="n">
        <v>0.5859</v>
      </c>
      <c r="K2502" t="n">
        <v>0</v>
      </c>
      <c r="L2502" t="n">
        <v>0.827</v>
      </c>
      <c r="M2502" t="n">
        <v>0.173</v>
      </c>
    </row>
    <row r="2503" spans="1:13">
      <c r="A2503" s="1">
        <f>HYPERLINK("http://www.twitter.com/NathanBLawrence/status/986982615881306117", "986982615881306117")</f>
        <v/>
      </c>
      <c r="B2503" s="2" t="n">
        <v>43209.62461805555</v>
      </c>
      <c r="C2503" t="n">
        <v>1</v>
      </c>
      <c r="D2503" t="n">
        <v>0</v>
      </c>
      <c r="E2503" t="s">
        <v>2490</v>
      </c>
      <c r="F2503" t="s"/>
      <c r="G2503" t="s"/>
      <c r="H2503" t="s"/>
      <c r="I2503" t="s"/>
      <c r="J2503" t="n">
        <v>-0.3612</v>
      </c>
      <c r="K2503" t="n">
        <v>0.455</v>
      </c>
      <c r="L2503" t="n">
        <v>0.545</v>
      </c>
      <c r="M2503" t="n">
        <v>0</v>
      </c>
    </row>
    <row r="2504" spans="1:13">
      <c r="A2504" s="1">
        <f>HYPERLINK("http://www.twitter.com/NathanBLawrence/status/986980329218035713", "986980329218035713")</f>
        <v/>
      </c>
      <c r="B2504" s="2" t="n">
        <v>43209.61831018519</v>
      </c>
      <c r="C2504" t="n">
        <v>12</v>
      </c>
      <c r="D2504" t="n">
        <v>9</v>
      </c>
      <c r="E2504" t="s">
        <v>2491</v>
      </c>
      <c r="F2504" t="s"/>
      <c r="G2504" t="s"/>
      <c r="H2504" t="s"/>
      <c r="I2504" t="s"/>
      <c r="J2504" t="n">
        <v>-0.1697</v>
      </c>
      <c r="K2504" t="n">
        <v>0.129</v>
      </c>
      <c r="L2504" t="n">
        <v>0.755</v>
      </c>
      <c r="M2504" t="n">
        <v>0.115</v>
      </c>
    </row>
    <row r="2505" spans="1:13">
      <c r="A2505" s="1">
        <f>HYPERLINK("http://www.twitter.com/NathanBLawrence/status/986979886488268800", "986979886488268800")</f>
        <v/>
      </c>
      <c r="B2505" s="2" t="n">
        <v>43209.61708333333</v>
      </c>
      <c r="C2505" t="n">
        <v>0</v>
      </c>
      <c r="D2505" t="n">
        <v>11</v>
      </c>
      <c r="E2505" t="s">
        <v>2492</v>
      </c>
      <c r="F2505">
        <f>HYPERLINK("http://pbs.twimg.com/media/DbJr3SIUwAIncqt.jpg", "http://pbs.twimg.com/media/DbJr3SIUwAIncqt.jpg")</f>
        <v/>
      </c>
      <c r="G2505" t="s"/>
      <c r="H2505" t="s"/>
      <c r="I2505" t="s"/>
      <c r="J2505" t="n">
        <v>-0.4753</v>
      </c>
      <c r="K2505" t="n">
        <v>0.134</v>
      </c>
      <c r="L2505" t="n">
        <v>0.866</v>
      </c>
      <c r="M2505" t="n">
        <v>0</v>
      </c>
    </row>
    <row r="2506" spans="1:13">
      <c r="A2506" s="1">
        <f>HYPERLINK("http://www.twitter.com/NathanBLawrence/status/986979876245819393", "986979876245819393")</f>
        <v/>
      </c>
      <c r="B2506" s="2" t="n">
        <v>43209.61706018518</v>
      </c>
      <c r="C2506" t="n">
        <v>0</v>
      </c>
      <c r="D2506" t="n">
        <v>5</v>
      </c>
      <c r="E2506" t="s">
        <v>2493</v>
      </c>
      <c r="F2506" t="s"/>
      <c r="G2506" t="s"/>
      <c r="H2506" t="s"/>
      <c r="I2506" t="s"/>
      <c r="J2506" t="n">
        <v>0.34</v>
      </c>
      <c r="K2506" t="n">
        <v>0.105</v>
      </c>
      <c r="L2506" t="n">
        <v>0.676</v>
      </c>
      <c r="M2506" t="n">
        <v>0.22</v>
      </c>
    </row>
    <row r="2507" spans="1:13">
      <c r="A2507" s="1">
        <f>HYPERLINK("http://www.twitter.com/NathanBLawrence/status/986979799104196610", "986979799104196610")</f>
        <v/>
      </c>
      <c r="B2507" s="2" t="n">
        <v>43209.61684027778</v>
      </c>
      <c r="C2507" t="n">
        <v>0</v>
      </c>
      <c r="D2507" t="n">
        <v>1</v>
      </c>
      <c r="E2507" t="s">
        <v>2494</v>
      </c>
      <c r="F2507" t="s"/>
      <c r="G2507" t="s"/>
      <c r="H2507" t="s"/>
      <c r="I2507" t="s"/>
      <c r="J2507" t="n">
        <v>-0.2732</v>
      </c>
      <c r="K2507" t="n">
        <v>0.197</v>
      </c>
      <c r="L2507" t="n">
        <v>0.699</v>
      </c>
      <c r="M2507" t="n">
        <v>0.105</v>
      </c>
    </row>
    <row r="2508" spans="1:13">
      <c r="A2508" s="1">
        <f>HYPERLINK("http://www.twitter.com/NathanBLawrence/status/986978019918204928", "986978019918204928")</f>
        <v/>
      </c>
      <c r="B2508" s="2" t="n">
        <v>43209.61193287037</v>
      </c>
      <c r="C2508" t="n">
        <v>1</v>
      </c>
      <c r="D2508" t="n">
        <v>0</v>
      </c>
      <c r="E2508" t="s">
        <v>2495</v>
      </c>
      <c r="F2508" t="s"/>
      <c r="G2508" t="s"/>
      <c r="H2508" t="s"/>
      <c r="I2508" t="s"/>
      <c r="J2508" t="n">
        <v>0</v>
      </c>
      <c r="K2508" t="n">
        <v>0</v>
      </c>
      <c r="L2508" t="n">
        <v>1</v>
      </c>
      <c r="M2508" t="n">
        <v>0</v>
      </c>
    </row>
    <row r="2509" spans="1:13">
      <c r="A2509" s="1">
        <f>HYPERLINK("http://www.twitter.com/NathanBLawrence/status/986977808760131584", "986977808760131584")</f>
        <v/>
      </c>
      <c r="B2509" s="2" t="n">
        <v>43209.61135416666</v>
      </c>
      <c r="C2509" t="n">
        <v>1</v>
      </c>
      <c r="D2509" t="n">
        <v>1</v>
      </c>
      <c r="E2509" t="s">
        <v>2496</v>
      </c>
      <c r="F2509" t="s"/>
      <c r="G2509" t="s"/>
      <c r="H2509" t="s"/>
      <c r="I2509" t="s"/>
      <c r="J2509" t="n">
        <v>0.7574</v>
      </c>
      <c r="K2509" t="n">
        <v>0</v>
      </c>
      <c r="L2509" t="n">
        <v>0.755</v>
      </c>
      <c r="M2509" t="n">
        <v>0.245</v>
      </c>
    </row>
    <row r="2510" spans="1:13">
      <c r="A2510" s="1">
        <f>HYPERLINK("http://www.twitter.com/NathanBLawrence/status/986976596300005376", "986976596300005376")</f>
        <v/>
      </c>
      <c r="B2510" s="2" t="n">
        <v>43209.60800925926</v>
      </c>
      <c r="C2510" t="n">
        <v>1</v>
      </c>
      <c r="D2510" t="n">
        <v>0</v>
      </c>
      <c r="E2510" t="s">
        <v>2497</v>
      </c>
      <c r="F2510" t="s"/>
      <c r="G2510" t="s"/>
      <c r="H2510" t="s"/>
      <c r="I2510" t="s"/>
      <c r="J2510" t="n">
        <v>0.7574</v>
      </c>
      <c r="K2510" t="n">
        <v>0.032</v>
      </c>
      <c r="L2510" t="n">
        <v>0.773</v>
      </c>
      <c r="M2510" t="n">
        <v>0.194</v>
      </c>
    </row>
    <row r="2511" spans="1:13">
      <c r="A2511" s="1">
        <f>HYPERLINK("http://www.twitter.com/NathanBLawrence/status/986971957878026240", "986971957878026240")</f>
        <v/>
      </c>
      <c r="B2511" s="2" t="n">
        <v>43209.59520833333</v>
      </c>
      <c r="C2511" t="n">
        <v>6</v>
      </c>
      <c r="D2511" t="n">
        <v>5</v>
      </c>
      <c r="E2511" t="s">
        <v>2498</v>
      </c>
      <c r="F2511" t="s"/>
      <c r="G2511" t="s"/>
      <c r="H2511" t="s"/>
      <c r="I2511" t="s"/>
      <c r="J2511" t="n">
        <v>0.6486</v>
      </c>
      <c r="K2511" t="n">
        <v>0.06</v>
      </c>
      <c r="L2511" t="n">
        <v>0.738</v>
      </c>
      <c r="M2511" t="n">
        <v>0.202</v>
      </c>
    </row>
    <row r="2512" spans="1:13">
      <c r="A2512" s="1">
        <f>HYPERLINK("http://www.twitter.com/NathanBLawrence/status/986914212323741696", "986914212323741696")</f>
        <v/>
      </c>
      <c r="B2512" s="2" t="n">
        <v>43209.43585648148</v>
      </c>
      <c r="C2512" t="n">
        <v>0</v>
      </c>
      <c r="D2512" t="n">
        <v>2729</v>
      </c>
      <c r="E2512" t="s">
        <v>2499</v>
      </c>
      <c r="F2512" t="s"/>
      <c r="G2512" t="s"/>
      <c r="H2512" t="s"/>
      <c r="I2512" t="s"/>
      <c r="J2512" t="n">
        <v>-0.25</v>
      </c>
      <c r="K2512" t="n">
        <v>0.321</v>
      </c>
      <c r="L2512" t="n">
        <v>0.476</v>
      </c>
      <c r="M2512" t="n">
        <v>0.202</v>
      </c>
    </row>
    <row r="2513" spans="1:13">
      <c r="A2513" s="1">
        <f>HYPERLINK("http://www.twitter.com/NathanBLawrence/status/986913805698465792", "986913805698465792")</f>
        <v/>
      </c>
      <c r="B2513" s="2" t="n">
        <v>43209.4347337963</v>
      </c>
      <c r="C2513" t="n">
        <v>0</v>
      </c>
      <c r="D2513" t="n">
        <v>593</v>
      </c>
      <c r="E2513" t="s">
        <v>2500</v>
      </c>
      <c r="F2513" t="s"/>
      <c r="G2513" t="s"/>
      <c r="H2513" t="s"/>
      <c r="I2513" t="s"/>
      <c r="J2513" t="n">
        <v>0.3612</v>
      </c>
      <c r="K2513" t="n">
        <v>0</v>
      </c>
      <c r="L2513" t="n">
        <v>0.884</v>
      </c>
      <c r="M2513" t="n">
        <v>0.116</v>
      </c>
    </row>
    <row r="2514" spans="1:13">
      <c r="A2514" s="1">
        <f>HYPERLINK("http://www.twitter.com/NathanBLawrence/status/986913773314363393", "986913773314363393")</f>
        <v/>
      </c>
      <c r="B2514" s="2" t="n">
        <v>43209.43465277777</v>
      </c>
      <c r="C2514" t="n">
        <v>0</v>
      </c>
      <c r="D2514" t="n">
        <v>422</v>
      </c>
      <c r="E2514" t="s">
        <v>2501</v>
      </c>
      <c r="F2514" t="s"/>
      <c r="G2514" t="s"/>
      <c r="H2514" t="s"/>
      <c r="I2514" t="s"/>
      <c r="J2514" t="n">
        <v>-0.5994</v>
      </c>
      <c r="K2514" t="n">
        <v>0.145</v>
      </c>
      <c r="L2514" t="n">
        <v>0.855</v>
      </c>
      <c r="M2514" t="n">
        <v>0</v>
      </c>
    </row>
    <row r="2515" spans="1:13">
      <c r="A2515" s="1">
        <f>HYPERLINK("http://www.twitter.com/NathanBLawrence/status/986913719149056000", "986913719149056000")</f>
        <v/>
      </c>
      <c r="B2515" s="2" t="n">
        <v>43209.43450231481</v>
      </c>
      <c r="C2515" t="n">
        <v>0</v>
      </c>
      <c r="D2515" t="n">
        <v>2566</v>
      </c>
      <c r="E2515" t="s">
        <v>2502</v>
      </c>
      <c r="F2515" t="s"/>
      <c r="G2515" t="s"/>
      <c r="H2515" t="s"/>
      <c r="I2515" t="s"/>
      <c r="J2515" t="n">
        <v>-0.3182</v>
      </c>
      <c r="K2515" t="n">
        <v>0.15</v>
      </c>
      <c r="L2515" t="n">
        <v>0.85</v>
      </c>
      <c r="M2515" t="n">
        <v>0</v>
      </c>
    </row>
    <row r="2516" spans="1:13">
      <c r="A2516" s="1">
        <f>HYPERLINK("http://www.twitter.com/NathanBLawrence/status/986849333462142976", "986849333462142976")</f>
        <v/>
      </c>
      <c r="B2516" s="2" t="n">
        <v>43209.25682870371</v>
      </c>
      <c r="C2516" t="n">
        <v>0</v>
      </c>
      <c r="D2516" t="n">
        <v>5881</v>
      </c>
      <c r="E2516" t="s">
        <v>2503</v>
      </c>
      <c r="F2516" t="s"/>
      <c r="G2516" t="s"/>
      <c r="H2516" t="s"/>
      <c r="I2516" t="s"/>
      <c r="J2516" t="n">
        <v>0.25</v>
      </c>
      <c r="K2516" t="n">
        <v>0</v>
      </c>
      <c r="L2516" t="n">
        <v>0.875</v>
      </c>
      <c r="M2516" t="n">
        <v>0.125</v>
      </c>
    </row>
    <row r="2517" spans="1:13">
      <c r="A2517" s="1">
        <f>HYPERLINK("http://www.twitter.com/NathanBLawrence/status/986813710416130049", "986813710416130049")</f>
        <v/>
      </c>
      <c r="B2517" s="2" t="n">
        <v>43209.15853009259</v>
      </c>
      <c r="C2517" t="n">
        <v>0</v>
      </c>
      <c r="D2517" t="n">
        <v>1392</v>
      </c>
      <c r="E2517" t="s">
        <v>2504</v>
      </c>
      <c r="F2517" t="s"/>
      <c r="G2517" t="s"/>
      <c r="H2517" t="s"/>
      <c r="I2517" t="s"/>
      <c r="J2517" t="n">
        <v>-0.6249</v>
      </c>
      <c r="K2517" t="n">
        <v>0.406</v>
      </c>
      <c r="L2517" t="n">
        <v>0.594</v>
      </c>
      <c r="M2517" t="n">
        <v>0</v>
      </c>
    </row>
    <row r="2518" spans="1:13">
      <c r="A2518" s="1">
        <f>HYPERLINK("http://www.twitter.com/NathanBLawrence/status/986813626735648768", "986813626735648768")</f>
        <v/>
      </c>
      <c r="B2518" s="2" t="n">
        <v>43209.15829861111</v>
      </c>
      <c r="C2518" t="n">
        <v>0</v>
      </c>
      <c r="D2518" t="n">
        <v>63</v>
      </c>
      <c r="E2518" t="s">
        <v>2505</v>
      </c>
      <c r="F2518" t="s"/>
      <c r="G2518" t="s"/>
      <c r="H2518" t="s"/>
      <c r="I2518" t="s"/>
      <c r="J2518" t="n">
        <v>0</v>
      </c>
      <c r="K2518" t="n">
        <v>0</v>
      </c>
      <c r="L2518" t="n">
        <v>1</v>
      </c>
      <c r="M2518" t="n">
        <v>0</v>
      </c>
    </row>
    <row r="2519" spans="1:13">
      <c r="A2519" s="1">
        <f>HYPERLINK("http://www.twitter.com/NathanBLawrence/status/986782227790024705", "986782227790024705")</f>
        <v/>
      </c>
      <c r="B2519" s="2" t="n">
        <v>43209.07165509259</v>
      </c>
      <c r="C2519" t="n">
        <v>0</v>
      </c>
      <c r="D2519" t="n">
        <v>0</v>
      </c>
      <c r="E2519" t="s">
        <v>2506</v>
      </c>
      <c r="F2519" t="s"/>
      <c r="G2519" t="s"/>
      <c r="H2519" t="s"/>
      <c r="I2519" t="s"/>
      <c r="J2519" t="n">
        <v>0</v>
      </c>
      <c r="K2519" t="n">
        <v>0</v>
      </c>
      <c r="L2519" t="n">
        <v>1</v>
      </c>
      <c r="M2519" t="n">
        <v>0</v>
      </c>
    </row>
    <row r="2520" spans="1:13">
      <c r="A2520" s="1">
        <f>HYPERLINK("http://www.twitter.com/NathanBLawrence/status/986781698481324033", "986781698481324033")</f>
        <v/>
      </c>
      <c r="B2520" s="2" t="n">
        <v>43209.07019675926</v>
      </c>
      <c r="C2520" t="n">
        <v>1</v>
      </c>
      <c r="D2520" t="n">
        <v>0</v>
      </c>
      <c r="E2520" t="s">
        <v>2507</v>
      </c>
      <c r="F2520" t="s"/>
      <c r="G2520" t="s"/>
      <c r="H2520" t="s"/>
      <c r="I2520" t="s"/>
      <c r="J2520" t="n">
        <v>0.4019</v>
      </c>
      <c r="K2520" t="n">
        <v>0</v>
      </c>
      <c r="L2520" t="n">
        <v>0.526</v>
      </c>
      <c r="M2520" t="n">
        <v>0.474</v>
      </c>
    </row>
    <row r="2521" spans="1:13">
      <c r="A2521" s="1">
        <f>HYPERLINK("http://www.twitter.com/NathanBLawrence/status/986758157908226048", "986758157908226048")</f>
        <v/>
      </c>
      <c r="B2521" s="2" t="n">
        <v>43209.00523148148</v>
      </c>
      <c r="C2521" t="n">
        <v>0</v>
      </c>
      <c r="D2521" t="n">
        <v>24</v>
      </c>
      <c r="E2521" t="s">
        <v>2508</v>
      </c>
      <c r="F2521">
        <f>HYPERLINK("http://pbs.twimg.com/media/DbGgVxDVMAETBFv.jpg", "http://pbs.twimg.com/media/DbGgVxDVMAETBFv.jpg")</f>
        <v/>
      </c>
      <c r="G2521" t="s"/>
      <c r="H2521" t="s"/>
      <c r="I2521" t="s"/>
      <c r="J2521" t="n">
        <v>0</v>
      </c>
      <c r="K2521" t="n">
        <v>0</v>
      </c>
      <c r="L2521" t="n">
        <v>1</v>
      </c>
      <c r="M2521" t="n">
        <v>0</v>
      </c>
    </row>
    <row r="2522" spans="1:13">
      <c r="A2522" s="1">
        <f>HYPERLINK("http://www.twitter.com/NathanBLawrence/status/986758119224233985", "986758119224233985")</f>
        <v/>
      </c>
      <c r="B2522" s="2" t="n">
        <v>43209.00512731481</v>
      </c>
      <c r="C2522" t="n">
        <v>0</v>
      </c>
      <c r="D2522" t="n">
        <v>15156</v>
      </c>
      <c r="E2522" t="s">
        <v>2509</v>
      </c>
      <c r="F2522">
        <f>HYPERLINK("http://pbs.twimg.com/media/DbGAJeoVQAABeuv.jpg", "http://pbs.twimg.com/media/DbGAJeoVQAABeuv.jpg")</f>
        <v/>
      </c>
      <c r="G2522" t="s"/>
      <c r="H2522" t="s"/>
      <c r="I2522" t="s"/>
      <c r="J2522" t="n">
        <v>0.4404</v>
      </c>
      <c r="K2522" t="n">
        <v>0</v>
      </c>
      <c r="L2522" t="n">
        <v>0.868</v>
      </c>
      <c r="M2522" t="n">
        <v>0.132</v>
      </c>
    </row>
    <row r="2523" spans="1:13">
      <c r="A2523" s="1">
        <f>HYPERLINK("http://www.twitter.com/NathanBLawrence/status/986757805456723968", "986757805456723968")</f>
        <v/>
      </c>
      <c r="B2523" s="2" t="n">
        <v>43209.00425925926</v>
      </c>
      <c r="C2523" t="n">
        <v>0</v>
      </c>
      <c r="D2523" t="n">
        <v>115</v>
      </c>
      <c r="E2523" t="s">
        <v>2510</v>
      </c>
      <c r="F2523" t="s"/>
      <c r="G2523" t="s"/>
      <c r="H2523" t="s"/>
      <c r="I2523" t="s"/>
      <c r="J2523" t="n">
        <v>0.4588</v>
      </c>
      <c r="K2523" t="n">
        <v>0</v>
      </c>
      <c r="L2523" t="n">
        <v>0.8120000000000001</v>
      </c>
      <c r="M2523" t="n">
        <v>0.188</v>
      </c>
    </row>
    <row r="2524" spans="1:13">
      <c r="A2524" s="1">
        <f>HYPERLINK("http://www.twitter.com/NathanBLawrence/status/986757784791388162", "986757784791388162")</f>
        <v/>
      </c>
      <c r="B2524" s="2" t="n">
        <v>43209.00420138889</v>
      </c>
      <c r="C2524" t="n">
        <v>0</v>
      </c>
      <c r="D2524" t="n">
        <v>465</v>
      </c>
      <c r="E2524" t="s">
        <v>2511</v>
      </c>
      <c r="F2524">
        <f>HYPERLINK("http://pbs.twimg.com/media/DbFzMrxVAAEYCRR.jpg", "http://pbs.twimg.com/media/DbFzMrxVAAEYCRR.jpg")</f>
        <v/>
      </c>
      <c r="G2524" t="s"/>
      <c r="H2524" t="s"/>
      <c r="I2524" t="s"/>
      <c r="J2524" t="n">
        <v>-0.5266999999999999</v>
      </c>
      <c r="K2524" t="n">
        <v>0.207</v>
      </c>
      <c r="L2524" t="n">
        <v>0.793</v>
      </c>
      <c r="M2524" t="n">
        <v>0</v>
      </c>
    </row>
    <row r="2525" spans="1:13">
      <c r="A2525" s="1">
        <f>HYPERLINK("http://www.twitter.com/NathanBLawrence/status/986757736464601088", "986757736464601088")</f>
        <v/>
      </c>
      <c r="B2525" s="2" t="n">
        <v>43209.00407407407</v>
      </c>
      <c r="C2525" t="n">
        <v>0</v>
      </c>
      <c r="D2525" t="n">
        <v>1812</v>
      </c>
      <c r="E2525" t="s">
        <v>2512</v>
      </c>
      <c r="F2525" t="s"/>
      <c r="G2525" t="s"/>
      <c r="H2525" t="s"/>
      <c r="I2525" t="s"/>
      <c r="J2525" t="n">
        <v>0.9287</v>
      </c>
      <c r="K2525" t="n">
        <v>0</v>
      </c>
      <c r="L2525" t="n">
        <v>0.55</v>
      </c>
      <c r="M2525" t="n">
        <v>0.45</v>
      </c>
    </row>
    <row r="2526" spans="1:13">
      <c r="A2526" s="1">
        <f>HYPERLINK("http://www.twitter.com/NathanBLawrence/status/986757406037282816", "986757406037282816")</f>
        <v/>
      </c>
      <c r="B2526" s="2" t="n">
        <v>43209.00315972222</v>
      </c>
      <c r="C2526" t="n">
        <v>0</v>
      </c>
      <c r="D2526" t="n">
        <v>3</v>
      </c>
      <c r="E2526" t="s">
        <v>2513</v>
      </c>
      <c r="F2526" t="s"/>
      <c r="G2526" t="s"/>
      <c r="H2526" t="s"/>
      <c r="I2526" t="s"/>
      <c r="J2526" t="n">
        <v>0</v>
      </c>
      <c r="K2526" t="n">
        <v>0</v>
      </c>
      <c r="L2526" t="n">
        <v>1</v>
      </c>
      <c r="M2526" t="n">
        <v>0</v>
      </c>
    </row>
    <row r="2527" spans="1:13">
      <c r="A2527" s="1">
        <f>HYPERLINK("http://www.twitter.com/NathanBLawrence/status/986757380447842304", "986757380447842304")</f>
        <v/>
      </c>
      <c r="B2527" s="2" t="n">
        <v>43209.00309027778</v>
      </c>
      <c r="C2527" t="n">
        <v>0</v>
      </c>
      <c r="D2527" t="n">
        <v>4</v>
      </c>
      <c r="E2527" t="s">
        <v>2514</v>
      </c>
      <c r="F2527" t="s"/>
      <c r="G2527" t="s"/>
      <c r="H2527" t="s"/>
      <c r="I2527" t="s"/>
      <c r="J2527" t="n">
        <v>0</v>
      </c>
      <c r="K2527" t="n">
        <v>0</v>
      </c>
      <c r="L2527" t="n">
        <v>1</v>
      </c>
      <c r="M2527" t="n">
        <v>0</v>
      </c>
    </row>
    <row r="2528" spans="1:13">
      <c r="A2528" s="1">
        <f>HYPERLINK("http://www.twitter.com/NathanBLawrence/status/986757333752696832", "986757333752696832")</f>
        <v/>
      </c>
      <c r="B2528" s="2" t="n">
        <v>43209.00296296296</v>
      </c>
      <c r="C2528" t="n">
        <v>0</v>
      </c>
      <c r="D2528" t="n">
        <v>3</v>
      </c>
      <c r="E2528" t="s">
        <v>2515</v>
      </c>
      <c r="F2528" t="s"/>
      <c r="G2528" t="s"/>
      <c r="H2528" t="s"/>
      <c r="I2528" t="s"/>
      <c r="J2528" t="n">
        <v>0</v>
      </c>
      <c r="K2528" t="n">
        <v>0</v>
      </c>
      <c r="L2528" t="n">
        <v>1</v>
      </c>
      <c r="M2528" t="n">
        <v>0</v>
      </c>
    </row>
    <row r="2529" spans="1:13">
      <c r="A2529" s="1">
        <f>HYPERLINK("http://www.twitter.com/NathanBLawrence/status/986756983880593408", "986756983880593408")</f>
        <v/>
      </c>
      <c r="B2529" s="2" t="n">
        <v>43209.00199074074</v>
      </c>
      <c r="C2529" t="n">
        <v>0</v>
      </c>
      <c r="D2529" t="n">
        <v>5</v>
      </c>
      <c r="E2529" t="s">
        <v>2516</v>
      </c>
      <c r="F2529" t="s"/>
      <c r="G2529" t="s"/>
      <c r="H2529" t="s"/>
      <c r="I2529" t="s"/>
      <c r="J2529" t="n">
        <v>0.4404</v>
      </c>
      <c r="K2529" t="n">
        <v>0</v>
      </c>
      <c r="L2529" t="n">
        <v>0.884</v>
      </c>
      <c r="M2529" t="n">
        <v>0.116</v>
      </c>
    </row>
    <row r="2530" spans="1:13">
      <c r="A2530" s="1">
        <f>HYPERLINK("http://www.twitter.com/NathanBLawrence/status/986756931837669381", "986756931837669381")</f>
        <v/>
      </c>
      <c r="B2530" s="2" t="n">
        <v>43209.00185185186</v>
      </c>
      <c r="C2530" t="n">
        <v>0</v>
      </c>
      <c r="D2530" t="n">
        <v>11</v>
      </c>
      <c r="E2530" t="s">
        <v>2231</v>
      </c>
      <c r="F2530">
        <f>HYPERLINK("http://pbs.twimg.com/media/DbEjnsCUMAccyuA.jpg", "http://pbs.twimg.com/media/DbEjnsCUMAccyuA.jpg")</f>
        <v/>
      </c>
      <c r="G2530" t="s"/>
      <c r="H2530" t="s"/>
      <c r="I2530" t="s"/>
      <c r="J2530" t="n">
        <v>0.8201000000000001</v>
      </c>
      <c r="K2530" t="n">
        <v>0</v>
      </c>
      <c r="L2530" t="n">
        <v>0.643</v>
      </c>
      <c r="M2530" t="n">
        <v>0.357</v>
      </c>
    </row>
    <row r="2531" spans="1:13">
      <c r="A2531" s="1">
        <f>HYPERLINK("http://www.twitter.com/NathanBLawrence/status/986756872140189697", "986756872140189697")</f>
        <v/>
      </c>
      <c r="B2531" s="2" t="n">
        <v>43209.00168981482</v>
      </c>
      <c r="C2531" t="n">
        <v>0</v>
      </c>
      <c r="D2531" t="n">
        <v>3</v>
      </c>
      <c r="E2531" t="s">
        <v>2517</v>
      </c>
      <c r="F2531" t="s"/>
      <c r="G2531" t="s"/>
      <c r="H2531" t="s"/>
      <c r="I2531" t="s"/>
      <c r="J2531" t="n">
        <v>0.3182</v>
      </c>
      <c r="K2531" t="n">
        <v>0</v>
      </c>
      <c r="L2531" t="n">
        <v>0.897</v>
      </c>
      <c r="M2531" t="n">
        <v>0.103</v>
      </c>
    </row>
    <row r="2532" spans="1:13">
      <c r="A2532" s="1">
        <f>HYPERLINK("http://www.twitter.com/NathanBLawrence/status/986756484502638592", "986756484502638592")</f>
        <v/>
      </c>
      <c r="B2532" s="2" t="n">
        <v>43209.00061342592</v>
      </c>
      <c r="C2532" t="n">
        <v>0</v>
      </c>
      <c r="D2532" t="n">
        <v>10</v>
      </c>
      <c r="E2532" t="s">
        <v>2518</v>
      </c>
      <c r="F2532" t="s"/>
      <c r="G2532" t="s"/>
      <c r="H2532" t="s"/>
      <c r="I2532" t="s"/>
      <c r="J2532" t="n">
        <v>-0.4215</v>
      </c>
      <c r="K2532" t="n">
        <v>0.122</v>
      </c>
      <c r="L2532" t="n">
        <v>0.827</v>
      </c>
      <c r="M2532" t="n">
        <v>0.051</v>
      </c>
    </row>
    <row r="2533" spans="1:13">
      <c r="A2533" s="1">
        <f>HYPERLINK("http://www.twitter.com/NathanBLawrence/status/986756270093930496", "986756270093930496")</f>
        <v/>
      </c>
      <c r="B2533" s="2" t="n">
        <v>43209.00002314815</v>
      </c>
      <c r="C2533" t="n">
        <v>0</v>
      </c>
      <c r="D2533" t="n">
        <v>20</v>
      </c>
      <c r="E2533" t="s">
        <v>2519</v>
      </c>
      <c r="F2533" t="s"/>
      <c r="G2533" t="s"/>
      <c r="H2533" t="s"/>
      <c r="I2533" t="s"/>
      <c r="J2533" t="n">
        <v>0.25</v>
      </c>
      <c r="K2533" t="n">
        <v>0.083</v>
      </c>
      <c r="L2533" t="n">
        <v>0.795</v>
      </c>
      <c r="M2533" t="n">
        <v>0.121</v>
      </c>
    </row>
    <row r="2534" spans="1:13">
      <c r="A2534" s="1">
        <f>HYPERLINK("http://www.twitter.com/NathanBLawrence/status/986755940312547329", "986755940312547329")</f>
        <v/>
      </c>
      <c r="B2534" s="2" t="n">
        <v>43208.9991087963</v>
      </c>
      <c r="C2534" t="n">
        <v>0</v>
      </c>
      <c r="D2534" t="n">
        <v>2</v>
      </c>
      <c r="E2534" t="s">
        <v>2520</v>
      </c>
      <c r="F2534">
        <f>HYPERLINK("http://pbs.twimg.com/media/DbGeD-4XUAAvyH-.jpg", "http://pbs.twimg.com/media/DbGeD-4XUAAvyH-.jpg")</f>
        <v/>
      </c>
      <c r="G2534" t="s"/>
      <c r="H2534" t="s"/>
      <c r="I2534" t="s"/>
      <c r="J2534" t="n">
        <v>0.3182</v>
      </c>
      <c r="K2534" t="n">
        <v>0.117</v>
      </c>
      <c r="L2534" t="n">
        <v>0.669</v>
      </c>
      <c r="M2534" t="n">
        <v>0.213</v>
      </c>
    </row>
    <row r="2535" spans="1:13">
      <c r="A2535" s="1">
        <f>HYPERLINK("http://www.twitter.com/NathanBLawrence/status/986755917403295750", "986755917403295750")</f>
        <v/>
      </c>
      <c r="B2535" s="2" t="n">
        <v>43208.99905092592</v>
      </c>
      <c r="C2535" t="n">
        <v>0</v>
      </c>
      <c r="D2535" t="n">
        <v>6</v>
      </c>
      <c r="E2535" t="s">
        <v>2521</v>
      </c>
      <c r="F2535" t="s"/>
      <c r="G2535" t="s"/>
      <c r="H2535" t="s"/>
      <c r="I2535" t="s"/>
      <c r="J2535" t="n">
        <v>-0.2732</v>
      </c>
      <c r="K2535" t="n">
        <v>0.195</v>
      </c>
      <c r="L2535" t="n">
        <v>0.6860000000000001</v>
      </c>
      <c r="M2535" t="n">
        <v>0.119</v>
      </c>
    </row>
    <row r="2536" spans="1:13">
      <c r="A2536" s="1">
        <f>HYPERLINK("http://www.twitter.com/NathanBLawrence/status/986751674466390017", "986751674466390017")</f>
        <v/>
      </c>
      <c r="B2536" s="2" t="n">
        <v>43208.98733796296</v>
      </c>
      <c r="C2536" t="n">
        <v>0</v>
      </c>
      <c r="D2536" t="n">
        <v>5</v>
      </c>
      <c r="E2536" t="s">
        <v>2522</v>
      </c>
      <c r="F2536" t="s"/>
      <c r="G2536" t="s"/>
      <c r="H2536" t="s"/>
      <c r="I2536" t="s"/>
      <c r="J2536" t="n">
        <v>0.4215</v>
      </c>
      <c r="K2536" t="n">
        <v>0</v>
      </c>
      <c r="L2536" t="n">
        <v>0.872</v>
      </c>
      <c r="M2536" t="n">
        <v>0.128</v>
      </c>
    </row>
    <row r="2537" spans="1:13">
      <c r="A2537" s="1">
        <f>HYPERLINK("http://www.twitter.com/NathanBLawrence/status/986751577280086017", "986751577280086017")</f>
        <v/>
      </c>
      <c r="B2537" s="2" t="n">
        <v>43208.98707175926</v>
      </c>
      <c r="C2537" t="n">
        <v>2</v>
      </c>
      <c r="D2537" t="n">
        <v>0</v>
      </c>
      <c r="E2537" t="s">
        <v>2523</v>
      </c>
      <c r="F2537" t="s"/>
      <c r="G2537" t="s"/>
      <c r="H2537" t="s"/>
      <c r="I2537" t="s"/>
      <c r="J2537" t="n">
        <v>-0.8885</v>
      </c>
      <c r="K2537" t="n">
        <v>0.186</v>
      </c>
      <c r="L2537" t="n">
        <v>0.8139999999999999</v>
      </c>
      <c r="M2537" t="n">
        <v>0</v>
      </c>
    </row>
    <row r="2538" spans="1:13">
      <c r="A2538" s="1">
        <f>HYPERLINK("http://www.twitter.com/NathanBLawrence/status/986750592138833921", "986750592138833921")</f>
        <v/>
      </c>
      <c r="B2538" s="2" t="n">
        <v>43208.98435185185</v>
      </c>
      <c r="C2538" t="n">
        <v>0</v>
      </c>
      <c r="D2538" t="n">
        <v>1</v>
      </c>
      <c r="E2538" t="s">
        <v>2524</v>
      </c>
      <c r="F2538" t="s"/>
      <c r="G2538" t="s"/>
      <c r="H2538" t="s"/>
      <c r="I2538" t="s"/>
      <c r="J2538" t="n">
        <v>-0.1027</v>
      </c>
      <c r="K2538" t="n">
        <v>0.06</v>
      </c>
      <c r="L2538" t="n">
        <v>0.9399999999999999</v>
      </c>
      <c r="M2538" t="n">
        <v>0</v>
      </c>
    </row>
    <row r="2539" spans="1:13">
      <c r="A2539" s="1">
        <f>HYPERLINK("http://www.twitter.com/NathanBLawrence/status/986747046496555013", "986747046496555013")</f>
        <v/>
      </c>
      <c r="B2539" s="2" t="n">
        <v>43208.97457175926</v>
      </c>
      <c r="C2539" t="n">
        <v>0</v>
      </c>
      <c r="D2539" t="n">
        <v>0</v>
      </c>
      <c r="E2539" t="s">
        <v>2525</v>
      </c>
      <c r="F2539" t="s"/>
      <c r="G2539" t="s"/>
      <c r="H2539" t="s"/>
      <c r="I2539" t="s"/>
      <c r="J2539" t="n">
        <v>0.3818</v>
      </c>
      <c r="K2539" t="n">
        <v>0.068</v>
      </c>
      <c r="L2539" t="n">
        <v>0.747</v>
      </c>
      <c r="M2539" t="n">
        <v>0.185</v>
      </c>
    </row>
    <row r="2540" spans="1:13">
      <c r="A2540" s="1">
        <f>HYPERLINK("http://www.twitter.com/NathanBLawrence/status/986745321156947968", "986745321156947968")</f>
        <v/>
      </c>
      <c r="B2540" s="2" t="n">
        <v>43208.96981481482</v>
      </c>
      <c r="C2540" t="n">
        <v>0</v>
      </c>
      <c r="D2540" t="n">
        <v>0</v>
      </c>
      <c r="E2540" t="s">
        <v>2526</v>
      </c>
      <c r="F2540" t="s"/>
      <c r="G2540" t="s"/>
      <c r="H2540" t="s"/>
      <c r="I2540" t="s"/>
      <c r="J2540" t="n">
        <v>0.4767</v>
      </c>
      <c r="K2540" t="n">
        <v>0</v>
      </c>
      <c r="L2540" t="n">
        <v>0.78</v>
      </c>
      <c r="M2540" t="n">
        <v>0.22</v>
      </c>
    </row>
    <row r="2541" spans="1:13">
      <c r="A2541" s="1">
        <f>HYPERLINK("http://www.twitter.com/NathanBLawrence/status/986743593925840896", "986743593925840896")</f>
        <v/>
      </c>
      <c r="B2541" s="2" t="n">
        <v>43208.9650462963</v>
      </c>
      <c r="C2541" t="n">
        <v>5</v>
      </c>
      <c r="D2541" t="n">
        <v>2</v>
      </c>
      <c r="E2541" t="s">
        <v>2527</v>
      </c>
      <c r="F2541">
        <f>HYPERLINK("http://pbs.twimg.com/media/DbGeD-4XUAAvyH-.jpg", "http://pbs.twimg.com/media/DbGeD-4XUAAvyH-.jpg")</f>
        <v/>
      </c>
      <c r="G2541" t="s"/>
      <c r="H2541" t="s"/>
      <c r="I2541" t="s"/>
      <c r="J2541" t="n">
        <v>0.3182</v>
      </c>
      <c r="K2541" t="n">
        <v>0.104</v>
      </c>
      <c r="L2541" t="n">
        <v>0.706</v>
      </c>
      <c r="M2541" t="n">
        <v>0.19</v>
      </c>
    </row>
    <row r="2542" spans="1:13">
      <c r="A2542" s="1">
        <f>HYPERLINK("http://www.twitter.com/NathanBLawrence/status/986742071032733696", "986742071032733696")</f>
        <v/>
      </c>
      <c r="B2542" s="2" t="n">
        <v>43208.96084490741</v>
      </c>
      <c r="C2542" t="n">
        <v>0</v>
      </c>
      <c r="D2542" t="n">
        <v>18</v>
      </c>
      <c r="E2542" t="s">
        <v>2528</v>
      </c>
      <c r="F2542" t="s"/>
      <c r="G2542" t="s"/>
      <c r="H2542" t="s"/>
      <c r="I2542" t="s"/>
      <c r="J2542" t="n">
        <v>0.5974</v>
      </c>
      <c r="K2542" t="n">
        <v>0.167</v>
      </c>
      <c r="L2542" t="n">
        <v>0.5659999999999999</v>
      </c>
      <c r="M2542" t="n">
        <v>0.267</v>
      </c>
    </row>
    <row r="2543" spans="1:13">
      <c r="A2543" s="1">
        <f>HYPERLINK("http://www.twitter.com/NathanBLawrence/status/986732512910233600", "986732512910233600")</f>
        <v/>
      </c>
      <c r="B2543" s="2" t="n">
        <v>43208.93446759259</v>
      </c>
      <c r="C2543" t="n">
        <v>0</v>
      </c>
      <c r="D2543" t="n">
        <v>47</v>
      </c>
      <c r="E2543" t="s">
        <v>2529</v>
      </c>
      <c r="F2543">
        <f>HYPERLINK("http://pbs.twimg.com/media/DbF4wD3WAAUaO-r.jpg", "http://pbs.twimg.com/media/DbF4wD3WAAUaO-r.jpg")</f>
        <v/>
      </c>
      <c r="G2543" t="s"/>
      <c r="H2543" t="s"/>
      <c r="I2543" t="s"/>
      <c r="J2543" t="n">
        <v>0.7739</v>
      </c>
      <c r="K2543" t="n">
        <v>0</v>
      </c>
      <c r="L2543" t="n">
        <v>0.704</v>
      </c>
      <c r="M2543" t="n">
        <v>0.296</v>
      </c>
    </row>
    <row r="2544" spans="1:13">
      <c r="A2544" s="1">
        <f>HYPERLINK("http://www.twitter.com/NathanBLawrence/status/986732390902042624", "986732390902042624")</f>
        <v/>
      </c>
      <c r="B2544" s="2" t="n">
        <v>43208.93413194444</v>
      </c>
      <c r="C2544" t="n">
        <v>0</v>
      </c>
      <c r="D2544" t="n">
        <v>15</v>
      </c>
      <c r="E2544" t="s">
        <v>2530</v>
      </c>
      <c r="F2544" t="s"/>
      <c r="G2544" t="s"/>
      <c r="H2544" t="s"/>
      <c r="I2544" t="s"/>
      <c r="J2544" t="n">
        <v>0.875</v>
      </c>
      <c r="K2544" t="n">
        <v>0</v>
      </c>
      <c r="L2544" t="n">
        <v>0.655</v>
      </c>
      <c r="M2544" t="n">
        <v>0.345</v>
      </c>
    </row>
    <row r="2545" spans="1:13">
      <c r="A2545" s="1">
        <f>HYPERLINK("http://www.twitter.com/NathanBLawrence/status/986730440336838656", "986730440336838656")</f>
        <v/>
      </c>
      <c r="B2545" s="2" t="n">
        <v>43208.92875</v>
      </c>
      <c r="C2545" t="n">
        <v>0</v>
      </c>
      <c r="D2545" t="n">
        <v>0</v>
      </c>
      <c r="E2545" t="s">
        <v>2531</v>
      </c>
      <c r="F2545" t="s"/>
      <c r="G2545" t="s"/>
      <c r="H2545" t="s"/>
      <c r="I2545" t="s"/>
      <c r="J2545" t="n">
        <v>-0.6808</v>
      </c>
      <c r="K2545" t="n">
        <v>0.149</v>
      </c>
      <c r="L2545" t="n">
        <v>0.851</v>
      </c>
      <c r="M2545" t="n">
        <v>0</v>
      </c>
    </row>
    <row r="2546" spans="1:13">
      <c r="A2546" s="1">
        <f>HYPERLINK("http://www.twitter.com/NathanBLawrence/status/986729588498804736", "986729588498804736")</f>
        <v/>
      </c>
      <c r="B2546" s="2" t="n">
        <v>43208.92640046297</v>
      </c>
      <c r="C2546" t="n">
        <v>0</v>
      </c>
      <c r="D2546" t="n">
        <v>0</v>
      </c>
      <c r="E2546" t="s">
        <v>2532</v>
      </c>
      <c r="F2546" t="s"/>
      <c r="G2546" t="s"/>
      <c r="H2546" t="s"/>
      <c r="I2546" t="s"/>
      <c r="J2546" t="n">
        <v>0</v>
      </c>
      <c r="K2546" t="n">
        <v>0</v>
      </c>
      <c r="L2546" t="n">
        <v>1</v>
      </c>
      <c r="M2546" t="n">
        <v>0</v>
      </c>
    </row>
    <row r="2547" spans="1:13">
      <c r="A2547" s="1">
        <f>HYPERLINK("http://www.twitter.com/NathanBLawrence/status/986729216749330432", "986729216749330432")</f>
        <v/>
      </c>
      <c r="B2547" s="2" t="n">
        <v>43208.92537037037</v>
      </c>
      <c r="C2547" t="n">
        <v>0</v>
      </c>
      <c r="D2547" t="n">
        <v>0</v>
      </c>
      <c r="E2547" t="s">
        <v>2533</v>
      </c>
      <c r="F2547" t="s"/>
      <c r="G2547" t="s"/>
      <c r="H2547" t="s"/>
      <c r="I2547" t="s"/>
      <c r="J2547" t="n">
        <v>0.4767</v>
      </c>
      <c r="K2547" t="n">
        <v>0</v>
      </c>
      <c r="L2547" t="n">
        <v>0.86</v>
      </c>
      <c r="M2547" t="n">
        <v>0.14</v>
      </c>
    </row>
    <row r="2548" spans="1:13">
      <c r="A2548" s="1">
        <f>HYPERLINK("http://www.twitter.com/NathanBLawrence/status/986728788217270274", "986728788217270274")</f>
        <v/>
      </c>
      <c r="B2548" s="2" t="n">
        <v>43208.92418981482</v>
      </c>
      <c r="C2548" t="n">
        <v>0</v>
      </c>
      <c r="D2548" t="n">
        <v>0</v>
      </c>
      <c r="E2548" t="s">
        <v>2534</v>
      </c>
      <c r="F2548" t="s"/>
      <c r="G2548" t="s"/>
      <c r="H2548" t="s"/>
      <c r="I2548" t="s"/>
      <c r="J2548" t="n">
        <v>-0.4215</v>
      </c>
      <c r="K2548" t="n">
        <v>0.095</v>
      </c>
      <c r="L2548" t="n">
        <v>0.862</v>
      </c>
      <c r="M2548" t="n">
        <v>0.043</v>
      </c>
    </row>
    <row r="2549" spans="1:13">
      <c r="A2549" s="1">
        <f>HYPERLINK("http://www.twitter.com/NathanBLawrence/status/986728156194369536", "986728156194369536")</f>
        <v/>
      </c>
      <c r="B2549" s="2" t="n">
        <v>43208.92244212963</v>
      </c>
      <c r="C2549" t="n">
        <v>2</v>
      </c>
      <c r="D2549" t="n">
        <v>1</v>
      </c>
      <c r="E2549" t="s">
        <v>2535</v>
      </c>
      <c r="F2549" t="s"/>
      <c r="G2549" t="s"/>
      <c r="H2549" t="s"/>
      <c r="I2549" t="s"/>
      <c r="J2549" t="n">
        <v>-0.34</v>
      </c>
      <c r="K2549" t="n">
        <v>0.094</v>
      </c>
      <c r="L2549" t="n">
        <v>0.8179999999999999</v>
      </c>
      <c r="M2549" t="n">
        <v>0.08799999999999999</v>
      </c>
    </row>
    <row r="2550" spans="1:13">
      <c r="A2550" s="1">
        <f>HYPERLINK("http://www.twitter.com/NathanBLawrence/status/986727216229900290", "986727216229900290")</f>
        <v/>
      </c>
      <c r="B2550" s="2" t="n">
        <v>43208.91984953704</v>
      </c>
      <c r="C2550" t="n">
        <v>0</v>
      </c>
      <c r="D2550" t="n">
        <v>0</v>
      </c>
      <c r="E2550" t="s">
        <v>2536</v>
      </c>
      <c r="F2550" t="s"/>
      <c r="G2550" t="s"/>
      <c r="H2550" t="s"/>
      <c r="I2550" t="s"/>
      <c r="J2550" t="n">
        <v>0</v>
      </c>
      <c r="K2550" t="n">
        <v>0</v>
      </c>
      <c r="L2550" t="n">
        <v>1</v>
      </c>
      <c r="M2550" t="n">
        <v>0</v>
      </c>
    </row>
    <row r="2551" spans="1:13">
      <c r="A2551" s="1">
        <f>HYPERLINK("http://www.twitter.com/NathanBLawrence/status/986726703618764802", "986726703618764802")</f>
        <v/>
      </c>
      <c r="B2551" s="2" t="n">
        <v>43208.9184375</v>
      </c>
      <c r="C2551" t="n">
        <v>1</v>
      </c>
      <c r="D2551" t="n">
        <v>1</v>
      </c>
      <c r="E2551" t="s">
        <v>2537</v>
      </c>
      <c r="F2551" t="s"/>
      <c r="G2551" t="s"/>
      <c r="H2551" t="s"/>
      <c r="I2551" t="s"/>
      <c r="J2551" t="n">
        <v>0.5487</v>
      </c>
      <c r="K2551" t="n">
        <v>0.041</v>
      </c>
      <c r="L2551" t="n">
        <v>0.854</v>
      </c>
      <c r="M2551" t="n">
        <v>0.105</v>
      </c>
    </row>
    <row r="2552" spans="1:13">
      <c r="A2552" s="1">
        <f>HYPERLINK("http://www.twitter.com/NathanBLawrence/status/986694430244646913", "986694430244646913")</f>
        <v/>
      </c>
      <c r="B2552" s="2" t="n">
        <v>43208.829375</v>
      </c>
      <c r="C2552" t="n">
        <v>0</v>
      </c>
      <c r="D2552" t="n">
        <v>7</v>
      </c>
      <c r="E2552" t="s">
        <v>2538</v>
      </c>
      <c r="F2552" t="s"/>
      <c r="G2552" t="s"/>
      <c r="H2552" t="s"/>
      <c r="I2552" t="s"/>
      <c r="J2552" t="n">
        <v>-0.7003</v>
      </c>
      <c r="K2552" t="n">
        <v>0.234</v>
      </c>
      <c r="L2552" t="n">
        <v>0.766</v>
      </c>
      <c r="M2552" t="n">
        <v>0</v>
      </c>
    </row>
    <row r="2553" spans="1:13">
      <c r="A2553" s="1">
        <f>HYPERLINK("http://www.twitter.com/NathanBLawrence/status/986692599611318272", "986692599611318272")</f>
        <v/>
      </c>
      <c r="B2553" s="2" t="n">
        <v>43208.8243287037</v>
      </c>
      <c r="C2553" t="n">
        <v>0</v>
      </c>
      <c r="D2553" t="n">
        <v>25</v>
      </c>
      <c r="E2553" t="s">
        <v>2539</v>
      </c>
      <c r="F2553">
        <f>HYPERLINK("http://pbs.twimg.com/media/DbEq08sX4AAfCiV.jpg", "http://pbs.twimg.com/media/DbEq08sX4AAfCiV.jpg")</f>
        <v/>
      </c>
      <c r="G2553" t="s"/>
      <c r="H2553" t="s"/>
      <c r="I2553" t="s"/>
      <c r="J2553" t="n">
        <v>0.4466</v>
      </c>
      <c r="K2553" t="n">
        <v>0</v>
      </c>
      <c r="L2553" t="n">
        <v>0.86</v>
      </c>
      <c r="M2553" t="n">
        <v>0.14</v>
      </c>
    </row>
    <row r="2554" spans="1:13">
      <c r="A2554" s="1">
        <f>HYPERLINK("http://www.twitter.com/NathanBLawrence/status/986692491012460554", "986692491012460554")</f>
        <v/>
      </c>
      <c r="B2554" s="2" t="n">
        <v>43208.82402777778</v>
      </c>
      <c r="C2554" t="n">
        <v>0</v>
      </c>
      <c r="D2554" t="n">
        <v>114</v>
      </c>
      <c r="E2554" t="s">
        <v>2540</v>
      </c>
      <c r="F2554" t="s"/>
      <c r="G2554" t="s"/>
      <c r="H2554" t="s"/>
      <c r="I2554" t="s"/>
      <c r="J2554" t="n">
        <v>0.7906</v>
      </c>
      <c r="K2554" t="n">
        <v>0</v>
      </c>
      <c r="L2554" t="n">
        <v>0.6</v>
      </c>
      <c r="M2554" t="n">
        <v>0.4</v>
      </c>
    </row>
    <row r="2555" spans="1:13">
      <c r="A2555" s="1">
        <f>HYPERLINK("http://www.twitter.com/NathanBLawrence/status/986673866285166600", "986673866285166600")</f>
        <v/>
      </c>
      <c r="B2555" s="2" t="n">
        <v>43208.77262731481</v>
      </c>
      <c r="C2555" t="n">
        <v>0</v>
      </c>
      <c r="D2555" t="n">
        <v>5</v>
      </c>
      <c r="E2555" t="s">
        <v>2541</v>
      </c>
      <c r="F2555" t="s"/>
      <c r="G2555" t="s"/>
      <c r="H2555" t="s"/>
      <c r="I2555" t="s"/>
      <c r="J2555" t="n">
        <v>0.1779</v>
      </c>
      <c r="K2555" t="n">
        <v>0.08400000000000001</v>
      </c>
      <c r="L2555" t="n">
        <v>0.803</v>
      </c>
      <c r="M2555" t="n">
        <v>0.112</v>
      </c>
    </row>
    <row r="2556" spans="1:13">
      <c r="A2556" s="1">
        <f>HYPERLINK("http://www.twitter.com/NathanBLawrence/status/986673830675480576", "986673830675480576")</f>
        <v/>
      </c>
      <c r="B2556" s="2" t="n">
        <v>43208.77253472222</v>
      </c>
      <c r="C2556" t="n">
        <v>0</v>
      </c>
      <c r="D2556" t="n">
        <v>3</v>
      </c>
      <c r="E2556" t="s">
        <v>2542</v>
      </c>
      <c r="F2556" t="s"/>
      <c r="G2556" t="s"/>
      <c r="H2556" t="s"/>
      <c r="I2556" t="s"/>
      <c r="J2556" t="n">
        <v>0.7605</v>
      </c>
      <c r="K2556" t="n">
        <v>0</v>
      </c>
      <c r="L2556" t="n">
        <v>0.716</v>
      </c>
      <c r="M2556" t="n">
        <v>0.284</v>
      </c>
    </row>
    <row r="2557" spans="1:13">
      <c r="A2557" s="1">
        <f>HYPERLINK("http://www.twitter.com/NathanBLawrence/status/986655902303481856", "986655902303481856")</f>
        <v/>
      </c>
      <c r="B2557" s="2" t="n">
        <v>43208.72305555556</v>
      </c>
      <c r="C2557" t="n">
        <v>0</v>
      </c>
      <c r="D2557" t="n">
        <v>31</v>
      </c>
      <c r="E2557" t="s">
        <v>2543</v>
      </c>
      <c r="F2557">
        <f>HYPERLINK("https://video.twimg.com/ext_tw_video/986639183702777857/pu/vid/640x360/U0UXWoqIty-n7UHe.mp4?tag=2", "https://video.twimg.com/ext_tw_video/986639183702777857/pu/vid/640x360/U0UXWoqIty-n7UHe.mp4?tag=2")</f>
        <v/>
      </c>
      <c r="G2557" t="s"/>
      <c r="H2557" t="s"/>
      <c r="I2557" t="s"/>
      <c r="J2557" t="n">
        <v>0</v>
      </c>
      <c r="K2557" t="n">
        <v>0</v>
      </c>
      <c r="L2557" t="n">
        <v>1</v>
      </c>
      <c r="M2557" t="n">
        <v>0</v>
      </c>
    </row>
    <row r="2558" spans="1:13">
      <c r="A2558" s="1">
        <f>HYPERLINK("http://www.twitter.com/NathanBLawrence/status/986655820401299456", "986655820401299456")</f>
        <v/>
      </c>
      <c r="B2558" s="2" t="n">
        <v>43208.72283564815</v>
      </c>
      <c r="C2558" t="n">
        <v>0</v>
      </c>
      <c r="D2558" t="n">
        <v>27136</v>
      </c>
      <c r="E2558" t="s">
        <v>2544</v>
      </c>
      <c r="F2558" t="s"/>
      <c r="G2558" t="s"/>
      <c r="H2558" t="s"/>
      <c r="I2558" t="s"/>
      <c r="J2558" t="n">
        <v>0.3182</v>
      </c>
      <c r="K2558" t="n">
        <v>0</v>
      </c>
      <c r="L2558" t="n">
        <v>0.905</v>
      </c>
      <c r="M2558" t="n">
        <v>0.095</v>
      </c>
    </row>
    <row r="2559" spans="1:13">
      <c r="A2559" s="1">
        <f>HYPERLINK("http://www.twitter.com/NathanBLawrence/status/986655782790946816", "986655782790946816")</f>
        <v/>
      </c>
      <c r="B2559" s="2" t="n">
        <v>43208.72273148148</v>
      </c>
      <c r="C2559" t="n">
        <v>0</v>
      </c>
      <c r="D2559" t="n">
        <v>1070</v>
      </c>
      <c r="E2559" t="s">
        <v>2545</v>
      </c>
      <c r="F2559">
        <f>HYPERLINK("https://video.twimg.com/ext_tw_video/986413204040380416/pu/vid/1280x720/lnne7784CQrUO5In.mp4?tag=2", "https://video.twimg.com/ext_tw_video/986413204040380416/pu/vid/1280x720/lnne7784CQrUO5In.mp4?tag=2")</f>
        <v/>
      </c>
      <c r="G2559" t="s"/>
      <c r="H2559" t="s"/>
      <c r="I2559" t="s"/>
      <c r="J2559" t="n">
        <v>-0.34</v>
      </c>
      <c r="K2559" t="n">
        <v>0.107</v>
      </c>
      <c r="L2559" t="n">
        <v>0.893</v>
      </c>
      <c r="M2559" t="n">
        <v>0</v>
      </c>
    </row>
    <row r="2560" spans="1:13">
      <c r="A2560" s="1">
        <f>HYPERLINK("http://www.twitter.com/NathanBLawrence/status/986655733054885893", "986655733054885893")</f>
        <v/>
      </c>
      <c r="B2560" s="2" t="n">
        <v>43208.7225925926</v>
      </c>
      <c r="C2560" t="n">
        <v>0</v>
      </c>
      <c r="D2560" t="n">
        <v>8</v>
      </c>
      <c r="E2560" t="s">
        <v>2546</v>
      </c>
      <c r="F2560" t="s"/>
      <c r="G2560" t="s"/>
      <c r="H2560" t="s"/>
      <c r="I2560" t="s"/>
      <c r="J2560" t="n">
        <v>0.5106000000000001</v>
      </c>
      <c r="K2560" t="n">
        <v>0.07000000000000001</v>
      </c>
      <c r="L2560" t="n">
        <v>0.738</v>
      </c>
      <c r="M2560" t="n">
        <v>0.192</v>
      </c>
    </row>
    <row r="2561" spans="1:13">
      <c r="A2561" s="1">
        <f>HYPERLINK("http://www.twitter.com/NathanBLawrence/status/986655714688020483", "986655714688020483")</f>
        <v/>
      </c>
      <c r="B2561" s="2" t="n">
        <v>43208.7225462963</v>
      </c>
      <c r="C2561" t="n">
        <v>0</v>
      </c>
      <c r="D2561" t="n">
        <v>3</v>
      </c>
      <c r="E2561" t="s">
        <v>2547</v>
      </c>
      <c r="F2561" t="s"/>
      <c r="G2561" t="s"/>
      <c r="H2561" t="s"/>
      <c r="I2561" t="s"/>
      <c r="J2561" t="n">
        <v>-0.1531</v>
      </c>
      <c r="K2561" t="n">
        <v>0.131</v>
      </c>
      <c r="L2561" t="n">
        <v>0.72</v>
      </c>
      <c r="M2561" t="n">
        <v>0.148</v>
      </c>
    </row>
    <row r="2562" spans="1:13">
      <c r="A2562" s="1">
        <f>HYPERLINK("http://www.twitter.com/NathanBLawrence/status/986655685034369025", "986655685034369025")</f>
        <v/>
      </c>
      <c r="B2562" s="2" t="n">
        <v>43208.72246527778</v>
      </c>
      <c r="C2562" t="n">
        <v>0</v>
      </c>
      <c r="D2562" t="n">
        <v>6</v>
      </c>
      <c r="E2562" t="s">
        <v>2548</v>
      </c>
      <c r="F2562" t="s"/>
      <c r="G2562" t="s"/>
      <c r="H2562" t="s"/>
      <c r="I2562" t="s"/>
      <c r="J2562" t="n">
        <v>0.7269</v>
      </c>
      <c r="K2562" t="n">
        <v>0</v>
      </c>
      <c r="L2562" t="n">
        <v>0.757</v>
      </c>
      <c r="M2562" t="n">
        <v>0.243</v>
      </c>
    </row>
    <row r="2563" spans="1:13">
      <c r="A2563" s="1">
        <f>HYPERLINK("http://www.twitter.com/NathanBLawrence/status/986655665119744002", "986655665119744002")</f>
        <v/>
      </c>
      <c r="B2563" s="2" t="n">
        <v>43208.7224074074</v>
      </c>
      <c r="C2563" t="n">
        <v>1</v>
      </c>
      <c r="D2563" t="n">
        <v>0</v>
      </c>
      <c r="E2563" t="s">
        <v>2549</v>
      </c>
      <c r="F2563" t="s"/>
      <c r="G2563" t="s"/>
      <c r="H2563" t="s"/>
      <c r="I2563" t="s"/>
      <c r="J2563" t="n">
        <v>-0.5574</v>
      </c>
      <c r="K2563" t="n">
        <v>0.281</v>
      </c>
      <c r="L2563" t="n">
        <v>0.508</v>
      </c>
      <c r="M2563" t="n">
        <v>0.211</v>
      </c>
    </row>
    <row r="2564" spans="1:13">
      <c r="A2564" s="1">
        <f>HYPERLINK("http://www.twitter.com/NathanBLawrence/status/986655502636634112", "986655502636634112")</f>
        <v/>
      </c>
      <c r="B2564" s="2" t="n">
        <v>43208.72195601852</v>
      </c>
      <c r="C2564" t="n">
        <v>0</v>
      </c>
      <c r="D2564" t="n">
        <v>41</v>
      </c>
      <c r="E2564" t="s">
        <v>2550</v>
      </c>
      <c r="F2564" t="s"/>
      <c r="G2564" t="s"/>
      <c r="H2564" t="s"/>
      <c r="I2564" t="s"/>
      <c r="J2564" t="n">
        <v>-0.6739000000000001</v>
      </c>
      <c r="K2564" t="n">
        <v>0.27</v>
      </c>
      <c r="L2564" t="n">
        <v>0.627</v>
      </c>
      <c r="M2564" t="n">
        <v>0.103</v>
      </c>
    </row>
    <row r="2565" spans="1:13">
      <c r="A2565" s="1">
        <f>HYPERLINK("http://www.twitter.com/NathanBLawrence/status/986655484164919296", "986655484164919296")</f>
        <v/>
      </c>
      <c r="B2565" s="2" t="n">
        <v>43208.72190972222</v>
      </c>
      <c r="C2565" t="n">
        <v>0</v>
      </c>
      <c r="D2565" t="n">
        <v>28800</v>
      </c>
      <c r="E2565" t="s">
        <v>2551</v>
      </c>
      <c r="F2565" t="s"/>
      <c r="G2565" t="s"/>
      <c r="H2565" t="s"/>
      <c r="I2565" t="s"/>
      <c r="J2565" t="n">
        <v>-0.7248</v>
      </c>
      <c r="K2565" t="n">
        <v>0.248</v>
      </c>
      <c r="L2565" t="n">
        <v>0.701</v>
      </c>
      <c r="M2565" t="n">
        <v>0.051</v>
      </c>
    </row>
    <row r="2566" spans="1:13">
      <c r="A2566" s="1">
        <f>HYPERLINK("http://www.twitter.com/NathanBLawrence/status/986655432944111618", "986655432944111618")</f>
        <v/>
      </c>
      <c r="B2566" s="2" t="n">
        <v>43208.72177083333</v>
      </c>
      <c r="C2566" t="n">
        <v>0</v>
      </c>
      <c r="D2566" t="n">
        <v>333</v>
      </c>
      <c r="E2566" t="s">
        <v>2552</v>
      </c>
      <c r="F2566" t="s"/>
      <c r="G2566" t="s"/>
      <c r="H2566" t="s"/>
      <c r="I2566" t="s"/>
      <c r="J2566" t="n">
        <v>0.5719</v>
      </c>
      <c r="K2566" t="n">
        <v>0</v>
      </c>
      <c r="L2566" t="n">
        <v>0.802</v>
      </c>
      <c r="M2566" t="n">
        <v>0.198</v>
      </c>
    </row>
    <row r="2567" spans="1:13">
      <c r="A2567" s="1">
        <f>HYPERLINK("http://www.twitter.com/NathanBLawrence/status/986655284314730497", "986655284314730497")</f>
        <v/>
      </c>
      <c r="B2567" s="2" t="n">
        <v>43208.72135416666</v>
      </c>
      <c r="C2567" t="n">
        <v>0</v>
      </c>
      <c r="D2567" t="n">
        <v>1</v>
      </c>
      <c r="E2567" t="s">
        <v>2553</v>
      </c>
      <c r="F2567" t="s"/>
      <c r="G2567" t="s"/>
      <c r="H2567" t="s"/>
      <c r="I2567" t="s"/>
      <c r="J2567" t="n">
        <v>0.0772</v>
      </c>
      <c r="K2567" t="n">
        <v>0</v>
      </c>
      <c r="L2567" t="n">
        <v>0.9389999999999999</v>
      </c>
      <c r="M2567" t="n">
        <v>0.061</v>
      </c>
    </row>
    <row r="2568" spans="1:13">
      <c r="A2568" s="1">
        <f>HYPERLINK("http://www.twitter.com/NathanBLawrence/status/986655267122241537", "986655267122241537")</f>
        <v/>
      </c>
      <c r="B2568" s="2" t="n">
        <v>43208.72130787037</v>
      </c>
      <c r="C2568" t="n">
        <v>1</v>
      </c>
      <c r="D2568" t="n">
        <v>1</v>
      </c>
      <c r="E2568" t="s">
        <v>2554</v>
      </c>
      <c r="F2568" t="s"/>
      <c r="G2568" t="s"/>
      <c r="H2568" t="s"/>
      <c r="I2568" t="s"/>
      <c r="J2568" t="n">
        <v>0</v>
      </c>
      <c r="K2568" t="n">
        <v>0</v>
      </c>
      <c r="L2568" t="n">
        <v>1</v>
      </c>
      <c r="M2568" t="n">
        <v>0</v>
      </c>
    </row>
    <row r="2569" spans="1:13">
      <c r="A2569" s="1">
        <f>HYPERLINK("http://www.twitter.com/NathanBLawrence/status/986654979942486016", "986654979942486016")</f>
        <v/>
      </c>
      <c r="B2569" s="2" t="n">
        <v>43208.72052083333</v>
      </c>
      <c r="C2569" t="n">
        <v>0</v>
      </c>
      <c r="D2569" t="n">
        <v>1</v>
      </c>
      <c r="E2569" t="s">
        <v>2555</v>
      </c>
      <c r="F2569" t="s"/>
      <c r="G2569" t="s"/>
      <c r="H2569" t="s"/>
      <c r="I2569" t="s"/>
      <c r="J2569" t="n">
        <v>0</v>
      </c>
      <c r="K2569" t="n">
        <v>0</v>
      </c>
      <c r="L2569" t="n">
        <v>1</v>
      </c>
      <c r="M2569" t="n">
        <v>0</v>
      </c>
    </row>
    <row r="2570" spans="1:13">
      <c r="A2570" s="1">
        <f>HYPERLINK("http://www.twitter.com/NathanBLawrence/status/986654961537822725", "986654961537822725")</f>
        <v/>
      </c>
      <c r="B2570" s="2" t="n">
        <v>43208.72046296296</v>
      </c>
      <c r="C2570" t="n">
        <v>1</v>
      </c>
      <c r="D2570" t="n">
        <v>1</v>
      </c>
      <c r="E2570" t="s">
        <v>2556</v>
      </c>
      <c r="F2570" t="s"/>
      <c r="G2570" t="s"/>
      <c r="H2570" t="s"/>
      <c r="I2570" t="s"/>
      <c r="J2570" t="n">
        <v>-0.1027</v>
      </c>
      <c r="K2570" t="n">
        <v>0.116</v>
      </c>
      <c r="L2570" t="n">
        <v>0.785</v>
      </c>
      <c r="M2570" t="n">
        <v>0.099</v>
      </c>
    </row>
    <row r="2571" spans="1:13">
      <c r="A2571" s="1">
        <f>HYPERLINK("http://www.twitter.com/NathanBLawrence/status/986654444422074368", "986654444422074368")</f>
        <v/>
      </c>
      <c r="B2571" s="2" t="n">
        <v>43208.71903935185</v>
      </c>
      <c r="C2571" t="n">
        <v>0</v>
      </c>
      <c r="D2571" t="n">
        <v>1</v>
      </c>
      <c r="E2571" t="s">
        <v>2557</v>
      </c>
      <c r="F2571" t="s"/>
      <c r="G2571" t="s"/>
      <c r="H2571" t="s"/>
      <c r="I2571" t="s"/>
      <c r="J2571" t="n">
        <v>-0.7269</v>
      </c>
      <c r="K2571" t="n">
        <v>0.225</v>
      </c>
      <c r="L2571" t="n">
        <v>0.775</v>
      </c>
      <c r="M2571" t="n">
        <v>0</v>
      </c>
    </row>
    <row r="2572" spans="1:13">
      <c r="A2572" s="1">
        <f>HYPERLINK("http://www.twitter.com/NathanBLawrence/status/986654114108051456", "986654114108051456")</f>
        <v/>
      </c>
      <c r="B2572" s="2" t="n">
        <v>43208.718125</v>
      </c>
      <c r="C2572" t="n">
        <v>1</v>
      </c>
      <c r="D2572" t="n">
        <v>1</v>
      </c>
      <c r="E2572" t="s">
        <v>2558</v>
      </c>
      <c r="F2572" t="s"/>
      <c r="G2572" t="s"/>
      <c r="H2572" t="s"/>
      <c r="I2572" t="s"/>
      <c r="J2572" t="n">
        <v>0.5707</v>
      </c>
      <c r="K2572" t="n">
        <v>0</v>
      </c>
      <c r="L2572" t="n">
        <v>0.871</v>
      </c>
      <c r="M2572" t="n">
        <v>0.129</v>
      </c>
    </row>
    <row r="2573" spans="1:13">
      <c r="A2573" s="1">
        <f>HYPERLINK("http://www.twitter.com/NathanBLawrence/status/986653772956012545", "986653772956012545")</f>
        <v/>
      </c>
      <c r="B2573" s="2" t="n">
        <v>43208.7171875</v>
      </c>
      <c r="C2573" t="n">
        <v>5</v>
      </c>
      <c r="D2573" t="n">
        <v>3</v>
      </c>
      <c r="E2573" t="s">
        <v>2559</v>
      </c>
      <c r="F2573" t="s"/>
      <c r="G2573" t="s"/>
      <c r="H2573" t="s"/>
      <c r="I2573" t="s"/>
      <c r="J2573" t="n">
        <v>0.7605</v>
      </c>
      <c r="K2573" t="n">
        <v>0</v>
      </c>
      <c r="L2573" t="n">
        <v>0.716</v>
      </c>
      <c r="M2573" t="n">
        <v>0.284</v>
      </c>
    </row>
    <row r="2574" spans="1:13">
      <c r="A2574" s="1">
        <f>HYPERLINK("http://www.twitter.com/NathanBLawrence/status/986653608178577408", "986653608178577408")</f>
        <v/>
      </c>
      <c r="B2574" s="2" t="n">
        <v>43208.71672453704</v>
      </c>
      <c r="C2574" t="n">
        <v>0</v>
      </c>
      <c r="D2574" t="n">
        <v>3</v>
      </c>
      <c r="E2574" t="s">
        <v>2560</v>
      </c>
      <c r="F2574" t="s"/>
      <c r="G2574" t="s"/>
      <c r="H2574" t="s"/>
      <c r="I2574" t="s"/>
      <c r="J2574" t="n">
        <v>0</v>
      </c>
      <c r="K2574" t="n">
        <v>0</v>
      </c>
      <c r="L2574" t="n">
        <v>1</v>
      </c>
      <c r="M2574" t="n">
        <v>0</v>
      </c>
    </row>
    <row r="2575" spans="1:13">
      <c r="A2575" s="1">
        <f>HYPERLINK("http://www.twitter.com/NathanBLawrence/status/986653592777052160", "986653592777052160")</f>
        <v/>
      </c>
      <c r="B2575" s="2" t="n">
        <v>43208.71668981481</v>
      </c>
      <c r="C2575" t="n">
        <v>9</v>
      </c>
      <c r="D2575" t="n">
        <v>5</v>
      </c>
      <c r="E2575" t="s">
        <v>2561</v>
      </c>
      <c r="F2575" t="s"/>
      <c r="G2575" t="s"/>
      <c r="H2575" t="s"/>
      <c r="I2575" t="s"/>
      <c r="J2575" t="n">
        <v>0.2263</v>
      </c>
      <c r="K2575" t="n">
        <v>0.1</v>
      </c>
      <c r="L2575" t="n">
        <v>0.781</v>
      </c>
      <c r="M2575" t="n">
        <v>0.119</v>
      </c>
    </row>
    <row r="2576" spans="1:13">
      <c r="A2576" s="1">
        <f>HYPERLINK("http://www.twitter.com/NathanBLawrence/status/986653305010032640", "986653305010032640")</f>
        <v/>
      </c>
      <c r="B2576" s="2" t="n">
        <v>43208.7158912037</v>
      </c>
      <c r="C2576" t="n">
        <v>0</v>
      </c>
      <c r="D2576" t="n">
        <v>571</v>
      </c>
      <c r="E2576" t="s">
        <v>2562</v>
      </c>
      <c r="F2576" t="s"/>
      <c r="G2576" t="s"/>
      <c r="H2576" t="s"/>
      <c r="I2576" t="s"/>
      <c r="J2576" t="n">
        <v>0.2001</v>
      </c>
      <c r="K2576" t="n">
        <v>0</v>
      </c>
      <c r="L2576" t="n">
        <v>0.883</v>
      </c>
      <c r="M2576" t="n">
        <v>0.117</v>
      </c>
    </row>
    <row r="2577" spans="1:13">
      <c r="A2577" s="1">
        <f>HYPERLINK("http://www.twitter.com/NathanBLawrence/status/986653248571486209", "986653248571486209")</f>
        <v/>
      </c>
      <c r="B2577" s="2" t="n">
        <v>43208.71574074074</v>
      </c>
      <c r="C2577" t="n">
        <v>0</v>
      </c>
      <c r="D2577" t="n">
        <v>12</v>
      </c>
      <c r="E2577" t="s">
        <v>2563</v>
      </c>
      <c r="F2577" t="s"/>
      <c r="G2577" t="s"/>
      <c r="H2577" t="s"/>
      <c r="I2577" t="s"/>
      <c r="J2577" t="n">
        <v>0</v>
      </c>
      <c r="K2577" t="n">
        <v>0</v>
      </c>
      <c r="L2577" t="n">
        <v>1</v>
      </c>
      <c r="M2577" t="n">
        <v>0</v>
      </c>
    </row>
    <row r="2578" spans="1:13">
      <c r="A2578" s="1">
        <f>HYPERLINK("http://www.twitter.com/NathanBLawrence/status/986653233644015617", "986653233644015617")</f>
        <v/>
      </c>
      <c r="B2578" s="2" t="n">
        <v>43208.71569444444</v>
      </c>
      <c r="C2578" t="n">
        <v>0</v>
      </c>
      <c r="D2578" t="n">
        <v>3</v>
      </c>
      <c r="E2578" t="s">
        <v>2563</v>
      </c>
      <c r="F2578" t="s"/>
      <c r="G2578" t="s"/>
      <c r="H2578" t="s"/>
      <c r="I2578" t="s"/>
      <c r="J2578" t="n">
        <v>0</v>
      </c>
      <c r="K2578" t="n">
        <v>0</v>
      </c>
      <c r="L2578" t="n">
        <v>1</v>
      </c>
      <c r="M2578" t="n">
        <v>0</v>
      </c>
    </row>
    <row r="2579" spans="1:13">
      <c r="A2579" s="1">
        <f>HYPERLINK("http://www.twitter.com/NathanBLawrence/status/986653205038804992", "986653205038804992")</f>
        <v/>
      </c>
      <c r="B2579" s="2" t="n">
        <v>43208.71561342593</v>
      </c>
      <c r="C2579" t="n">
        <v>0</v>
      </c>
      <c r="D2579" t="n">
        <v>15</v>
      </c>
      <c r="E2579" t="s">
        <v>2564</v>
      </c>
      <c r="F2579" t="s"/>
      <c r="G2579" t="s"/>
      <c r="H2579" t="s"/>
      <c r="I2579" t="s"/>
      <c r="J2579" t="n">
        <v>0</v>
      </c>
      <c r="K2579" t="n">
        <v>0</v>
      </c>
      <c r="L2579" t="n">
        <v>1</v>
      </c>
      <c r="M2579" t="n">
        <v>0</v>
      </c>
    </row>
    <row r="2580" spans="1:13">
      <c r="A2580" s="1">
        <f>HYPERLINK("http://www.twitter.com/NathanBLawrence/status/986653185950539777", "986653185950539777")</f>
        <v/>
      </c>
      <c r="B2580" s="2" t="n">
        <v>43208.71556712963</v>
      </c>
      <c r="C2580" t="n">
        <v>0</v>
      </c>
      <c r="D2580" t="n">
        <v>6</v>
      </c>
      <c r="E2580" t="s">
        <v>2565</v>
      </c>
      <c r="F2580" t="s"/>
      <c r="G2580" t="s"/>
      <c r="H2580" t="s"/>
      <c r="I2580" t="s"/>
      <c r="J2580" t="n">
        <v>-0.7351</v>
      </c>
      <c r="K2580" t="n">
        <v>0.228</v>
      </c>
      <c r="L2580" t="n">
        <v>0.772</v>
      </c>
      <c r="M2580" t="n">
        <v>0</v>
      </c>
    </row>
    <row r="2581" spans="1:13">
      <c r="A2581" s="1">
        <f>HYPERLINK("http://www.twitter.com/NathanBLawrence/status/986653172881117185", "986653172881117185")</f>
        <v/>
      </c>
      <c r="B2581" s="2" t="n">
        <v>43208.7155324074</v>
      </c>
      <c r="C2581" t="n">
        <v>0</v>
      </c>
      <c r="D2581" t="n">
        <v>5</v>
      </c>
      <c r="E2581" t="s">
        <v>2566</v>
      </c>
      <c r="F2581" t="s"/>
      <c r="G2581" t="s"/>
      <c r="H2581" t="s"/>
      <c r="I2581" t="s"/>
      <c r="J2581" t="n">
        <v>0.4019</v>
      </c>
      <c r="K2581" t="n">
        <v>0</v>
      </c>
      <c r="L2581" t="n">
        <v>0.847</v>
      </c>
      <c r="M2581" t="n">
        <v>0.153</v>
      </c>
    </row>
    <row r="2582" spans="1:13">
      <c r="A2582" s="1">
        <f>HYPERLINK("http://www.twitter.com/NathanBLawrence/status/986653160981848064", "986653160981848064")</f>
        <v/>
      </c>
      <c r="B2582" s="2" t="n">
        <v>43208.71549768518</v>
      </c>
      <c r="C2582" t="n">
        <v>0</v>
      </c>
      <c r="D2582" t="n">
        <v>7</v>
      </c>
      <c r="E2582" t="s">
        <v>2567</v>
      </c>
      <c r="F2582" t="s"/>
      <c r="G2582" t="s"/>
      <c r="H2582" t="s"/>
      <c r="I2582" t="s"/>
      <c r="J2582" t="n">
        <v>0.6037</v>
      </c>
      <c r="K2582" t="n">
        <v>0</v>
      </c>
      <c r="L2582" t="n">
        <v>0.859</v>
      </c>
      <c r="M2582" t="n">
        <v>0.141</v>
      </c>
    </row>
    <row r="2583" spans="1:13">
      <c r="A2583" s="1">
        <f>HYPERLINK("http://www.twitter.com/NathanBLawrence/status/986653143655243776", "986653143655243776")</f>
        <v/>
      </c>
      <c r="B2583" s="2" t="n">
        <v>43208.71545138889</v>
      </c>
      <c r="C2583" t="n">
        <v>0</v>
      </c>
      <c r="D2583" t="n">
        <v>4</v>
      </c>
      <c r="E2583" t="s">
        <v>2568</v>
      </c>
      <c r="F2583" t="s"/>
      <c r="G2583" t="s"/>
      <c r="H2583" t="s"/>
      <c r="I2583" t="s"/>
      <c r="J2583" t="n">
        <v>0</v>
      </c>
      <c r="K2583" t="n">
        <v>0</v>
      </c>
      <c r="L2583" t="n">
        <v>1</v>
      </c>
      <c r="M2583" t="n">
        <v>0</v>
      </c>
    </row>
    <row r="2584" spans="1:13">
      <c r="A2584" s="1">
        <f>HYPERLINK("http://www.twitter.com/NathanBLawrence/status/986653118967504901", "986653118967504901")</f>
        <v/>
      </c>
      <c r="B2584" s="2" t="n">
        <v>43208.71538194444</v>
      </c>
      <c r="C2584" t="n">
        <v>0</v>
      </c>
      <c r="D2584" t="n">
        <v>3</v>
      </c>
      <c r="E2584" t="s">
        <v>2569</v>
      </c>
      <c r="F2584" t="s"/>
      <c r="G2584" t="s"/>
      <c r="H2584" t="s"/>
      <c r="I2584" t="s"/>
      <c r="J2584" t="n">
        <v>-0.25</v>
      </c>
      <c r="K2584" t="n">
        <v>0.105</v>
      </c>
      <c r="L2584" t="n">
        <v>0.895</v>
      </c>
      <c r="M2584" t="n">
        <v>0</v>
      </c>
    </row>
    <row r="2585" spans="1:13">
      <c r="A2585" s="1">
        <f>HYPERLINK("http://www.twitter.com/NathanBLawrence/status/986653091398381569", "986653091398381569")</f>
        <v/>
      </c>
      <c r="B2585" s="2" t="n">
        <v>43208.71530092593</v>
      </c>
      <c r="C2585" t="n">
        <v>0</v>
      </c>
      <c r="D2585" t="n">
        <v>6</v>
      </c>
      <c r="E2585" t="s">
        <v>2570</v>
      </c>
      <c r="F2585">
        <f>HYPERLINK("http://pbs.twimg.com/media/DbCUIidXkAIL1Uz.jpg", "http://pbs.twimg.com/media/DbCUIidXkAIL1Uz.jpg")</f>
        <v/>
      </c>
      <c r="G2585" t="s"/>
      <c r="H2585" t="s"/>
      <c r="I2585" t="s"/>
      <c r="J2585" t="n">
        <v>0</v>
      </c>
      <c r="K2585" t="n">
        <v>0</v>
      </c>
      <c r="L2585" t="n">
        <v>1</v>
      </c>
      <c r="M2585" t="n">
        <v>0</v>
      </c>
    </row>
    <row r="2586" spans="1:13">
      <c r="A2586" s="1">
        <f>HYPERLINK("http://www.twitter.com/NathanBLawrence/status/986653074897997824", "986653074897997824")</f>
        <v/>
      </c>
      <c r="B2586" s="2" t="n">
        <v>43208.71525462963</v>
      </c>
      <c r="C2586" t="n">
        <v>0</v>
      </c>
      <c r="D2586" t="n">
        <v>8</v>
      </c>
      <c r="E2586" t="s">
        <v>2571</v>
      </c>
      <c r="F2586" t="s"/>
      <c r="G2586" t="s"/>
      <c r="H2586" t="s"/>
      <c r="I2586" t="s"/>
      <c r="J2586" t="n">
        <v>0.7964</v>
      </c>
      <c r="K2586" t="n">
        <v>0</v>
      </c>
      <c r="L2586" t="n">
        <v>0.712</v>
      </c>
      <c r="M2586" t="n">
        <v>0.288</v>
      </c>
    </row>
    <row r="2587" spans="1:13">
      <c r="A2587" s="1">
        <f>HYPERLINK("http://www.twitter.com/NathanBLawrence/status/986653039204454404", "986653039204454404")</f>
        <v/>
      </c>
      <c r="B2587" s="2" t="n">
        <v>43208.71516203704</v>
      </c>
      <c r="C2587" t="n">
        <v>0</v>
      </c>
      <c r="D2587" t="n">
        <v>5</v>
      </c>
      <c r="E2587" t="s">
        <v>2572</v>
      </c>
      <c r="F2587" t="s"/>
      <c r="G2587" t="s"/>
      <c r="H2587" t="s"/>
      <c r="I2587" t="s"/>
      <c r="J2587" t="n">
        <v>-0.5319</v>
      </c>
      <c r="K2587" t="n">
        <v>0.143</v>
      </c>
      <c r="L2587" t="n">
        <v>0.8070000000000001</v>
      </c>
      <c r="M2587" t="n">
        <v>0.05</v>
      </c>
    </row>
    <row r="2588" spans="1:13">
      <c r="A2588" s="1">
        <f>HYPERLINK("http://www.twitter.com/NathanBLawrence/status/986653028886425601", "986653028886425601")</f>
        <v/>
      </c>
      <c r="B2588" s="2" t="n">
        <v>43208.71512731481</v>
      </c>
      <c r="C2588" t="n">
        <v>0</v>
      </c>
      <c r="D2588" t="n">
        <v>2</v>
      </c>
      <c r="E2588" t="s">
        <v>2573</v>
      </c>
      <c r="F2588" t="s"/>
      <c r="G2588" t="s"/>
      <c r="H2588" t="s"/>
      <c r="I2588" t="s"/>
      <c r="J2588" t="n">
        <v>-0.7713</v>
      </c>
      <c r="K2588" t="n">
        <v>0.372</v>
      </c>
      <c r="L2588" t="n">
        <v>0.628</v>
      </c>
      <c r="M2588" t="n">
        <v>0</v>
      </c>
    </row>
    <row r="2589" spans="1:13">
      <c r="A2589" s="1">
        <f>HYPERLINK("http://www.twitter.com/NathanBLawrence/status/986653001715732480", "986653001715732480")</f>
        <v/>
      </c>
      <c r="B2589" s="2" t="n">
        <v>43208.71505787037</v>
      </c>
      <c r="C2589" t="n">
        <v>0</v>
      </c>
      <c r="D2589" t="n">
        <v>2</v>
      </c>
      <c r="E2589" t="s">
        <v>2574</v>
      </c>
      <c r="F2589" t="s"/>
      <c r="G2589" t="s"/>
      <c r="H2589" t="s"/>
      <c r="I2589" t="s"/>
      <c r="J2589" t="n">
        <v>0</v>
      </c>
      <c r="K2589" t="n">
        <v>0</v>
      </c>
      <c r="L2589" t="n">
        <v>1</v>
      </c>
      <c r="M2589" t="n">
        <v>0</v>
      </c>
    </row>
    <row r="2590" spans="1:13">
      <c r="A2590" s="1">
        <f>HYPERLINK("http://www.twitter.com/NathanBLawrence/status/986652991292919813", "986652991292919813")</f>
        <v/>
      </c>
      <c r="B2590" s="2" t="n">
        <v>43208.71502314815</v>
      </c>
      <c r="C2590" t="n">
        <v>0</v>
      </c>
      <c r="D2590" t="n">
        <v>3</v>
      </c>
      <c r="E2590" t="s">
        <v>2575</v>
      </c>
      <c r="F2590" t="s"/>
      <c r="G2590" t="s"/>
      <c r="H2590" t="s"/>
      <c r="I2590" t="s"/>
      <c r="J2590" t="n">
        <v>0</v>
      </c>
      <c r="K2590" t="n">
        <v>0</v>
      </c>
      <c r="L2590" t="n">
        <v>1</v>
      </c>
      <c r="M2590" t="n">
        <v>0</v>
      </c>
    </row>
    <row r="2591" spans="1:13">
      <c r="A2591" s="1">
        <f>HYPERLINK("http://www.twitter.com/NathanBLawrence/status/986652961093881856", "986652961093881856")</f>
        <v/>
      </c>
      <c r="B2591" s="2" t="n">
        <v>43208.71494212963</v>
      </c>
      <c r="C2591" t="n">
        <v>0</v>
      </c>
      <c r="D2591" t="n">
        <v>8</v>
      </c>
      <c r="E2591" t="s">
        <v>2576</v>
      </c>
      <c r="F2591">
        <f>HYPERLINK("http://pbs.twimg.com/media/DbAwxxlW4AA3aA5.jpg", "http://pbs.twimg.com/media/DbAwxxlW4AA3aA5.jpg")</f>
        <v/>
      </c>
      <c r="G2591" t="s"/>
      <c r="H2591" t="s"/>
      <c r="I2591" t="s"/>
      <c r="J2591" t="n">
        <v>0</v>
      </c>
      <c r="K2591" t="n">
        <v>0</v>
      </c>
      <c r="L2591" t="n">
        <v>1</v>
      </c>
      <c r="M2591" t="n">
        <v>0</v>
      </c>
    </row>
    <row r="2592" spans="1:13">
      <c r="A2592" s="1">
        <f>HYPERLINK("http://www.twitter.com/NathanBLawrence/status/986652948804628481", "986652948804628481")</f>
        <v/>
      </c>
      <c r="B2592" s="2" t="n">
        <v>43208.7149074074</v>
      </c>
      <c r="C2592" t="n">
        <v>0</v>
      </c>
      <c r="D2592" t="n">
        <v>8</v>
      </c>
      <c r="E2592" t="s">
        <v>2577</v>
      </c>
      <c r="F2592" t="s"/>
      <c r="G2592" t="s"/>
      <c r="H2592" t="s"/>
      <c r="I2592" t="s"/>
      <c r="J2592" t="n">
        <v>0</v>
      </c>
      <c r="K2592" t="n">
        <v>0</v>
      </c>
      <c r="L2592" t="n">
        <v>1</v>
      </c>
      <c r="M2592" t="n">
        <v>0</v>
      </c>
    </row>
    <row r="2593" spans="1:13">
      <c r="A2593" s="1">
        <f>HYPERLINK("http://www.twitter.com/NathanBLawrence/status/986652929322094593", "986652929322094593")</f>
        <v/>
      </c>
      <c r="B2593" s="2" t="n">
        <v>43208.71486111111</v>
      </c>
      <c r="C2593" t="n">
        <v>0</v>
      </c>
      <c r="D2593" t="n">
        <v>5</v>
      </c>
      <c r="E2593" t="s">
        <v>2578</v>
      </c>
      <c r="F2593" t="s"/>
      <c r="G2593" t="s"/>
      <c r="H2593" t="s"/>
      <c r="I2593" t="s"/>
      <c r="J2593" t="n">
        <v>0.2732</v>
      </c>
      <c r="K2593" t="n">
        <v>0</v>
      </c>
      <c r="L2593" t="n">
        <v>0.829</v>
      </c>
      <c r="M2593" t="n">
        <v>0.171</v>
      </c>
    </row>
    <row r="2594" spans="1:13">
      <c r="A2594" s="1">
        <f>HYPERLINK("http://www.twitter.com/NathanBLawrence/status/986652918169423873", "986652918169423873")</f>
        <v/>
      </c>
      <c r="B2594" s="2" t="n">
        <v>43208.71482638889</v>
      </c>
      <c r="C2594" t="n">
        <v>0</v>
      </c>
      <c r="D2594" t="n">
        <v>22</v>
      </c>
      <c r="E2594" t="s">
        <v>2567</v>
      </c>
      <c r="F2594" t="s"/>
      <c r="G2594" t="s"/>
      <c r="H2594" t="s"/>
      <c r="I2594" t="s"/>
      <c r="J2594" t="n">
        <v>0.6037</v>
      </c>
      <c r="K2594" t="n">
        <v>0</v>
      </c>
      <c r="L2594" t="n">
        <v>0.859</v>
      </c>
      <c r="M2594" t="n">
        <v>0.141</v>
      </c>
    </row>
    <row r="2595" spans="1:13">
      <c r="A2595" s="1">
        <f>HYPERLINK("http://www.twitter.com/NathanBLawrence/status/986652901417287680", "986652901417287680")</f>
        <v/>
      </c>
      <c r="B2595" s="2" t="n">
        <v>43208.7147800926</v>
      </c>
      <c r="C2595" t="n">
        <v>0</v>
      </c>
      <c r="D2595" t="n">
        <v>7</v>
      </c>
      <c r="E2595" t="s">
        <v>2579</v>
      </c>
      <c r="F2595" t="s"/>
      <c r="G2595" t="s"/>
      <c r="H2595" t="s"/>
      <c r="I2595" t="s"/>
      <c r="J2595" t="n">
        <v>-0.9125</v>
      </c>
      <c r="K2595" t="n">
        <v>0.336</v>
      </c>
      <c r="L2595" t="n">
        <v>0.664</v>
      </c>
      <c r="M2595" t="n">
        <v>0</v>
      </c>
    </row>
    <row r="2596" spans="1:13">
      <c r="A2596" s="1">
        <f>HYPERLINK("http://www.twitter.com/NathanBLawrence/status/986652888712777737", "986652888712777737")</f>
        <v/>
      </c>
      <c r="B2596" s="2" t="n">
        <v>43208.71474537037</v>
      </c>
      <c r="C2596" t="n">
        <v>0</v>
      </c>
      <c r="D2596" t="n">
        <v>5</v>
      </c>
      <c r="E2596" t="s">
        <v>2580</v>
      </c>
      <c r="F2596" t="s"/>
      <c r="G2596" t="s"/>
      <c r="H2596" t="s"/>
      <c r="I2596" t="s"/>
      <c r="J2596" t="n">
        <v>0</v>
      </c>
      <c r="K2596" t="n">
        <v>0</v>
      </c>
      <c r="L2596" t="n">
        <v>1</v>
      </c>
      <c r="M2596" t="n">
        <v>0</v>
      </c>
    </row>
    <row r="2597" spans="1:13">
      <c r="A2597" s="1">
        <f>HYPERLINK("http://www.twitter.com/NathanBLawrence/status/986652875072987136", "986652875072987136")</f>
        <v/>
      </c>
      <c r="B2597" s="2" t="n">
        <v>43208.71471064815</v>
      </c>
      <c r="C2597" t="n">
        <v>0</v>
      </c>
      <c r="D2597" t="n">
        <v>18</v>
      </c>
      <c r="E2597" t="s">
        <v>2581</v>
      </c>
      <c r="F2597" t="s"/>
      <c r="G2597" t="s"/>
      <c r="H2597" t="s"/>
      <c r="I2597" t="s"/>
      <c r="J2597" t="n">
        <v>0</v>
      </c>
      <c r="K2597" t="n">
        <v>0</v>
      </c>
      <c r="L2597" t="n">
        <v>1</v>
      </c>
      <c r="M2597" t="n">
        <v>0</v>
      </c>
    </row>
    <row r="2598" spans="1:13">
      <c r="A2598" s="1">
        <f>HYPERLINK("http://www.twitter.com/NathanBLawrence/status/986652862603243527", "986652862603243527")</f>
        <v/>
      </c>
      <c r="B2598" s="2" t="n">
        <v>43208.71467592593</v>
      </c>
      <c r="C2598" t="n">
        <v>0</v>
      </c>
      <c r="D2598" t="n">
        <v>8</v>
      </c>
      <c r="E2598" t="s">
        <v>2582</v>
      </c>
      <c r="F2598" t="s"/>
      <c r="G2598" t="s"/>
      <c r="H2598" t="s"/>
      <c r="I2598" t="s"/>
      <c r="J2598" t="n">
        <v>0.7964</v>
      </c>
      <c r="K2598" t="n">
        <v>0</v>
      </c>
      <c r="L2598" t="n">
        <v>0.712</v>
      </c>
      <c r="M2598" t="n">
        <v>0.288</v>
      </c>
    </row>
    <row r="2599" spans="1:13">
      <c r="A2599" s="1">
        <f>HYPERLINK("http://www.twitter.com/NathanBLawrence/status/986652847528964097", "986652847528964097")</f>
        <v/>
      </c>
      <c r="B2599" s="2" t="n">
        <v>43208.71462962963</v>
      </c>
      <c r="C2599" t="n">
        <v>0</v>
      </c>
      <c r="D2599" t="n">
        <v>6</v>
      </c>
      <c r="E2599" t="s">
        <v>2583</v>
      </c>
      <c r="F2599" t="s"/>
      <c r="G2599" t="s"/>
      <c r="H2599" t="s"/>
      <c r="I2599" t="s"/>
      <c r="J2599" t="n">
        <v>-0.4767</v>
      </c>
      <c r="K2599" t="n">
        <v>0.119</v>
      </c>
      <c r="L2599" t="n">
        <v>0.881</v>
      </c>
      <c r="M2599" t="n">
        <v>0</v>
      </c>
    </row>
    <row r="2600" spans="1:13">
      <c r="A2600" s="1">
        <f>HYPERLINK("http://www.twitter.com/NathanBLawrence/status/986652793737007105", "986652793737007105")</f>
        <v/>
      </c>
      <c r="B2600" s="2" t="n">
        <v>43208.71447916667</v>
      </c>
      <c r="C2600" t="n">
        <v>0</v>
      </c>
      <c r="D2600" t="n">
        <v>6</v>
      </c>
      <c r="E2600" t="s">
        <v>2584</v>
      </c>
      <c r="F2600" t="s"/>
      <c r="G2600" t="s"/>
      <c r="H2600" t="s"/>
      <c r="I2600" t="s"/>
      <c r="J2600" t="n">
        <v>-0.6841</v>
      </c>
      <c r="K2600" t="n">
        <v>0.21</v>
      </c>
      <c r="L2600" t="n">
        <v>0.744</v>
      </c>
      <c r="M2600" t="n">
        <v>0.046</v>
      </c>
    </row>
    <row r="2601" spans="1:13">
      <c r="A2601" s="1">
        <f>HYPERLINK("http://www.twitter.com/NathanBLawrence/status/986652773197459457", "986652773197459457")</f>
        <v/>
      </c>
      <c r="B2601" s="2" t="n">
        <v>43208.7144212963</v>
      </c>
      <c r="C2601" t="n">
        <v>0</v>
      </c>
      <c r="D2601" t="n">
        <v>3</v>
      </c>
      <c r="E2601" t="s">
        <v>2575</v>
      </c>
      <c r="F2601" t="s"/>
      <c r="G2601" t="s"/>
      <c r="H2601" t="s"/>
      <c r="I2601" t="s"/>
      <c r="J2601" t="n">
        <v>0</v>
      </c>
      <c r="K2601" t="n">
        <v>0</v>
      </c>
      <c r="L2601" t="n">
        <v>1</v>
      </c>
      <c r="M2601" t="n">
        <v>0</v>
      </c>
    </row>
    <row r="2602" spans="1:13">
      <c r="A2602" s="1">
        <f>HYPERLINK("http://www.twitter.com/NathanBLawrence/status/986652759838642176", "986652759838642176")</f>
        <v/>
      </c>
      <c r="B2602" s="2" t="n">
        <v>43208.71438657407</v>
      </c>
      <c r="C2602" t="n">
        <v>0</v>
      </c>
      <c r="D2602" t="n">
        <v>4</v>
      </c>
      <c r="E2602" t="s">
        <v>2585</v>
      </c>
      <c r="F2602" t="s"/>
      <c r="G2602" t="s"/>
      <c r="H2602" t="s"/>
      <c r="I2602" t="s"/>
      <c r="J2602" t="n">
        <v>-0.8143</v>
      </c>
      <c r="K2602" t="n">
        <v>0.297</v>
      </c>
      <c r="L2602" t="n">
        <v>0.703</v>
      </c>
      <c r="M2602" t="n">
        <v>0</v>
      </c>
    </row>
    <row r="2603" spans="1:13">
      <c r="A2603" s="1">
        <f>HYPERLINK("http://www.twitter.com/NathanBLawrence/status/986652747859718144", "986652747859718144")</f>
        <v/>
      </c>
      <c r="B2603" s="2" t="n">
        <v>43208.71435185185</v>
      </c>
      <c r="C2603" t="n">
        <v>0</v>
      </c>
      <c r="D2603" t="n">
        <v>6</v>
      </c>
      <c r="E2603" t="s">
        <v>2586</v>
      </c>
      <c r="F2603" t="s"/>
      <c r="G2603" t="s"/>
      <c r="H2603" t="s"/>
      <c r="I2603" t="s"/>
      <c r="J2603" t="n">
        <v>0.4215</v>
      </c>
      <c r="K2603" t="n">
        <v>0</v>
      </c>
      <c r="L2603" t="n">
        <v>0.882</v>
      </c>
      <c r="M2603" t="n">
        <v>0.118</v>
      </c>
    </row>
    <row r="2604" spans="1:13">
      <c r="A2604" s="1">
        <f>HYPERLINK("http://www.twitter.com/NathanBLawrence/status/986652728062611456", "986652728062611456")</f>
        <v/>
      </c>
      <c r="B2604" s="2" t="n">
        <v>43208.71430555556</v>
      </c>
      <c r="C2604" t="n">
        <v>0</v>
      </c>
      <c r="D2604" t="n">
        <v>6</v>
      </c>
      <c r="E2604" t="s">
        <v>2575</v>
      </c>
      <c r="F2604">
        <f>HYPERLINK("http://pbs.twimg.com/media/DbE8PMDV4AE_-vq.jpg", "http://pbs.twimg.com/media/DbE8PMDV4AE_-vq.jpg")</f>
        <v/>
      </c>
      <c r="G2604" t="s"/>
      <c r="H2604" t="s"/>
      <c r="I2604" t="s"/>
      <c r="J2604" t="n">
        <v>0</v>
      </c>
      <c r="K2604" t="n">
        <v>0</v>
      </c>
      <c r="L2604" t="n">
        <v>1</v>
      </c>
      <c r="M2604" t="n">
        <v>0</v>
      </c>
    </row>
    <row r="2605" spans="1:13">
      <c r="A2605" s="1">
        <f>HYPERLINK("http://www.twitter.com/NathanBLawrence/status/986652715605471233", "986652715605471233")</f>
        <v/>
      </c>
      <c r="B2605" s="2" t="n">
        <v>43208.71427083333</v>
      </c>
      <c r="C2605" t="n">
        <v>0</v>
      </c>
      <c r="D2605" t="n">
        <v>8</v>
      </c>
      <c r="E2605" t="s">
        <v>2587</v>
      </c>
      <c r="F2605" t="s"/>
      <c r="G2605" t="s"/>
      <c r="H2605" t="s"/>
      <c r="I2605" t="s"/>
      <c r="J2605" t="n">
        <v>0.1759</v>
      </c>
      <c r="K2605" t="n">
        <v>0.135</v>
      </c>
      <c r="L2605" t="n">
        <v>0.655</v>
      </c>
      <c r="M2605" t="n">
        <v>0.209</v>
      </c>
    </row>
    <row r="2606" spans="1:13">
      <c r="A2606" s="1">
        <f>HYPERLINK("http://www.twitter.com/NathanBLawrence/status/986652699071537153", "986652699071537153")</f>
        <v/>
      </c>
      <c r="B2606" s="2" t="n">
        <v>43208.71422453703</v>
      </c>
      <c r="C2606" t="n">
        <v>0</v>
      </c>
      <c r="D2606" t="n">
        <v>5</v>
      </c>
      <c r="E2606" t="s">
        <v>2588</v>
      </c>
      <c r="F2606" t="s"/>
      <c r="G2606" t="s"/>
      <c r="H2606" t="s"/>
      <c r="I2606" t="s"/>
      <c r="J2606" t="n">
        <v>0.2001</v>
      </c>
      <c r="K2606" t="n">
        <v>0</v>
      </c>
      <c r="L2606" t="n">
        <v>0.883</v>
      </c>
      <c r="M2606" t="n">
        <v>0.117</v>
      </c>
    </row>
    <row r="2607" spans="1:13">
      <c r="A2607" s="1">
        <f>HYPERLINK("http://www.twitter.com/NathanBLawrence/status/986652683846201347", "986652683846201347")</f>
        <v/>
      </c>
      <c r="B2607" s="2" t="n">
        <v>43208.71417824074</v>
      </c>
      <c r="C2607" t="n">
        <v>0</v>
      </c>
      <c r="D2607" t="n">
        <v>7</v>
      </c>
      <c r="E2607" t="s">
        <v>2589</v>
      </c>
      <c r="F2607" t="s"/>
      <c r="G2607" t="s"/>
      <c r="H2607" t="s"/>
      <c r="I2607" t="s"/>
      <c r="J2607" t="n">
        <v>0.5473</v>
      </c>
      <c r="K2607" t="n">
        <v>0.128</v>
      </c>
      <c r="L2607" t="n">
        <v>0.5629999999999999</v>
      </c>
      <c r="M2607" t="n">
        <v>0.309</v>
      </c>
    </row>
    <row r="2608" spans="1:13">
      <c r="A2608" s="1">
        <f>HYPERLINK("http://www.twitter.com/NathanBLawrence/status/986652668092444672", "986652668092444672")</f>
        <v/>
      </c>
      <c r="B2608" s="2" t="n">
        <v>43208.71413194444</v>
      </c>
      <c r="C2608" t="n">
        <v>0</v>
      </c>
      <c r="D2608" t="n">
        <v>4</v>
      </c>
      <c r="E2608" t="s">
        <v>2590</v>
      </c>
      <c r="F2608" t="s"/>
      <c r="G2608" t="s"/>
      <c r="H2608" t="s"/>
      <c r="I2608" t="s"/>
      <c r="J2608" t="n">
        <v>0.3182</v>
      </c>
      <c r="K2608" t="n">
        <v>0</v>
      </c>
      <c r="L2608" t="n">
        <v>0.723</v>
      </c>
      <c r="M2608" t="n">
        <v>0.277</v>
      </c>
    </row>
    <row r="2609" spans="1:13">
      <c r="A2609" s="1">
        <f>HYPERLINK("http://www.twitter.com/NathanBLawrence/status/986652646235918336", "986652646235918336")</f>
        <v/>
      </c>
      <c r="B2609" s="2" t="n">
        <v>43208.71407407407</v>
      </c>
      <c r="C2609" t="n">
        <v>0</v>
      </c>
      <c r="D2609" t="n">
        <v>5</v>
      </c>
      <c r="E2609" t="s">
        <v>2591</v>
      </c>
      <c r="F2609" t="s"/>
      <c r="G2609" t="s"/>
      <c r="H2609" t="s"/>
      <c r="I2609" t="s"/>
      <c r="J2609" t="n">
        <v>-0.7153</v>
      </c>
      <c r="K2609" t="n">
        <v>0.249</v>
      </c>
      <c r="L2609" t="n">
        <v>0.751</v>
      </c>
      <c r="M2609" t="n">
        <v>0</v>
      </c>
    </row>
    <row r="2610" spans="1:13">
      <c r="A2610" s="1">
        <f>HYPERLINK("http://www.twitter.com/NathanBLawrence/status/986652627738988545", "986652627738988545")</f>
        <v/>
      </c>
      <c r="B2610" s="2" t="n">
        <v>43208.71402777778</v>
      </c>
      <c r="C2610" t="n">
        <v>0</v>
      </c>
      <c r="D2610" t="n">
        <v>4</v>
      </c>
      <c r="E2610" t="s">
        <v>2592</v>
      </c>
      <c r="F2610" t="s"/>
      <c r="G2610" t="s"/>
      <c r="H2610" t="s"/>
      <c r="I2610" t="s"/>
      <c r="J2610" t="n">
        <v>0</v>
      </c>
      <c r="K2610" t="n">
        <v>0</v>
      </c>
      <c r="L2610" t="n">
        <v>1</v>
      </c>
      <c r="M2610" t="n">
        <v>0</v>
      </c>
    </row>
    <row r="2611" spans="1:13">
      <c r="A2611" s="1">
        <f>HYPERLINK("http://www.twitter.com/NathanBLawrence/status/986652571807907840", "986652571807907840")</f>
        <v/>
      </c>
      <c r="B2611" s="2" t="n">
        <v>43208.71386574074</v>
      </c>
      <c r="C2611" t="n">
        <v>0</v>
      </c>
      <c r="D2611" t="n">
        <v>4</v>
      </c>
      <c r="E2611" t="s">
        <v>2593</v>
      </c>
      <c r="F2611" t="s"/>
      <c r="G2611" t="s"/>
      <c r="H2611" t="s"/>
      <c r="I2611" t="s"/>
      <c r="J2611" t="n">
        <v>0</v>
      </c>
      <c r="K2611" t="n">
        <v>0</v>
      </c>
      <c r="L2611" t="n">
        <v>1</v>
      </c>
      <c r="M2611" t="n">
        <v>0</v>
      </c>
    </row>
    <row r="2612" spans="1:13">
      <c r="A2612" s="1">
        <f>HYPERLINK("http://www.twitter.com/NathanBLawrence/status/986652549431296002", "986652549431296002")</f>
        <v/>
      </c>
      <c r="B2612" s="2" t="n">
        <v>43208.71380787037</v>
      </c>
      <c r="C2612" t="n">
        <v>0</v>
      </c>
      <c r="D2612" t="n">
        <v>6</v>
      </c>
      <c r="E2612" t="s">
        <v>2594</v>
      </c>
      <c r="F2612" t="s"/>
      <c r="G2612" t="s"/>
      <c r="H2612" t="s"/>
      <c r="I2612" t="s"/>
      <c r="J2612" t="n">
        <v>-0.4939</v>
      </c>
      <c r="K2612" t="n">
        <v>0.233</v>
      </c>
      <c r="L2612" t="n">
        <v>0.667</v>
      </c>
      <c r="M2612" t="n">
        <v>0.1</v>
      </c>
    </row>
    <row r="2613" spans="1:13">
      <c r="A2613" s="1">
        <f>HYPERLINK("http://www.twitter.com/NathanBLawrence/status/986652536823263234", "986652536823263234")</f>
        <v/>
      </c>
      <c r="B2613" s="2" t="n">
        <v>43208.71377314815</v>
      </c>
      <c r="C2613" t="n">
        <v>0</v>
      </c>
      <c r="D2613" t="n">
        <v>4</v>
      </c>
      <c r="E2613" t="s">
        <v>2595</v>
      </c>
      <c r="F2613" t="s"/>
      <c r="G2613" t="s"/>
      <c r="H2613" t="s"/>
      <c r="I2613" t="s"/>
      <c r="J2613" t="n">
        <v>0.6705</v>
      </c>
      <c r="K2613" t="n">
        <v>0</v>
      </c>
      <c r="L2613" t="n">
        <v>0.645</v>
      </c>
      <c r="M2613" t="n">
        <v>0.355</v>
      </c>
    </row>
    <row r="2614" spans="1:13">
      <c r="A2614" s="1">
        <f>HYPERLINK("http://www.twitter.com/NathanBLawrence/status/986652504724209664", "986652504724209664")</f>
        <v/>
      </c>
      <c r="B2614" s="2" t="n">
        <v>43208.71368055556</v>
      </c>
      <c r="C2614" t="n">
        <v>0</v>
      </c>
      <c r="D2614" t="n">
        <v>13</v>
      </c>
      <c r="E2614" t="s">
        <v>2596</v>
      </c>
      <c r="F2614" t="s"/>
      <c r="G2614" t="s"/>
      <c r="H2614" t="s"/>
      <c r="I2614" t="s"/>
      <c r="J2614" t="n">
        <v>0.4215</v>
      </c>
      <c r="K2614" t="n">
        <v>0</v>
      </c>
      <c r="L2614" t="n">
        <v>0.882</v>
      </c>
      <c r="M2614" t="n">
        <v>0.118</v>
      </c>
    </row>
    <row r="2615" spans="1:13">
      <c r="A2615" s="1">
        <f>HYPERLINK("http://www.twitter.com/NathanBLawrence/status/986652477192843264", "986652477192843264")</f>
        <v/>
      </c>
      <c r="B2615" s="2" t="n">
        <v>43208.71361111111</v>
      </c>
      <c r="C2615" t="n">
        <v>0</v>
      </c>
      <c r="D2615" t="n">
        <v>7</v>
      </c>
      <c r="E2615" t="s">
        <v>2597</v>
      </c>
      <c r="F2615" t="s"/>
      <c r="G2615" t="s"/>
      <c r="H2615" t="s"/>
      <c r="I2615" t="s"/>
      <c r="J2615" t="n">
        <v>0.5994</v>
      </c>
      <c r="K2615" t="n">
        <v>0</v>
      </c>
      <c r="L2615" t="n">
        <v>0.786</v>
      </c>
      <c r="M2615" t="n">
        <v>0.214</v>
      </c>
    </row>
    <row r="2616" spans="1:13">
      <c r="A2616" s="1">
        <f>HYPERLINK("http://www.twitter.com/NathanBLawrence/status/986652457534218242", "986652457534218242")</f>
        <v/>
      </c>
      <c r="B2616" s="2" t="n">
        <v>43208.71355324074</v>
      </c>
      <c r="C2616" t="n">
        <v>0</v>
      </c>
      <c r="D2616" t="n">
        <v>6</v>
      </c>
      <c r="E2616" t="s">
        <v>2598</v>
      </c>
      <c r="F2616" t="s"/>
      <c r="G2616" t="s"/>
      <c r="H2616" t="s"/>
      <c r="I2616" t="s"/>
      <c r="J2616" t="n">
        <v>0.6808</v>
      </c>
      <c r="K2616" t="n">
        <v>0</v>
      </c>
      <c r="L2616" t="n">
        <v>0.763</v>
      </c>
      <c r="M2616" t="n">
        <v>0.237</v>
      </c>
    </row>
    <row r="2617" spans="1:13">
      <c r="A2617" s="1">
        <f>HYPERLINK("http://www.twitter.com/NathanBLawrence/status/986652439737786368", "986652439737786368")</f>
        <v/>
      </c>
      <c r="B2617" s="2" t="n">
        <v>43208.71350694444</v>
      </c>
      <c r="C2617" t="n">
        <v>0</v>
      </c>
      <c r="D2617" t="n">
        <v>5</v>
      </c>
      <c r="E2617" t="s">
        <v>2599</v>
      </c>
      <c r="F2617" t="s"/>
      <c r="G2617" t="s"/>
      <c r="H2617" t="s"/>
      <c r="I2617" t="s"/>
      <c r="J2617" t="n">
        <v>0.3182</v>
      </c>
      <c r="K2617" t="n">
        <v>0</v>
      </c>
      <c r="L2617" t="n">
        <v>0.897</v>
      </c>
      <c r="M2617" t="n">
        <v>0.103</v>
      </c>
    </row>
    <row r="2618" spans="1:13">
      <c r="A2618" s="1">
        <f>HYPERLINK("http://www.twitter.com/NathanBLawrence/status/986652421425369089", "986652421425369089")</f>
        <v/>
      </c>
      <c r="B2618" s="2" t="n">
        <v>43208.71346064815</v>
      </c>
      <c r="C2618" t="n">
        <v>0</v>
      </c>
      <c r="D2618" t="n">
        <v>8</v>
      </c>
      <c r="E2618" t="s">
        <v>2600</v>
      </c>
      <c r="F2618" t="s"/>
      <c r="G2618" t="s"/>
      <c r="H2618" t="s"/>
      <c r="I2618" t="s"/>
      <c r="J2618" t="n">
        <v>0</v>
      </c>
      <c r="K2618" t="n">
        <v>0</v>
      </c>
      <c r="L2618" t="n">
        <v>1</v>
      </c>
      <c r="M2618" t="n">
        <v>0</v>
      </c>
    </row>
    <row r="2619" spans="1:13">
      <c r="A2619" s="1">
        <f>HYPERLINK("http://www.twitter.com/NathanBLawrence/status/986652366001901568", "986652366001901568")</f>
        <v/>
      </c>
      <c r="B2619" s="2" t="n">
        <v>43208.71329861111</v>
      </c>
      <c r="C2619" t="n">
        <v>0</v>
      </c>
      <c r="D2619" t="n">
        <v>4</v>
      </c>
      <c r="E2619" t="s">
        <v>2601</v>
      </c>
      <c r="F2619">
        <f>HYPERLINK("http://pbs.twimg.com/media/DbB1_vOU0AAFaLp.jpg", "http://pbs.twimg.com/media/DbB1_vOU0AAFaLp.jpg")</f>
        <v/>
      </c>
      <c r="G2619" t="s"/>
      <c r="H2619" t="s"/>
      <c r="I2619" t="s"/>
      <c r="J2619" t="n">
        <v>0.7761</v>
      </c>
      <c r="K2619" t="n">
        <v>0</v>
      </c>
      <c r="L2619" t="n">
        <v>0.596</v>
      </c>
      <c r="M2619" t="n">
        <v>0.404</v>
      </c>
    </row>
    <row r="2620" spans="1:13">
      <c r="A2620" s="1">
        <f>HYPERLINK("http://www.twitter.com/NathanBLawrence/status/986652354509459456", "986652354509459456")</f>
        <v/>
      </c>
      <c r="B2620" s="2" t="n">
        <v>43208.71327546296</v>
      </c>
      <c r="C2620" t="n">
        <v>0</v>
      </c>
      <c r="D2620" t="n">
        <v>7</v>
      </c>
      <c r="E2620" t="s">
        <v>2602</v>
      </c>
      <c r="F2620" t="s"/>
      <c r="G2620" t="s"/>
      <c r="H2620" t="s"/>
      <c r="I2620" t="s"/>
      <c r="J2620" t="n">
        <v>-0.4939</v>
      </c>
      <c r="K2620" t="n">
        <v>0.158</v>
      </c>
      <c r="L2620" t="n">
        <v>0.842</v>
      </c>
      <c r="M2620" t="n">
        <v>0</v>
      </c>
    </row>
    <row r="2621" spans="1:13">
      <c r="A2621" s="1">
        <f>HYPERLINK("http://www.twitter.com/NathanBLawrence/status/986652343956537346", "986652343956537346")</f>
        <v/>
      </c>
      <c r="B2621" s="2" t="n">
        <v>43208.71324074074</v>
      </c>
      <c r="C2621" t="n">
        <v>0</v>
      </c>
      <c r="D2621" t="n">
        <v>6</v>
      </c>
      <c r="E2621" t="s">
        <v>2603</v>
      </c>
      <c r="F2621" t="s"/>
      <c r="G2621" t="s"/>
      <c r="H2621" t="s"/>
      <c r="I2621" t="s"/>
      <c r="J2621" t="n">
        <v>0</v>
      </c>
      <c r="K2621" t="n">
        <v>0</v>
      </c>
      <c r="L2621" t="n">
        <v>1</v>
      </c>
      <c r="M2621" t="n">
        <v>0</v>
      </c>
    </row>
    <row r="2622" spans="1:13">
      <c r="A2622" s="1">
        <f>HYPERLINK("http://www.twitter.com/NathanBLawrence/status/986652332971712513", "986652332971712513")</f>
        <v/>
      </c>
      <c r="B2622" s="2" t="n">
        <v>43208.71320601852</v>
      </c>
      <c r="C2622" t="n">
        <v>0</v>
      </c>
      <c r="D2622" t="n">
        <v>4</v>
      </c>
      <c r="E2622" t="s">
        <v>2604</v>
      </c>
      <c r="F2622" t="s"/>
      <c r="G2622" t="s"/>
      <c r="H2622" t="s"/>
      <c r="I2622" t="s"/>
      <c r="J2622" t="n">
        <v>0.8395</v>
      </c>
      <c r="K2622" t="n">
        <v>0</v>
      </c>
      <c r="L2622" t="n">
        <v>0.667</v>
      </c>
      <c r="M2622" t="n">
        <v>0.333</v>
      </c>
    </row>
    <row r="2623" spans="1:13">
      <c r="A2623" s="1">
        <f>HYPERLINK("http://www.twitter.com/NathanBLawrence/status/986652316618166274", "986652316618166274")</f>
        <v/>
      </c>
      <c r="B2623" s="2" t="n">
        <v>43208.71317129629</v>
      </c>
      <c r="C2623" t="n">
        <v>0</v>
      </c>
      <c r="D2623" t="n">
        <v>2</v>
      </c>
      <c r="E2623" t="s">
        <v>2605</v>
      </c>
      <c r="F2623" t="s"/>
      <c r="G2623" t="s"/>
      <c r="H2623" t="s"/>
      <c r="I2623" t="s"/>
      <c r="J2623" t="n">
        <v>0</v>
      </c>
      <c r="K2623" t="n">
        <v>0</v>
      </c>
      <c r="L2623" t="n">
        <v>1</v>
      </c>
      <c r="M2623" t="n">
        <v>0</v>
      </c>
    </row>
    <row r="2624" spans="1:13">
      <c r="A2624" s="1">
        <f>HYPERLINK("http://www.twitter.com/NathanBLawrence/status/986652302709805056", "986652302709805056")</f>
        <v/>
      </c>
      <c r="B2624" s="2" t="n">
        <v>43208.713125</v>
      </c>
      <c r="C2624" t="n">
        <v>0</v>
      </c>
      <c r="D2624" t="n">
        <v>7</v>
      </c>
      <c r="E2624" t="s">
        <v>2606</v>
      </c>
      <c r="F2624" t="s"/>
      <c r="G2624" t="s"/>
      <c r="H2624" t="s"/>
      <c r="I2624" t="s"/>
      <c r="J2624" t="n">
        <v>-0.296</v>
      </c>
      <c r="K2624" t="n">
        <v>0.091</v>
      </c>
      <c r="L2624" t="n">
        <v>0.909</v>
      </c>
      <c r="M2624" t="n">
        <v>0</v>
      </c>
    </row>
    <row r="2625" spans="1:13">
      <c r="A2625" s="1">
        <f>HYPERLINK("http://www.twitter.com/NathanBLawrence/status/986652285391556608", "986652285391556608")</f>
        <v/>
      </c>
      <c r="B2625" s="2" t="n">
        <v>43208.7130787037</v>
      </c>
      <c r="C2625" t="n">
        <v>0</v>
      </c>
      <c r="D2625" t="n">
        <v>3</v>
      </c>
      <c r="E2625" t="s">
        <v>2607</v>
      </c>
      <c r="F2625" t="s"/>
      <c r="G2625" t="s"/>
      <c r="H2625" t="s"/>
      <c r="I2625" t="s"/>
      <c r="J2625" t="n">
        <v>-0.1779</v>
      </c>
      <c r="K2625" t="n">
        <v>0.147</v>
      </c>
      <c r="L2625" t="n">
        <v>0.736</v>
      </c>
      <c r="M2625" t="n">
        <v>0.117</v>
      </c>
    </row>
    <row r="2626" spans="1:13">
      <c r="A2626" s="1">
        <f>HYPERLINK("http://www.twitter.com/NathanBLawrence/status/986652272431190016", "986652272431190016")</f>
        <v/>
      </c>
      <c r="B2626" s="2" t="n">
        <v>43208.71304398148</v>
      </c>
      <c r="C2626" t="n">
        <v>0</v>
      </c>
      <c r="D2626" t="n">
        <v>8</v>
      </c>
      <c r="E2626" t="s">
        <v>2608</v>
      </c>
      <c r="F2626">
        <f>HYPERLINK("http://pbs.twimg.com/media/DbDvoF1UQAAGKhy.jpg", "http://pbs.twimg.com/media/DbDvoF1UQAAGKhy.jpg")</f>
        <v/>
      </c>
      <c r="G2626" t="s"/>
      <c r="H2626" t="s"/>
      <c r="I2626" t="s"/>
      <c r="J2626" t="n">
        <v>-0.2342</v>
      </c>
      <c r="K2626" t="n">
        <v>0.134</v>
      </c>
      <c r="L2626" t="n">
        <v>0.763</v>
      </c>
      <c r="M2626" t="n">
        <v>0.103</v>
      </c>
    </row>
    <row r="2627" spans="1:13">
      <c r="A2627" s="1">
        <f>HYPERLINK("http://www.twitter.com/NathanBLawrence/status/986652261135863808", "986652261135863808")</f>
        <v/>
      </c>
      <c r="B2627" s="2" t="n">
        <v>43208.71300925926</v>
      </c>
      <c r="C2627" t="n">
        <v>0</v>
      </c>
      <c r="D2627" t="n">
        <v>15</v>
      </c>
      <c r="E2627" t="s">
        <v>2609</v>
      </c>
      <c r="F2627" t="s"/>
      <c r="G2627" t="s"/>
      <c r="H2627" t="s"/>
      <c r="I2627" t="s"/>
      <c r="J2627" t="n">
        <v>0.507</v>
      </c>
      <c r="K2627" t="n">
        <v>0.115</v>
      </c>
      <c r="L2627" t="n">
        <v>0.698</v>
      </c>
      <c r="M2627" t="n">
        <v>0.187</v>
      </c>
    </row>
    <row r="2628" spans="1:13">
      <c r="A2628" s="1">
        <f>HYPERLINK("http://www.twitter.com/NathanBLawrence/status/986652243066843137", "986652243066843137")</f>
        <v/>
      </c>
      <c r="B2628" s="2" t="n">
        <v>43208.71296296296</v>
      </c>
      <c r="C2628" t="n">
        <v>0</v>
      </c>
      <c r="D2628" t="n">
        <v>6</v>
      </c>
      <c r="E2628" t="s">
        <v>2610</v>
      </c>
      <c r="F2628" t="s"/>
      <c r="G2628" t="s"/>
      <c r="H2628" t="s"/>
      <c r="I2628" t="s"/>
      <c r="J2628" t="n">
        <v>0</v>
      </c>
      <c r="K2628" t="n">
        <v>0</v>
      </c>
      <c r="L2628" t="n">
        <v>1</v>
      </c>
      <c r="M2628" t="n">
        <v>0</v>
      </c>
    </row>
    <row r="2629" spans="1:13">
      <c r="A2629" s="1">
        <f>HYPERLINK("http://www.twitter.com/NathanBLawrence/status/986652231201181696", "986652231201181696")</f>
        <v/>
      </c>
      <c r="B2629" s="2" t="n">
        <v>43208.71292824074</v>
      </c>
      <c r="C2629" t="n">
        <v>0</v>
      </c>
      <c r="D2629" t="n">
        <v>7</v>
      </c>
      <c r="E2629" t="s">
        <v>2611</v>
      </c>
      <c r="F2629" t="s"/>
      <c r="G2629" t="s"/>
      <c r="H2629" t="s"/>
      <c r="I2629" t="s"/>
      <c r="J2629" t="n">
        <v>-0.4404</v>
      </c>
      <c r="K2629" t="n">
        <v>0.178</v>
      </c>
      <c r="L2629" t="n">
        <v>0.822</v>
      </c>
      <c r="M2629" t="n">
        <v>0</v>
      </c>
    </row>
    <row r="2630" spans="1:13">
      <c r="A2630" s="1">
        <f>HYPERLINK("http://www.twitter.com/NathanBLawrence/status/986652218404360198", "986652218404360198")</f>
        <v/>
      </c>
      <c r="B2630" s="2" t="n">
        <v>43208.71289351852</v>
      </c>
      <c r="C2630" t="n">
        <v>0</v>
      </c>
      <c r="D2630" t="n">
        <v>7</v>
      </c>
      <c r="E2630" t="s">
        <v>2612</v>
      </c>
      <c r="F2630" t="s"/>
      <c r="G2630" t="s"/>
      <c r="H2630" t="s"/>
      <c r="I2630" t="s"/>
      <c r="J2630" t="n">
        <v>-0.4019</v>
      </c>
      <c r="K2630" t="n">
        <v>0.101</v>
      </c>
      <c r="L2630" t="n">
        <v>0.899</v>
      </c>
      <c r="M2630" t="n">
        <v>0</v>
      </c>
    </row>
    <row r="2631" spans="1:13">
      <c r="A2631" s="1">
        <f>HYPERLINK("http://www.twitter.com/NathanBLawrence/status/986652206828056576", "986652206828056576")</f>
        <v/>
      </c>
      <c r="B2631" s="2" t="n">
        <v>43208.71285879629</v>
      </c>
      <c r="C2631" t="n">
        <v>0</v>
      </c>
      <c r="D2631" t="n">
        <v>4</v>
      </c>
      <c r="E2631" t="s">
        <v>2613</v>
      </c>
      <c r="F2631" t="s"/>
      <c r="G2631" t="s"/>
      <c r="H2631" t="s"/>
      <c r="I2631" t="s"/>
      <c r="J2631" t="n">
        <v>-0.4199</v>
      </c>
      <c r="K2631" t="n">
        <v>0.318</v>
      </c>
      <c r="L2631" t="n">
        <v>0.6820000000000001</v>
      </c>
      <c r="M2631" t="n">
        <v>0</v>
      </c>
    </row>
    <row r="2632" spans="1:13">
      <c r="A2632" s="1">
        <f>HYPERLINK("http://www.twitter.com/NathanBLawrence/status/986652195478298625", "986652195478298625")</f>
        <v/>
      </c>
      <c r="B2632" s="2" t="n">
        <v>43208.71283564815</v>
      </c>
      <c r="C2632" t="n">
        <v>0</v>
      </c>
      <c r="D2632" t="n">
        <v>6</v>
      </c>
      <c r="E2632" t="s">
        <v>2614</v>
      </c>
      <c r="F2632" t="s"/>
      <c r="G2632" t="s"/>
      <c r="H2632" t="s"/>
      <c r="I2632" t="s"/>
      <c r="J2632" t="n">
        <v>-0.2732</v>
      </c>
      <c r="K2632" t="n">
        <v>0.158</v>
      </c>
      <c r="L2632" t="n">
        <v>0.756</v>
      </c>
      <c r="M2632" t="n">
        <v>0.08599999999999999</v>
      </c>
    </row>
    <row r="2633" spans="1:13">
      <c r="A2633" s="1">
        <f>HYPERLINK("http://www.twitter.com/NathanBLawrence/status/986652180164857857", "986652180164857857")</f>
        <v/>
      </c>
      <c r="B2633" s="2" t="n">
        <v>43208.71278935186</v>
      </c>
      <c r="C2633" t="n">
        <v>0</v>
      </c>
      <c r="D2633" t="n">
        <v>7</v>
      </c>
      <c r="E2633" t="s">
        <v>2615</v>
      </c>
      <c r="F2633" t="s"/>
      <c r="G2633" t="s"/>
      <c r="H2633" t="s"/>
      <c r="I2633" t="s"/>
      <c r="J2633" t="n">
        <v>0.7657</v>
      </c>
      <c r="K2633" t="n">
        <v>0.046</v>
      </c>
      <c r="L2633" t="n">
        <v>0.673</v>
      </c>
      <c r="M2633" t="n">
        <v>0.28</v>
      </c>
    </row>
    <row r="2634" spans="1:13">
      <c r="A2634" s="1">
        <f>HYPERLINK("http://www.twitter.com/NathanBLawrence/status/986652169209344000", "986652169209344000")</f>
        <v/>
      </c>
      <c r="B2634" s="2" t="n">
        <v>43208.71275462963</v>
      </c>
      <c r="C2634" t="n">
        <v>0</v>
      </c>
      <c r="D2634" t="n">
        <v>7</v>
      </c>
      <c r="E2634" t="s">
        <v>2616</v>
      </c>
      <c r="F2634" t="s"/>
      <c r="G2634" t="s"/>
      <c r="H2634" t="s"/>
      <c r="I2634" t="s"/>
      <c r="J2634" t="n">
        <v>0</v>
      </c>
      <c r="K2634" t="n">
        <v>0</v>
      </c>
      <c r="L2634" t="n">
        <v>1</v>
      </c>
      <c r="M2634" t="n">
        <v>0</v>
      </c>
    </row>
    <row r="2635" spans="1:13">
      <c r="A2635" s="1">
        <f>HYPERLINK("http://www.twitter.com/NathanBLawrence/status/986652104218628096", "986652104218628096")</f>
        <v/>
      </c>
      <c r="B2635" s="2" t="n">
        <v>43208.71258101852</v>
      </c>
      <c r="C2635" t="n">
        <v>0</v>
      </c>
      <c r="D2635" t="n">
        <v>15</v>
      </c>
      <c r="E2635" t="s">
        <v>2617</v>
      </c>
      <c r="F2635" t="s"/>
      <c r="G2635" t="s"/>
      <c r="H2635" t="s"/>
      <c r="I2635" t="s"/>
      <c r="J2635" t="n">
        <v>0.3054</v>
      </c>
      <c r="K2635" t="n">
        <v>0</v>
      </c>
      <c r="L2635" t="n">
        <v>0.899</v>
      </c>
      <c r="M2635" t="n">
        <v>0.101</v>
      </c>
    </row>
    <row r="2636" spans="1:13">
      <c r="A2636" s="1">
        <f>HYPERLINK("http://www.twitter.com/NathanBLawrence/status/986652086216609792", "986652086216609792")</f>
        <v/>
      </c>
      <c r="B2636" s="2" t="n">
        <v>43208.71253472222</v>
      </c>
      <c r="C2636" t="n">
        <v>0</v>
      </c>
      <c r="D2636" t="n">
        <v>10</v>
      </c>
      <c r="E2636" t="s">
        <v>2618</v>
      </c>
      <c r="F2636">
        <f>HYPERLINK("http://pbs.twimg.com/media/DbEksoFXUAInxX0.jpg", "http://pbs.twimg.com/media/DbEksoFXUAInxX0.jpg")</f>
        <v/>
      </c>
      <c r="G2636" t="s"/>
      <c r="H2636" t="s"/>
      <c r="I2636" t="s"/>
      <c r="J2636" t="n">
        <v>0</v>
      </c>
      <c r="K2636" t="n">
        <v>0</v>
      </c>
      <c r="L2636" t="n">
        <v>1</v>
      </c>
      <c r="M2636" t="n">
        <v>0</v>
      </c>
    </row>
    <row r="2637" spans="1:13">
      <c r="A2637" s="1">
        <f>HYPERLINK("http://www.twitter.com/NathanBLawrence/status/986652069972135936", "986652069972135936")</f>
        <v/>
      </c>
      <c r="B2637" s="2" t="n">
        <v>43208.71248842592</v>
      </c>
      <c r="C2637" t="n">
        <v>0</v>
      </c>
      <c r="D2637" t="n">
        <v>11</v>
      </c>
      <c r="E2637" t="s">
        <v>2619</v>
      </c>
      <c r="F2637" t="s"/>
      <c r="G2637" t="s"/>
      <c r="H2637" t="s"/>
      <c r="I2637" t="s"/>
      <c r="J2637" t="n">
        <v>-0.0772</v>
      </c>
      <c r="K2637" t="n">
        <v>0.058</v>
      </c>
      <c r="L2637" t="n">
        <v>0.9419999999999999</v>
      </c>
      <c r="M2637" t="n">
        <v>0</v>
      </c>
    </row>
    <row r="2638" spans="1:13">
      <c r="A2638" s="1">
        <f>HYPERLINK("http://www.twitter.com/NathanBLawrence/status/986652049927561216", "986652049927561216")</f>
        <v/>
      </c>
      <c r="B2638" s="2" t="n">
        <v>43208.71243055556</v>
      </c>
      <c r="C2638" t="n">
        <v>0</v>
      </c>
      <c r="D2638" t="n">
        <v>8</v>
      </c>
      <c r="E2638" t="s">
        <v>2620</v>
      </c>
      <c r="F2638">
        <f>HYPERLINK("http://pbs.twimg.com/media/DbEsjZnW4AABVeh.jpg", "http://pbs.twimg.com/media/DbEsjZnW4AABVeh.jpg")</f>
        <v/>
      </c>
      <c r="G2638" t="s"/>
      <c r="H2638" t="s"/>
      <c r="I2638" t="s"/>
      <c r="J2638" t="n">
        <v>0</v>
      </c>
      <c r="K2638" t="n">
        <v>0</v>
      </c>
      <c r="L2638" t="n">
        <v>1</v>
      </c>
      <c r="M2638" t="n">
        <v>0</v>
      </c>
    </row>
    <row r="2639" spans="1:13">
      <c r="A2639" s="1">
        <f>HYPERLINK("http://www.twitter.com/NathanBLawrence/status/986652039190122497", "986652039190122497")</f>
        <v/>
      </c>
      <c r="B2639" s="2" t="n">
        <v>43208.71239583333</v>
      </c>
      <c r="C2639" t="n">
        <v>0</v>
      </c>
      <c r="D2639" t="n">
        <v>9</v>
      </c>
      <c r="E2639" t="s">
        <v>2621</v>
      </c>
      <c r="F2639" t="s"/>
      <c r="G2639" t="s"/>
      <c r="H2639" t="s"/>
      <c r="I2639" t="s"/>
      <c r="J2639" t="n">
        <v>0.1695</v>
      </c>
      <c r="K2639" t="n">
        <v>0</v>
      </c>
      <c r="L2639" t="n">
        <v>0.926</v>
      </c>
      <c r="M2639" t="n">
        <v>0.074</v>
      </c>
    </row>
    <row r="2640" spans="1:13">
      <c r="A2640" s="1">
        <f>HYPERLINK("http://www.twitter.com/NathanBLawrence/status/986652027135692800", "986652027135692800")</f>
        <v/>
      </c>
      <c r="B2640" s="2" t="n">
        <v>43208.71237268519</v>
      </c>
      <c r="C2640" t="n">
        <v>0</v>
      </c>
      <c r="D2640" t="n">
        <v>6</v>
      </c>
      <c r="E2640" t="s">
        <v>2622</v>
      </c>
      <c r="F2640" t="s"/>
      <c r="G2640" t="s"/>
      <c r="H2640" t="s"/>
      <c r="I2640" t="s"/>
      <c r="J2640" t="n">
        <v>-0.636</v>
      </c>
      <c r="K2640" t="n">
        <v>0.252</v>
      </c>
      <c r="L2640" t="n">
        <v>0.659</v>
      </c>
      <c r="M2640" t="n">
        <v>0.089</v>
      </c>
    </row>
    <row r="2641" spans="1:13">
      <c r="A2641" s="1">
        <f>HYPERLINK("http://www.twitter.com/NathanBLawrence/status/986652016025001984", "986652016025001984")</f>
        <v/>
      </c>
      <c r="B2641" s="2" t="n">
        <v>43208.71233796296</v>
      </c>
      <c r="C2641" t="n">
        <v>0</v>
      </c>
      <c r="D2641" t="n">
        <v>10</v>
      </c>
      <c r="E2641" t="s">
        <v>2623</v>
      </c>
      <c r="F2641" t="s"/>
      <c r="G2641" t="s"/>
      <c r="H2641" t="s"/>
      <c r="I2641" t="s"/>
      <c r="J2641" t="n">
        <v>0.1477</v>
      </c>
      <c r="K2641" t="n">
        <v>0</v>
      </c>
      <c r="L2641" t="n">
        <v>0.899</v>
      </c>
      <c r="M2641" t="n">
        <v>0.101</v>
      </c>
    </row>
    <row r="2642" spans="1:13">
      <c r="A2642" s="1">
        <f>HYPERLINK("http://www.twitter.com/NathanBLawrence/status/986652003089739777", "986652003089739777")</f>
        <v/>
      </c>
      <c r="B2642" s="2" t="n">
        <v>43208.71230324074</v>
      </c>
      <c r="C2642" t="n">
        <v>0</v>
      </c>
      <c r="D2642" t="n">
        <v>11</v>
      </c>
      <c r="E2642" t="s">
        <v>2624</v>
      </c>
      <c r="F2642" t="s"/>
      <c r="G2642" t="s"/>
      <c r="H2642" t="s"/>
      <c r="I2642" t="s"/>
      <c r="J2642" t="n">
        <v>0.4588</v>
      </c>
      <c r="K2642" t="n">
        <v>0</v>
      </c>
      <c r="L2642" t="n">
        <v>0.789</v>
      </c>
      <c r="M2642" t="n">
        <v>0.211</v>
      </c>
    </row>
    <row r="2643" spans="1:13">
      <c r="A2643" s="1">
        <f>HYPERLINK("http://www.twitter.com/NathanBLawrence/status/986651990590738433", "986651990590738433")</f>
        <v/>
      </c>
      <c r="B2643" s="2" t="n">
        <v>43208.71226851852</v>
      </c>
      <c r="C2643" t="n">
        <v>0</v>
      </c>
      <c r="D2643" t="n">
        <v>9</v>
      </c>
      <c r="E2643" t="s">
        <v>2625</v>
      </c>
      <c r="F2643" t="s"/>
      <c r="G2643" t="s"/>
      <c r="H2643" t="s"/>
      <c r="I2643" t="s"/>
      <c r="J2643" t="n">
        <v>0.34</v>
      </c>
      <c r="K2643" t="n">
        <v>0</v>
      </c>
      <c r="L2643" t="n">
        <v>0.897</v>
      </c>
      <c r="M2643" t="n">
        <v>0.103</v>
      </c>
    </row>
    <row r="2644" spans="1:13">
      <c r="A2644" s="1">
        <f>HYPERLINK("http://www.twitter.com/NathanBLawrence/status/986651974337736704", "986651974337736704")</f>
        <v/>
      </c>
      <c r="B2644" s="2" t="n">
        <v>43208.71222222222</v>
      </c>
      <c r="C2644" t="n">
        <v>1</v>
      </c>
      <c r="D2644" t="n">
        <v>1</v>
      </c>
      <c r="E2644" t="s">
        <v>2626</v>
      </c>
      <c r="F2644" t="s"/>
      <c r="G2644" t="s"/>
      <c r="H2644" t="s"/>
      <c r="I2644" t="s"/>
      <c r="J2644" t="n">
        <v>0</v>
      </c>
      <c r="K2644" t="n">
        <v>0</v>
      </c>
      <c r="L2644" t="n">
        <v>1</v>
      </c>
      <c r="M2644" t="n">
        <v>0</v>
      </c>
    </row>
    <row r="2645" spans="1:13">
      <c r="A2645" s="1">
        <f>HYPERLINK("http://www.twitter.com/NathanBLawrence/status/986651867961856000", "986651867961856000")</f>
        <v/>
      </c>
      <c r="B2645" s="2" t="n">
        <v>43208.71193287037</v>
      </c>
      <c r="C2645" t="n">
        <v>0</v>
      </c>
      <c r="D2645" t="n">
        <v>11</v>
      </c>
      <c r="E2645" t="s">
        <v>2627</v>
      </c>
      <c r="F2645">
        <f>HYPERLINK("http://pbs.twimg.com/media/DbEmTdkUMAAVLLF.jpg", "http://pbs.twimg.com/media/DbEmTdkUMAAVLLF.jpg")</f>
        <v/>
      </c>
      <c r="G2645" t="s"/>
      <c r="H2645" t="s"/>
      <c r="I2645" t="s"/>
      <c r="J2645" t="n">
        <v>-0.3612</v>
      </c>
      <c r="K2645" t="n">
        <v>0.111</v>
      </c>
      <c r="L2645" t="n">
        <v>0.889</v>
      </c>
      <c r="M2645" t="n">
        <v>0</v>
      </c>
    </row>
    <row r="2646" spans="1:13">
      <c r="A2646" s="1">
        <f>HYPERLINK("http://www.twitter.com/NathanBLawrence/status/986651848185663489", "986651848185663489")</f>
        <v/>
      </c>
      <c r="B2646" s="2" t="n">
        <v>43208.711875</v>
      </c>
      <c r="C2646" t="n">
        <v>0</v>
      </c>
      <c r="D2646" t="n">
        <v>12</v>
      </c>
      <c r="E2646" t="s">
        <v>2628</v>
      </c>
      <c r="F2646">
        <f>HYPERLINK("http://pbs.twimg.com/media/DbEs7ByX4AAUq5K.jpg", "http://pbs.twimg.com/media/DbEs7ByX4AAUq5K.jpg")</f>
        <v/>
      </c>
      <c r="G2646" t="s"/>
      <c r="H2646" t="s"/>
      <c r="I2646" t="s"/>
      <c r="J2646" t="n">
        <v>-0.7717000000000001</v>
      </c>
      <c r="K2646" t="n">
        <v>0.332</v>
      </c>
      <c r="L2646" t="n">
        <v>0.504</v>
      </c>
      <c r="M2646" t="n">
        <v>0.163</v>
      </c>
    </row>
    <row r="2647" spans="1:13">
      <c r="A2647" s="1">
        <f>HYPERLINK("http://www.twitter.com/NathanBLawrence/status/986651799519100928", "986651799519100928")</f>
        <v/>
      </c>
      <c r="B2647" s="2" t="n">
        <v>43208.71173611111</v>
      </c>
      <c r="C2647" t="n">
        <v>0</v>
      </c>
      <c r="D2647" t="n">
        <v>12</v>
      </c>
      <c r="E2647" t="s">
        <v>2629</v>
      </c>
      <c r="F2647">
        <f>HYPERLINK("http://pbs.twimg.com/media/DbBvN32WkAAKjOJ.jpg", "http://pbs.twimg.com/media/DbBvN32WkAAKjOJ.jpg")</f>
        <v/>
      </c>
      <c r="G2647" t="s"/>
      <c r="H2647" t="s"/>
      <c r="I2647" t="s"/>
      <c r="J2647" t="n">
        <v>-0.1027</v>
      </c>
      <c r="K2647" t="n">
        <v>0.139</v>
      </c>
      <c r="L2647" t="n">
        <v>0.743</v>
      </c>
      <c r="M2647" t="n">
        <v>0.119</v>
      </c>
    </row>
    <row r="2648" spans="1:13">
      <c r="A2648" s="1">
        <f>HYPERLINK("http://www.twitter.com/NathanBLawrence/status/986651548691435520", "986651548691435520")</f>
        <v/>
      </c>
      <c r="B2648" s="2" t="n">
        <v>43208.71104166667</v>
      </c>
      <c r="C2648" t="n">
        <v>0</v>
      </c>
      <c r="D2648" t="n">
        <v>6</v>
      </c>
      <c r="E2648" t="s">
        <v>2630</v>
      </c>
      <c r="F2648" t="s"/>
      <c r="G2648" t="s"/>
      <c r="H2648" t="s"/>
      <c r="I2648" t="s"/>
      <c r="J2648" t="n">
        <v>0</v>
      </c>
      <c r="K2648" t="n">
        <v>0</v>
      </c>
      <c r="L2648" t="n">
        <v>1</v>
      </c>
      <c r="M2648" t="n">
        <v>0</v>
      </c>
    </row>
    <row r="2649" spans="1:13">
      <c r="A2649" s="1">
        <f>HYPERLINK("http://www.twitter.com/NathanBLawrence/status/986651474577981440", "986651474577981440")</f>
        <v/>
      </c>
      <c r="B2649" s="2" t="n">
        <v>43208.71084490741</v>
      </c>
      <c r="C2649" t="n">
        <v>0</v>
      </c>
      <c r="D2649" t="n">
        <v>12</v>
      </c>
      <c r="E2649" t="s">
        <v>2631</v>
      </c>
      <c r="F2649">
        <f>HYPERLINK("http://pbs.twimg.com/media/DbBrhMHVMAAfSrT.jpg", "http://pbs.twimg.com/media/DbBrhMHVMAAfSrT.jpg")</f>
        <v/>
      </c>
      <c r="G2649" t="s"/>
      <c r="H2649" t="s"/>
      <c r="I2649" t="s"/>
      <c r="J2649" t="n">
        <v>-0.6778</v>
      </c>
      <c r="K2649" t="n">
        <v>0.247</v>
      </c>
      <c r="L2649" t="n">
        <v>0.753</v>
      </c>
      <c r="M2649" t="n">
        <v>0</v>
      </c>
    </row>
    <row r="2650" spans="1:13">
      <c r="A2650" s="1">
        <f>HYPERLINK("http://www.twitter.com/NathanBLawrence/status/986651436086853632", "986651436086853632")</f>
        <v/>
      </c>
      <c r="B2650" s="2" t="n">
        <v>43208.71074074074</v>
      </c>
      <c r="C2650" t="n">
        <v>0</v>
      </c>
      <c r="D2650" t="n">
        <v>8</v>
      </c>
      <c r="E2650" t="s">
        <v>2632</v>
      </c>
      <c r="F2650">
        <f>HYPERLINK("http://pbs.twimg.com/media/DbEaC_oUMAA81y7.jpg", "http://pbs.twimg.com/media/DbEaC_oUMAA81y7.jpg")</f>
        <v/>
      </c>
      <c r="G2650" t="s"/>
      <c r="H2650" t="s"/>
      <c r="I2650" t="s"/>
      <c r="J2650" t="n">
        <v>0.3182</v>
      </c>
      <c r="K2650" t="n">
        <v>0</v>
      </c>
      <c r="L2650" t="n">
        <v>0.901</v>
      </c>
      <c r="M2650" t="n">
        <v>0.099</v>
      </c>
    </row>
    <row r="2651" spans="1:13">
      <c r="A2651" s="1">
        <f>HYPERLINK("http://www.twitter.com/NathanBLawrence/status/986598442502848514", "986598442502848514")</f>
        <v/>
      </c>
      <c r="B2651" s="2" t="n">
        <v>43208.56450231482</v>
      </c>
      <c r="C2651" t="n">
        <v>12</v>
      </c>
      <c r="D2651" t="n">
        <v>8</v>
      </c>
      <c r="E2651" t="s">
        <v>2633</v>
      </c>
      <c r="F2651">
        <f>HYPERLINK("http://pbs.twimg.com/media/DbEaC_oUMAA81y7.jpg", "http://pbs.twimg.com/media/DbEaC_oUMAA81y7.jpg")</f>
        <v/>
      </c>
      <c r="G2651" t="s"/>
      <c r="H2651" t="s"/>
      <c r="I2651" t="s"/>
      <c r="J2651" t="n">
        <v>-0.168</v>
      </c>
      <c r="K2651" t="n">
        <v>0.067</v>
      </c>
      <c r="L2651" t="n">
        <v>0.881</v>
      </c>
      <c r="M2651" t="n">
        <v>0.052</v>
      </c>
    </row>
    <row r="2652" spans="1:13">
      <c r="A2652" s="1">
        <f>HYPERLINK("http://www.twitter.com/NathanBLawrence/status/986450415322648576", "986450415322648576")</f>
        <v/>
      </c>
      <c r="B2652" s="2" t="n">
        <v>43208.15603009259</v>
      </c>
      <c r="C2652" t="n">
        <v>0</v>
      </c>
      <c r="D2652" t="n">
        <v>2</v>
      </c>
      <c r="E2652" t="s">
        <v>2634</v>
      </c>
      <c r="F2652" t="s"/>
      <c r="G2652" t="s"/>
      <c r="H2652" t="s"/>
      <c r="I2652" t="s"/>
      <c r="J2652" t="n">
        <v>-0.2144</v>
      </c>
      <c r="K2652" t="n">
        <v>0.125</v>
      </c>
      <c r="L2652" t="n">
        <v>0.875</v>
      </c>
      <c r="M2652" t="n">
        <v>0</v>
      </c>
    </row>
    <row r="2653" spans="1:13">
      <c r="A2653" s="1">
        <f>HYPERLINK("http://www.twitter.com/NathanBLawrence/status/986450382112149504", "986450382112149504")</f>
        <v/>
      </c>
      <c r="B2653" s="2" t="n">
        <v>43208.1559375</v>
      </c>
      <c r="C2653" t="n">
        <v>4</v>
      </c>
      <c r="D2653" t="n">
        <v>2</v>
      </c>
      <c r="E2653" t="s">
        <v>2635</v>
      </c>
      <c r="F2653" t="s"/>
      <c r="G2653" t="s"/>
      <c r="H2653" t="s"/>
      <c r="I2653" t="s"/>
      <c r="J2653" t="n">
        <v>-0.787</v>
      </c>
      <c r="K2653" t="n">
        <v>0.148</v>
      </c>
      <c r="L2653" t="n">
        <v>0.828</v>
      </c>
      <c r="M2653" t="n">
        <v>0.023</v>
      </c>
    </row>
    <row r="2654" spans="1:13">
      <c r="A2654" s="1">
        <f>HYPERLINK("http://www.twitter.com/NathanBLawrence/status/986449950014832640", "986449950014832640")</f>
        <v/>
      </c>
      <c r="B2654" s="2" t="n">
        <v>43208.15474537037</v>
      </c>
      <c r="C2654" t="n">
        <v>0</v>
      </c>
      <c r="D2654" t="n">
        <v>11</v>
      </c>
      <c r="E2654" t="s">
        <v>2636</v>
      </c>
      <c r="F2654" t="s"/>
      <c r="G2654" t="s"/>
      <c r="H2654" t="s"/>
      <c r="I2654" t="s"/>
      <c r="J2654" t="n">
        <v>0</v>
      </c>
      <c r="K2654" t="n">
        <v>0</v>
      </c>
      <c r="L2654" t="n">
        <v>1</v>
      </c>
      <c r="M2654" t="n">
        <v>0</v>
      </c>
    </row>
    <row r="2655" spans="1:13">
      <c r="A2655" s="1">
        <f>HYPERLINK("http://www.twitter.com/NathanBLawrence/status/986449932650532870", "986449932650532870")</f>
        <v/>
      </c>
      <c r="B2655" s="2" t="n">
        <v>43208.1546875</v>
      </c>
      <c r="C2655" t="n">
        <v>0</v>
      </c>
      <c r="D2655" t="n">
        <v>10</v>
      </c>
      <c r="E2655" t="s">
        <v>2637</v>
      </c>
      <c r="F2655">
        <f>HYPERLINK("http://pbs.twimg.com/media/DbBxVBoV4AEdfvH.jpg", "http://pbs.twimg.com/media/DbBxVBoV4AEdfvH.jpg")</f>
        <v/>
      </c>
      <c r="G2655" t="s"/>
      <c r="H2655" t="s"/>
      <c r="I2655" t="s"/>
      <c r="J2655" t="n">
        <v>0</v>
      </c>
      <c r="K2655" t="n">
        <v>0</v>
      </c>
      <c r="L2655" t="n">
        <v>1</v>
      </c>
      <c r="M2655" t="n">
        <v>0</v>
      </c>
    </row>
    <row r="2656" spans="1:13">
      <c r="A2656" s="1">
        <f>HYPERLINK("http://www.twitter.com/NathanBLawrence/status/986449786445484032", "986449786445484032")</f>
        <v/>
      </c>
      <c r="B2656" s="2" t="n">
        <v>43208.15429398148</v>
      </c>
      <c r="C2656" t="n">
        <v>0</v>
      </c>
      <c r="D2656" t="n">
        <v>9</v>
      </c>
      <c r="E2656" t="s">
        <v>2637</v>
      </c>
      <c r="F2656" t="s"/>
      <c r="G2656" t="s"/>
      <c r="H2656" t="s"/>
      <c r="I2656" t="s"/>
      <c r="J2656" t="n">
        <v>0</v>
      </c>
      <c r="K2656" t="n">
        <v>0</v>
      </c>
      <c r="L2656" t="n">
        <v>1</v>
      </c>
      <c r="M2656" t="n">
        <v>0</v>
      </c>
    </row>
    <row r="2657" spans="1:13">
      <c r="A2657" s="1">
        <f>HYPERLINK("http://www.twitter.com/NathanBLawrence/status/986426821263740928", "986426821263740928")</f>
        <v/>
      </c>
      <c r="B2657" s="2" t="n">
        <v>43208.09091435185</v>
      </c>
      <c r="C2657" t="n">
        <v>6</v>
      </c>
      <c r="D2657" t="n">
        <v>4</v>
      </c>
      <c r="E2657" t="s">
        <v>2638</v>
      </c>
      <c r="F2657">
        <f>HYPERLINK("http://pbs.twimg.com/media/DbB99kMW0AUga2j.jpg", "http://pbs.twimg.com/media/DbB99kMW0AUga2j.jpg")</f>
        <v/>
      </c>
      <c r="G2657" t="s"/>
      <c r="H2657" t="s"/>
      <c r="I2657" t="s"/>
      <c r="J2657" t="n">
        <v>0</v>
      </c>
      <c r="K2657" t="n">
        <v>0</v>
      </c>
      <c r="L2657" t="n">
        <v>1</v>
      </c>
      <c r="M2657" t="n">
        <v>0</v>
      </c>
    </row>
    <row r="2658" spans="1:13">
      <c r="A2658" s="1">
        <f>HYPERLINK("http://www.twitter.com/NathanBLawrence/status/986393060165726208", "986393060165726208")</f>
        <v/>
      </c>
      <c r="B2658" s="2" t="n">
        <v>43207.99775462963</v>
      </c>
      <c r="C2658" t="n">
        <v>0</v>
      </c>
      <c r="D2658" t="n">
        <v>44</v>
      </c>
      <c r="E2658" t="s">
        <v>2639</v>
      </c>
      <c r="F2658" t="s"/>
      <c r="G2658" t="s"/>
      <c r="H2658" t="s"/>
      <c r="I2658" t="s"/>
      <c r="J2658" t="n">
        <v>0</v>
      </c>
      <c r="K2658" t="n">
        <v>0</v>
      </c>
      <c r="L2658" t="n">
        <v>1</v>
      </c>
      <c r="M2658" t="n">
        <v>0</v>
      </c>
    </row>
    <row r="2659" spans="1:13">
      <c r="A2659" s="1">
        <f>HYPERLINK("http://www.twitter.com/NathanBLawrence/status/986381141367193600", "986381141367193600")</f>
        <v/>
      </c>
      <c r="B2659" s="2" t="n">
        <v>43207.96486111111</v>
      </c>
      <c r="C2659" t="n">
        <v>0</v>
      </c>
      <c r="D2659" t="n">
        <v>0</v>
      </c>
      <c r="E2659" t="s">
        <v>2640</v>
      </c>
      <c r="F2659" t="s"/>
      <c r="G2659" t="s"/>
      <c r="H2659" t="s"/>
      <c r="I2659" t="s"/>
      <c r="J2659" t="n">
        <v>0.2144</v>
      </c>
      <c r="K2659" t="n">
        <v>0</v>
      </c>
      <c r="L2659" t="n">
        <v>0.764</v>
      </c>
      <c r="M2659" t="n">
        <v>0.236</v>
      </c>
    </row>
    <row r="2660" spans="1:13">
      <c r="A2660" s="1">
        <f>HYPERLINK("http://www.twitter.com/NathanBLawrence/status/986380319568875520", "986380319568875520")</f>
        <v/>
      </c>
      <c r="B2660" s="2" t="n">
        <v>43207.96259259259</v>
      </c>
      <c r="C2660" t="n">
        <v>0</v>
      </c>
      <c r="D2660" t="n">
        <v>18</v>
      </c>
      <c r="E2660" t="s">
        <v>2641</v>
      </c>
      <c r="F2660" t="s"/>
      <c r="G2660" t="s"/>
      <c r="H2660" t="s"/>
      <c r="I2660" t="s"/>
      <c r="J2660" t="n">
        <v>0</v>
      </c>
      <c r="K2660" t="n">
        <v>0</v>
      </c>
      <c r="L2660" t="n">
        <v>1</v>
      </c>
      <c r="M2660" t="n">
        <v>0</v>
      </c>
    </row>
    <row r="2661" spans="1:13">
      <c r="A2661" s="1">
        <f>HYPERLINK("http://www.twitter.com/NathanBLawrence/status/986380309427089408", "986380309427089408")</f>
        <v/>
      </c>
      <c r="B2661" s="2" t="n">
        <v>43207.96256944445</v>
      </c>
      <c r="C2661" t="n">
        <v>0</v>
      </c>
      <c r="D2661" t="n">
        <v>0</v>
      </c>
      <c r="E2661" t="s">
        <v>2642</v>
      </c>
      <c r="F2661" t="s"/>
      <c r="G2661" t="s"/>
      <c r="H2661" t="s"/>
      <c r="I2661" t="s"/>
      <c r="J2661" t="n">
        <v>0</v>
      </c>
      <c r="K2661" t="n">
        <v>0</v>
      </c>
      <c r="L2661" t="n">
        <v>1</v>
      </c>
      <c r="M2661" t="n">
        <v>0</v>
      </c>
    </row>
    <row r="2662" spans="1:13">
      <c r="A2662" s="1">
        <f>HYPERLINK("http://www.twitter.com/NathanBLawrence/status/986377763677507584", "986377763677507584")</f>
        <v/>
      </c>
      <c r="B2662" s="2" t="n">
        <v>43207.95554398148</v>
      </c>
      <c r="C2662" t="n">
        <v>0</v>
      </c>
      <c r="D2662" t="n">
        <v>11</v>
      </c>
      <c r="E2662" t="s">
        <v>2643</v>
      </c>
      <c r="F2662" t="s"/>
      <c r="G2662" t="s"/>
      <c r="H2662" t="s"/>
      <c r="I2662" t="s"/>
      <c r="J2662" t="n">
        <v>-0.4696</v>
      </c>
      <c r="K2662" t="n">
        <v>0.127</v>
      </c>
      <c r="L2662" t="n">
        <v>0.873</v>
      </c>
      <c r="M2662" t="n">
        <v>0</v>
      </c>
    </row>
    <row r="2663" spans="1:13">
      <c r="A2663" s="1">
        <f>HYPERLINK("http://www.twitter.com/NathanBLawrence/status/986376444992466950", "986376444992466950")</f>
        <v/>
      </c>
      <c r="B2663" s="2" t="n">
        <v>43207.95190972222</v>
      </c>
      <c r="C2663" t="n">
        <v>0</v>
      </c>
      <c r="D2663" t="n">
        <v>0</v>
      </c>
      <c r="E2663" t="s">
        <v>2644</v>
      </c>
      <c r="F2663" t="s"/>
      <c r="G2663" t="s"/>
      <c r="H2663" t="s"/>
      <c r="I2663" t="s"/>
      <c r="J2663" t="n">
        <v>0</v>
      </c>
      <c r="K2663" t="n">
        <v>0</v>
      </c>
      <c r="L2663" t="n">
        <v>1</v>
      </c>
      <c r="M2663" t="n">
        <v>0</v>
      </c>
    </row>
    <row r="2664" spans="1:13">
      <c r="A2664" s="1">
        <f>HYPERLINK("http://www.twitter.com/NathanBLawrence/status/986375865922719744", "986375865922719744")</f>
        <v/>
      </c>
      <c r="B2664" s="2" t="n">
        <v>43207.9503125</v>
      </c>
      <c r="C2664" t="n">
        <v>8</v>
      </c>
      <c r="D2664" t="n">
        <v>11</v>
      </c>
      <c r="E2664" t="s">
        <v>2645</v>
      </c>
      <c r="F2664" t="s"/>
      <c r="G2664" t="s"/>
      <c r="H2664" t="s"/>
      <c r="I2664" t="s"/>
      <c r="J2664" t="n">
        <v>-0.3632</v>
      </c>
      <c r="K2664" t="n">
        <v>0.052</v>
      </c>
      <c r="L2664" t="n">
        <v>0.948</v>
      </c>
      <c r="M2664" t="n">
        <v>0</v>
      </c>
    </row>
    <row r="2665" spans="1:13">
      <c r="A2665" s="1">
        <f>HYPERLINK("http://www.twitter.com/NathanBLawrence/status/986375267110277120", "986375267110277120")</f>
        <v/>
      </c>
      <c r="B2665" s="2" t="n">
        <v>43207.94865740741</v>
      </c>
      <c r="C2665" t="n">
        <v>1</v>
      </c>
      <c r="D2665" t="n">
        <v>1</v>
      </c>
      <c r="E2665" t="s">
        <v>2646</v>
      </c>
      <c r="F2665" t="s"/>
      <c r="G2665" t="s"/>
      <c r="H2665" t="s"/>
      <c r="I2665" t="s"/>
      <c r="J2665" t="n">
        <v>0.5007</v>
      </c>
      <c r="K2665" t="n">
        <v>0.026</v>
      </c>
      <c r="L2665" t="n">
        <v>0.87</v>
      </c>
      <c r="M2665" t="n">
        <v>0.104</v>
      </c>
    </row>
    <row r="2666" spans="1:13">
      <c r="A2666" s="1">
        <f>HYPERLINK("http://www.twitter.com/NathanBLawrence/status/986373534669852672", "986373534669852672")</f>
        <v/>
      </c>
      <c r="B2666" s="2" t="n">
        <v>43207.94387731481</v>
      </c>
      <c r="C2666" t="n">
        <v>0</v>
      </c>
      <c r="D2666" t="n">
        <v>2</v>
      </c>
      <c r="E2666" t="s">
        <v>2647</v>
      </c>
      <c r="F2666" t="s"/>
      <c r="G2666" t="s"/>
      <c r="H2666" t="s"/>
      <c r="I2666" t="s"/>
      <c r="J2666" t="n">
        <v>0.4215</v>
      </c>
      <c r="K2666" t="n">
        <v>0</v>
      </c>
      <c r="L2666" t="n">
        <v>0.891</v>
      </c>
      <c r="M2666" t="n">
        <v>0.109</v>
      </c>
    </row>
    <row r="2667" spans="1:13">
      <c r="A2667" s="1">
        <f>HYPERLINK("http://www.twitter.com/NathanBLawrence/status/986373320617676801", "986373320617676801")</f>
        <v/>
      </c>
      <c r="B2667" s="2" t="n">
        <v>43207.94328703704</v>
      </c>
      <c r="C2667" t="n">
        <v>0</v>
      </c>
      <c r="D2667" t="n">
        <v>8</v>
      </c>
      <c r="E2667" t="s">
        <v>2648</v>
      </c>
      <c r="F2667" t="s"/>
      <c r="G2667" t="s"/>
      <c r="H2667" t="s"/>
      <c r="I2667" t="s"/>
      <c r="J2667" t="n">
        <v>-0.4086</v>
      </c>
      <c r="K2667" t="n">
        <v>0.141</v>
      </c>
      <c r="L2667" t="n">
        <v>0.789</v>
      </c>
      <c r="M2667" t="n">
        <v>0.06900000000000001</v>
      </c>
    </row>
    <row r="2668" spans="1:13">
      <c r="A2668" s="1">
        <f>HYPERLINK("http://www.twitter.com/NathanBLawrence/status/986373301256773633", "986373301256773633")</f>
        <v/>
      </c>
      <c r="B2668" s="2" t="n">
        <v>43207.94322916667</v>
      </c>
      <c r="C2668" t="n">
        <v>0</v>
      </c>
      <c r="D2668" t="n">
        <v>6</v>
      </c>
      <c r="E2668" t="s">
        <v>2649</v>
      </c>
      <c r="F2668" t="s"/>
      <c r="G2668" t="s"/>
      <c r="H2668" t="s"/>
      <c r="I2668" t="s"/>
      <c r="J2668" t="n">
        <v>-0.6841</v>
      </c>
      <c r="K2668" t="n">
        <v>0.229</v>
      </c>
      <c r="L2668" t="n">
        <v>0.771</v>
      </c>
      <c r="M2668" t="n">
        <v>0</v>
      </c>
    </row>
    <row r="2669" spans="1:13">
      <c r="A2669" s="1">
        <f>HYPERLINK("http://www.twitter.com/NathanBLawrence/status/986373274019008512", "986373274019008512")</f>
        <v/>
      </c>
      <c r="B2669" s="2" t="n">
        <v>43207.94315972222</v>
      </c>
      <c r="C2669" t="n">
        <v>0</v>
      </c>
      <c r="D2669" t="n">
        <v>255</v>
      </c>
      <c r="E2669" t="s">
        <v>2650</v>
      </c>
      <c r="F2669" t="s"/>
      <c r="G2669" t="s"/>
      <c r="H2669" t="s"/>
      <c r="I2669" t="s"/>
      <c r="J2669" t="n">
        <v>0</v>
      </c>
      <c r="K2669" t="n">
        <v>0</v>
      </c>
      <c r="L2669" t="n">
        <v>1</v>
      </c>
      <c r="M2669" t="n">
        <v>0</v>
      </c>
    </row>
    <row r="2670" spans="1:13">
      <c r="A2670" s="1">
        <f>HYPERLINK("http://www.twitter.com/NathanBLawrence/status/986371717177184256", "986371717177184256")</f>
        <v/>
      </c>
      <c r="B2670" s="2" t="n">
        <v>43207.93885416666</v>
      </c>
      <c r="C2670" t="n">
        <v>2</v>
      </c>
      <c r="D2670" t="n">
        <v>1</v>
      </c>
      <c r="E2670" t="s">
        <v>2651</v>
      </c>
      <c r="F2670" t="s"/>
      <c r="G2670" t="s"/>
      <c r="H2670" t="s"/>
      <c r="I2670" t="s"/>
      <c r="J2670" t="n">
        <v>0</v>
      </c>
      <c r="K2670" t="n">
        <v>0</v>
      </c>
      <c r="L2670" t="n">
        <v>1</v>
      </c>
      <c r="M2670" t="n">
        <v>0</v>
      </c>
    </row>
    <row r="2671" spans="1:13">
      <c r="A2671" s="1">
        <f>HYPERLINK("http://www.twitter.com/NathanBLawrence/status/986364850132668416", "986364850132668416")</f>
        <v/>
      </c>
      <c r="B2671" s="2" t="n">
        <v>43207.91990740741</v>
      </c>
      <c r="C2671" t="n">
        <v>8</v>
      </c>
      <c r="D2671" t="n">
        <v>8</v>
      </c>
      <c r="E2671" t="s">
        <v>2652</v>
      </c>
      <c r="F2671" t="s"/>
      <c r="G2671" t="s"/>
      <c r="H2671" t="s"/>
      <c r="I2671" t="s"/>
      <c r="J2671" t="n">
        <v>-0.6941000000000001</v>
      </c>
      <c r="K2671" t="n">
        <v>0.125</v>
      </c>
      <c r="L2671" t="n">
        <v>0.842</v>
      </c>
      <c r="M2671" t="n">
        <v>0.033</v>
      </c>
    </row>
    <row r="2672" spans="1:13">
      <c r="A2672" s="1">
        <f>HYPERLINK("http://www.twitter.com/NathanBLawrence/status/986359089474297858", "986359089474297858")</f>
        <v/>
      </c>
      <c r="B2672" s="2" t="n">
        <v>43207.90401620371</v>
      </c>
      <c r="C2672" t="n">
        <v>8</v>
      </c>
      <c r="D2672" t="n">
        <v>6</v>
      </c>
      <c r="E2672" t="s">
        <v>2653</v>
      </c>
      <c r="F2672" t="s"/>
      <c r="G2672" t="s"/>
      <c r="H2672" t="s"/>
      <c r="I2672" t="s"/>
      <c r="J2672" t="n">
        <v>-0.6841</v>
      </c>
      <c r="K2672" t="n">
        <v>0.22</v>
      </c>
      <c r="L2672" t="n">
        <v>0.78</v>
      </c>
      <c r="M2672" t="n">
        <v>0</v>
      </c>
    </row>
    <row r="2673" spans="1:13">
      <c r="A2673" s="1">
        <f>HYPERLINK("http://www.twitter.com/NathanBLawrence/status/986337480256491520", "986337480256491520")</f>
        <v/>
      </c>
      <c r="B2673" s="2" t="n">
        <v>43207.84438657408</v>
      </c>
      <c r="C2673" t="n">
        <v>2</v>
      </c>
      <c r="D2673" t="n">
        <v>2</v>
      </c>
      <c r="E2673" t="s">
        <v>2654</v>
      </c>
      <c r="F2673" t="s"/>
      <c r="G2673" t="s"/>
      <c r="H2673" t="s"/>
      <c r="I2673" t="s"/>
      <c r="J2673" t="n">
        <v>0.4215</v>
      </c>
      <c r="K2673" t="n">
        <v>0</v>
      </c>
      <c r="L2673" t="n">
        <v>0.891</v>
      </c>
      <c r="M2673" t="n">
        <v>0.109</v>
      </c>
    </row>
    <row r="2674" spans="1:13">
      <c r="A2674" s="1">
        <f>HYPERLINK("http://www.twitter.com/NathanBLawrence/status/986337302682263552", "986337302682263552")</f>
        <v/>
      </c>
      <c r="B2674" s="2" t="n">
        <v>43207.84388888889</v>
      </c>
      <c r="C2674" t="n">
        <v>0</v>
      </c>
      <c r="D2674" t="n">
        <v>9</v>
      </c>
      <c r="E2674" t="s">
        <v>2655</v>
      </c>
      <c r="F2674" t="s"/>
      <c r="G2674" t="s"/>
      <c r="H2674" t="s"/>
      <c r="I2674" t="s"/>
      <c r="J2674" t="n">
        <v>-0.9013</v>
      </c>
      <c r="K2674" t="n">
        <v>0.335</v>
      </c>
      <c r="L2674" t="n">
        <v>0.665</v>
      </c>
      <c r="M2674" t="n">
        <v>0</v>
      </c>
    </row>
    <row r="2675" spans="1:13">
      <c r="A2675" s="1">
        <f>HYPERLINK("http://www.twitter.com/NathanBLawrence/status/986330414657818630", "986330414657818630")</f>
        <v/>
      </c>
      <c r="B2675" s="2" t="n">
        <v>43207.82488425926</v>
      </c>
      <c r="C2675" t="n">
        <v>6</v>
      </c>
      <c r="D2675" t="n">
        <v>2</v>
      </c>
      <c r="E2675" t="s">
        <v>2656</v>
      </c>
      <c r="F2675" t="s"/>
      <c r="G2675" t="s"/>
      <c r="H2675" t="s"/>
      <c r="I2675" t="s"/>
      <c r="J2675" t="n">
        <v>-0.5423</v>
      </c>
      <c r="K2675" t="n">
        <v>0.101</v>
      </c>
      <c r="L2675" t="n">
        <v>0.899</v>
      </c>
      <c r="M2675" t="n">
        <v>0</v>
      </c>
    </row>
    <row r="2676" spans="1:13">
      <c r="A2676" s="1">
        <f>HYPERLINK("http://www.twitter.com/NathanBLawrence/status/986329988592029708", "986329988592029708")</f>
        <v/>
      </c>
      <c r="B2676" s="2" t="n">
        <v>43207.82371527778</v>
      </c>
      <c r="C2676" t="n">
        <v>1</v>
      </c>
      <c r="D2676" t="n">
        <v>0</v>
      </c>
      <c r="E2676" t="s">
        <v>2657</v>
      </c>
      <c r="F2676" t="s"/>
      <c r="G2676" t="s"/>
      <c r="H2676" t="s"/>
      <c r="I2676" t="s"/>
      <c r="J2676" t="n">
        <v>0.6808</v>
      </c>
      <c r="K2676" t="n">
        <v>0</v>
      </c>
      <c r="L2676" t="n">
        <v>0.728</v>
      </c>
      <c r="M2676" t="n">
        <v>0.272</v>
      </c>
    </row>
    <row r="2677" spans="1:13">
      <c r="A2677" s="1">
        <f>HYPERLINK("http://www.twitter.com/NathanBLawrence/status/986329877950423041", "986329877950423041")</f>
        <v/>
      </c>
      <c r="B2677" s="2" t="n">
        <v>43207.82340277778</v>
      </c>
      <c r="C2677" t="n">
        <v>0</v>
      </c>
      <c r="D2677" t="n">
        <v>3822</v>
      </c>
      <c r="E2677" t="s">
        <v>2658</v>
      </c>
      <c r="F2677">
        <f>HYPERLINK("http://pbs.twimg.com/media/DbAKzqaV4AAWKzM.jpg", "http://pbs.twimg.com/media/DbAKzqaV4AAWKzM.jpg")</f>
        <v/>
      </c>
      <c r="G2677">
        <f>HYPERLINK("http://pbs.twimg.com/media/DbAKzqLVwAAav7b.jpg", "http://pbs.twimg.com/media/DbAKzqLVwAAav7b.jpg")</f>
        <v/>
      </c>
      <c r="H2677">
        <f>HYPERLINK("http://pbs.twimg.com/media/DbAKzqOV4AA-fzq.jpg", "http://pbs.twimg.com/media/DbAKzqOV4AA-fzq.jpg")</f>
        <v/>
      </c>
      <c r="I2677" t="s"/>
      <c r="J2677" t="n">
        <v>0</v>
      </c>
      <c r="K2677" t="n">
        <v>0</v>
      </c>
      <c r="L2677" t="n">
        <v>1</v>
      </c>
      <c r="M2677" t="n">
        <v>0</v>
      </c>
    </row>
    <row r="2678" spans="1:13">
      <c r="A2678" s="1">
        <f>HYPERLINK("http://www.twitter.com/NathanBLawrence/status/986329726024339459", "986329726024339459")</f>
        <v/>
      </c>
      <c r="B2678" s="2" t="n">
        <v>43207.82298611111</v>
      </c>
      <c r="C2678" t="n">
        <v>0</v>
      </c>
      <c r="D2678" t="n">
        <v>7</v>
      </c>
      <c r="E2678" t="s">
        <v>2659</v>
      </c>
      <c r="F2678" t="s"/>
      <c r="G2678" t="s"/>
      <c r="H2678" t="s"/>
      <c r="I2678" t="s"/>
      <c r="J2678" t="n">
        <v>-0.4939</v>
      </c>
      <c r="K2678" t="n">
        <v>0.122</v>
      </c>
      <c r="L2678" t="n">
        <v>0.878</v>
      </c>
      <c r="M2678" t="n">
        <v>0</v>
      </c>
    </row>
    <row r="2679" spans="1:13">
      <c r="A2679" s="1">
        <f>HYPERLINK("http://www.twitter.com/NathanBLawrence/status/986329698165719040", "986329698165719040")</f>
        <v/>
      </c>
      <c r="B2679" s="2" t="n">
        <v>43207.82290509259</v>
      </c>
      <c r="C2679" t="n">
        <v>0</v>
      </c>
      <c r="D2679" t="n">
        <v>4</v>
      </c>
      <c r="E2679" t="s">
        <v>2660</v>
      </c>
      <c r="F2679" t="s"/>
      <c r="G2679" t="s"/>
      <c r="H2679" t="s"/>
      <c r="I2679" t="s"/>
      <c r="J2679" t="n">
        <v>0</v>
      </c>
      <c r="K2679" t="n">
        <v>0</v>
      </c>
      <c r="L2679" t="n">
        <v>1</v>
      </c>
      <c r="M2679" t="n">
        <v>0</v>
      </c>
    </row>
    <row r="2680" spans="1:13">
      <c r="A2680" s="1">
        <f>HYPERLINK("http://www.twitter.com/NathanBLawrence/status/986329276281745408", "986329276281745408")</f>
        <v/>
      </c>
      <c r="B2680" s="2" t="n">
        <v>43207.82174768519</v>
      </c>
      <c r="C2680" t="n">
        <v>0</v>
      </c>
      <c r="D2680" t="n">
        <v>3</v>
      </c>
      <c r="E2680" t="s">
        <v>2661</v>
      </c>
      <c r="F2680" t="s"/>
      <c r="G2680" t="s"/>
      <c r="H2680" t="s"/>
      <c r="I2680" t="s"/>
      <c r="J2680" t="n">
        <v>-0.3089</v>
      </c>
      <c r="K2680" t="n">
        <v>0.131</v>
      </c>
      <c r="L2680" t="n">
        <v>0.869</v>
      </c>
      <c r="M2680" t="n">
        <v>0</v>
      </c>
    </row>
    <row r="2681" spans="1:13">
      <c r="A2681" s="1">
        <f>HYPERLINK("http://www.twitter.com/NathanBLawrence/status/986329263136788480", "986329263136788480")</f>
        <v/>
      </c>
      <c r="B2681" s="2" t="n">
        <v>43207.82171296296</v>
      </c>
      <c r="C2681" t="n">
        <v>2</v>
      </c>
      <c r="D2681" t="n">
        <v>2</v>
      </c>
      <c r="E2681" t="s">
        <v>2662</v>
      </c>
      <c r="F2681" t="s"/>
      <c r="G2681" t="s"/>
      <c r="H2681" t="s"/>
      <c r="I2681" t="s"/>
      <c r="J2681" t="n">
        <v>0.2584</v>
      </c>
      <c r="K2681" t="n">
        <v>0</v>
      </c>
      <c r="L2681" t="n">
        <v>0.775</v>
      </c>
      <c r="M2681" t="n">
        <v>0.225</v>
      </c>
    </row>
    <row r="2682" spans="1:13">
      <c r="A2682" s="1">
        <f>HYPERLINK("http://www.twitter.com/NathanBLawrence/status/986329134023528448", "986329134023528448")</f>
        <v/>
      </c>
      <c r="B2682" s="2" t="n">
        <v>43207.82135416667</v>
      </c>
      <c r="C2682" t="n">
        <v>0</v>
      </c>
      <c r="D2682" t="n">
        <v>0</v>
      </c>
      <c r="E2682" t="s">
        <v>2663</v>
      </c>
      <c r="F2682" t="s"/>
      <c r="G2682" t="s"/>
      <c r="H2682" t="s"/>
      <c r="I2682" t="s"/>
      <c r="J2682" t="n">
        <v>0</v>
      </c>
      <c r="K2682" t="n">
        <v>0</v>
      </c>
      <c r="L2682" t="n">
        <v>1</v>
      </c>
      <c r="M2682" t="n">
        <v>0</v>
      </c>
    </row>
    <row r="2683" spans="1:13">
      <c r="A2683" s="1">
        <f>HYPERLINK("http://www.twitter.com/NathanBLawrence/status/986328957296496641", "986328957296496641")</f>
        <v/>
      </c>
      <c r="B2683" s="2" t="n">
        <v>43207.82086805555</v>
      </c>
      <c r="C2683" t="n">
        <v>12</v>
      </c>
      <c r="D2683" t="n">
        <v>9</v>
      </c>
      <c r="E2683" t="s">
        <v>2664</v>
      </c>
      <c r="F2683" t="s"/>
      <c r="G2683" t="s"/>
      <c r="H2683" t="s"/>
      <c r="I2683" t="s"/>
      <c r="J2683" t="n">
        <v>-0.5656</v>
      </c>
      <c r="K2683" t="n">
        <v>0.137</v>
      </c>
      <c r="L2683" t="n">
        <v>0.8149999999999999</v>
      </c>
      <c r="M2683" t="n">
        <v>0.048</v>
      </c>
    </row>
    <row r="2684" spans="1:13">
      <c r="A2684" s="1">
        <f>HYPERLINK("http://www.twitter.com/NathanBLawrence/status/986328319623823362", "986328319623823362")</f>
        <v/>
      </c>
      <c r="B2684" s="2" t="n">
        <v>43207.8191087963</v>
      </c>
      <c r="C2684" t="n">
        <v>0</v>
      </c>
      <c r="D2684" t="n">
        <v>2</v>
      </c>
      <c r="E2684" t="s">
        <v>2665</v>
      </c>
      <c r="F2684" t="s"/>
      <c r="G2684" t="s"/>
      <c r="H2684" t="s"/>
      <c r="I2684" t="s"/>
      <c r="J2684" t="n">
        <v>0.3612</v>
      </c>
      <c r="K2684" t="n">
        <v>0</v>
      </c>
      <c r="L2684" t="n">
        <v>0.872</v>
      </c>
      <c r="M2684" t="n">
        <v>0.128</v>
      </c>
    </row>
    <row r="2685" spans="1:13">
      <c r="A2685" s="1">
        <f>HYPERLINK("http://www.twitter.com/NathanBLawrence/status/986328256273149952", "986328256273149952")</f>
        <v/>
      </c>
      <c r="B2685" s="2" t="n">
        <v>43207.81893518518</v>
      </c>
      <c r="C2685" t="n">
        <v>8</v>
      </c>
      <c r="D2685" t="n">
        <v>5</v>
      </c>
      <c r="E2685" t="s">
        <v>2666</v>
      </c>
      <c r="F2685" t="s"/>
      <c r="G2685" t="s"/>
      <c r="H2685" t="s"/>
      <c r="I2685" t="s"/>
      <c r="J2685" t="n">
        <v>-0.2144</v>
      </c>
      <c r="K2685" t="n">
        <v>0.165</v>
      </c>
      <c r="L2685" t="n">
        <v>0.737</v>
      </c>
      <c r="M2685" t="n">
        <v>0.099</v>
      </c>
    </row>
    <row r="2686" spans="1:13">
      <c r="A2686" s="1">
        <f>HYPERLINK("http://www.twitter.com/NathanBLawrence/status/986327837899677696", "986327837899677696")</f>
        <v/>
      </c>
      <c r="B2686" s="2" t="n">
        <v>43207.81777777777</v>
      </c>
      <c r="C2686" t="n">
        <v>2</v>
      </c>
      <c r="D2686" t="n">
        <v>2</v>
      </c>
      <c r="E2686" t="s">
        <v>2667</v>
      </c>
      <c r="F2686" t="s"/>
      <c r="G2686" t="s"/>
      <c r="H2686" t="s"/>
      <c r="I2686" t="s"/>
      <c r="J2686" t="n">
        <v>-0.347</v>
      </c>
      <c r="K2686" t="n">
        <v>0.07099999999999999</v>
      </c>
      <c r="L2686" t="n">
        <v>0.884</v>
      </c>
      <c r="M2686" t="n">
        <v>0.045</v>
      </c>
    </row>
    <row r="2687" spans="1:13">
      <c r="A2687" s="1">
        <f>HYPERLINK("http://www.twitter.com/NathanBLawrence/status/986327314169520129", "986327314169520129")</f>
        <v/>
      </c>
      <c r="B2687" s="2" t="n">
        <v>43207.81633101852</v>
      </c>
      <c r="C2687" t="n">
        <v>0</v>
      </c>
      <c r="D2687" t="n">
        <v>7</v>
      </c>
      <c r="E2687" t="s">
        <v>2668</v>
      </c>
      <c r="F2687">
        <f>HYPERLINK("http://pbs.twimg.com/media/Da7DuY9WkAAWVeh.jpg", "http://pbs.twimg.com/media/Da7DuY9WkAAWVeh.jpg")</f>
        <v/>
      </c>
      <c r="G2687" t="s"/>
      <c r="H2687" t="s"/>
      <c r="I2687" t="s"/>
      <c r="J2687" t="n">
        <v>-0.3612</v>
      </c>
      <c r="K2687" t="n">
        <v>0.152</v>
      </c>
      <c r="L2687" t="n">
        <v>0.848</v>
      </c>
      <c r="M2687" t="n">
        <v>0</v>
      </c>
    </row>
    <row r="2688" spans="1:13">
      <c r="A2688" s="1">
        <f>HYPERLINK("http://www.twitter.com/NathanBLawrence/status/986327289779585024", "986327289779585024")</f>
        <v/>
      </c>
      <c r="B2688" s="2" t="n">
        <v>43207.81626157407</v>
      </c>
      <c r="C2688" t="n">
        <v>0</v>
      </c>
      <c r="D2688" t="n">
        <v>12</v>
      </c>
      <c r="E2688" t="s">
        <v>2669</v>
      </c>
      <c r="F2688">
        <f>HYPERLINK("http://pbs.twimg.com/media/Da8ROFCU0AA5HAM.jpg", "http://pbs.twimg.com/media/Da8ROFCU0AA5HAM.jpg")</f>
        <v/>
      </c>
      <c r="G2688" t="s"/>
      <c r="H2688" t="s"/>
      <c r="I2688" t="s"/>
      <c r="J2688" t="n">
        <v>0</v>
      </c>
      <c r="K2688" t="n">
        <v>0</v>
      </c>
      <c r="L2688" t="n">
        <v>1</v>
      </c>
      <c r="M2688" t="n">
        <v>0</v>
      </c>
    </row>
    <row r="2689" spans="1:13">
      <c r="A2689" s="1">
        <f>HYPERLINK("http://www.twitter.com/NathanBLawrence/status/986327274562650115", "986327274562650115")</f>
        <v/>
      </c>
      <c r="B2689" s="2" t="n">
        <v>43207.81621527778</v>
      </c>
      <c r="C2689" t="n">
        <v>0</v>
      </c>
      <c r="D2689" t="n">
        <v>10</v>
      </c>
      <c r="E2689" t="s">
        <v>2670</v>
      </c>
      <c r="F2689">
        <f>HYPERLINK("http://pbs.twimg.com/media/Da8vE3gV4AI9I-E.jpg", "http://pbs.twimg.com/media/Da8vE3gV4AI9I-E.jpg")</f>
        <v/>
      </c>
      <c r="G2689" t="s"/>
      <c r="H2689" t="s"/>
      <c r="I2689" t="s"/>
      <c r="J2689" t="n">
        <v>-0.4767</v>
      </c>
      <c r="K2689" t="n">
        <v>0.129</v>
      </c>
      <c r="L2689" t="n">
        <v>0.871</v>
      </c>
      <c r="M2689" t="n">
        <v>0</v>
      </c>
    </row>
    <row r="2690" spans="1:13">
      <c r="A2690" s="1">
        <f>HYPERLINK("http://www.twitter.com/NathanBLawrence/status/986327262072070148", "986327262072070148")</f>
        <v/>
      </c>
      <c r="B2690" s="2" t="n">
        <v>43207.81619212963</v>
      </c>
      <c r="C2690" t="n">
        <v>0</v>
      </c>
      <c r="D2690" t="n">
        <v>12</v>
      </c>
      <c r="E2690" t="s">
        <v>2671</v>
      </c>
      <c r="F2690" t="s"/>
      <c r="G2690" t="s"/>
      <c r="H2690" t="s"/>
      <c r="I2690" t="s"/>
      <c r="J2690" t="n">
        <v>-0.3089</v>
      </c>
      <c r="K2690" t="n">
        <v>0.097</v>
      </c>
      <c r="L2690" t="n">
        <v>0.903</v>
      </c>
      <c r="M2690" t="n">
        <v>0</v>
      </c>
    </row>
    <row r="2691" spans="1:13">
      <c r="A2691" s="1">
        <f>HYPERLINK("http://www.twitter.com/NathanBLawrence/status/986327230426107904", "986327230426107904")</f>
        <v/>
      </c>
      <c r="B2691" s="2" t="n">
        <v>43207.81609953703</v>
      </c>
      <c r="C2691" t="n">
        <v>0</v>
      </c>
      <c r="D2691" t="n">
        <v>5</v>
      </c>
      <c r="E2691" t="s">
        <v>2672</v>
      </c>
      <c r="F2691" t="s"/>
      <c r="G2691" t="s"/>
      <c r="H2691" t="s"/>
      <c r="I2691" t="s"/>
      <c r="J2691" t="n">
        <v>-0.0423</v>
      </c>
      <c r="K2691" t="n">
        <v>0.095</v>
      </c>
      <c r="L2691" t="n">
        <v>0.8179999999999999</v>
      </c>
      <c r="M2691" t="n">
        <v>0.08799999999999999</v>
      </c>
    </row>
    <row r="2692" spans="1:13">
      <c r="A2692" s="1">
        <f>HYPERLINK("http://www.twitter.com/NathanBLawrence/status/986327214831566848", "986327214831566848")</f>
        <v/>
      </c>
      <c r="B2692" s="2" t="n">
        <v>43207.81605324074</v>
      </c>
      <c r="C2692" t="n">
        <v>0</v>
      </c>
      <c r="D2692" t="n">
        <v>12</v>
      </c>
      <c r="E2692" t="s">
        <v>2673</v>
      </c>
      <c r="F2692" t="s"/>
      <c r="G2692" t="s"/>
      <c r="H2692" t="s"/>
      <c r="I2692" t="s"/>
      <c r="J2692" t="n">
        <v>-0.34</v>
      </c>
      <c r="K2692" t="n">
        <v>0.103</v>
      </c>
      <c r="L2692" t="n">
        <v>0.897</v>
      </c>
      <c r="M2692" t="n">
        <v>0</v>
      </c>
    </row>
    <row r="2693" spans="1:13">
      <c r="A2693" s="1">
        <f>HYPERLINK("http://www.twitter.com/NathanBLawrence/status/986327193008640005", "986327193008640005")</f>
        <v/>
      </c>
      <c r="B2693" s="2" t="n">
        <v>43207.81599537037</v>
      </c>
      <c r="C2693" t="n">
        <v>0</v>
      </c>
      <c r="D2693" t="n">
        <v>3</v>
      </c>
      <c r="E2693" t="s">
        <v>2674</v>
      </c>
      <c r="F2693" t="s"/>
      <c r="G2693" t="s"/>
      <c r="H2693" t="s"/>
      <c r="I2693" t="s"/>
      <c r="J2693" t="n">
        <v>-0.5266999999999999</v>
      </c>
      <c r="K2693" t="n">
        <v>0.173</v>
      </c>
      <c r="L2693" t="n">
        <v>0.827</v>
      </c>
      <c r="M2693" t="n">
        <v>0</v>
      </c>
    </row>
    <row r="2694" spans="1:13">
      <c r="A2694" s="1">
        <f>HYPERLINK("http://www.twitter.com/NathanBLawrence/status/986327177498185729", "986327177498185729")</f>
        <v/>
      </c>
      <c r="B2694" s="2" t="n">
        <v>43207.81594907407</v>
      </c>
      <c r="C2694" t="n">
        <v>0</v>
      </c>
      <c r="D2694" t="n">
        <v>4</v>
      </c>
      <c r="E2694" t="s">
        <v>2675</v>
      </c>
      <c r="F2694" t="s"/>
      <c r="G2694" t="s"/>
      <c r="H2694" t="s"/>
      <c r="I2694" t="s"/>
      <c r="J2694" t="n">
        <v>0</v>
      </c>
      <c r="K2694" t="n">
        <v>0</v>
      </c>
      <c r="L2694" t="n">
        <v>1</v>
      </c>
      <c r="M2694" t="n">
        <v>0</v>
      </c>
    </row>
    <row r="2695" spans="1:13">
      <c r="A2695" s="1">
        <f>HYPERLINK("http://www.twitter.com/NathanBLawrence/status/986327159601065984", "986327159601065984")</f>
        <v/>
      </c>
      <c r="B2695" s="2" t="n">
        <v>43207.81590277778</v>
      </c>
      <c r="C2695" t="n">
        <v>0</v>
      </c>
      <c r="D2695" t="n">
        <v>6</v>
      </c>
      <c r="E2695" t="s">
        <v>2676</v>
      </c>
      <c r="F2695" t="s"/>
      <c r="G2695" t="s"/>
      <c r="H2695" t="s"/>
      <c r="I2695" t="s"/>
      <c r="J2695" t="n">
        <v>-0.4767</v>
      </c>
      <c r="K2695" t="n">
        <v>0.129</v>
      </c>
      <c r="L2695" t="n">
        <v>0.871</v>
      </c>
      <c r="M2695" t="n">
        <v>0</v>
      </c>
    </row>
    <row r="2696" spans="1:13">
      <c r="A2696" s="1">
        <f>HYPERLINK("http://www.twitter.com/NathanBLawrence/status/986327129691389953", "986327129691389953")</f>
        <v/>
      </c>
      <c r="B2696" s="2" t="n">
        <v>43207.81582175926</v>
      </c>
      <c r="C2696" t="n">
        <v>0</v>
      </c>
      <c r="D2696" t="n">
        <v>10</v>
      </c>
      <c r="E2696" t="s">
        <v>2677</v>
      </c>
      <c r="F2696" t="s"/>
      <c r="G2696" t="s"/>
      <c r="H2696" t="s"/>
      <c r="I2696" t="s"/>
      <c r="J2696" t="n">
        <v>0</v>
      </c>
      <c r="K2696" t="n">
        <v>0</v>
      </c>
      <c r="L2696" t="n">
        <v>1</v>
      </c>
      <c r="M2696" t="n">
        <v>0</v>
      </c>
    </row>
    <row r="2697" spans="1:13">
      <c r="A2697" s="1">
        <f>HYPERLINK("http://www.twitter.com/NathanBLawrence/status/986327113308483590", "986327113308483590")</f>
        <v/>
      </c>
      <c r="B2697" s="2" t="n">
        <v>43207.81577546296</v>
      </c>
      <c r="C2697" t="n">
        <v>0</v>
      </c>
      <c r="D2697" t="n">
        <v>6</v>
      </c>
      <c r="E2697" t="s">
        <v>2678</v>
      </c>
      <c r="F2697">
        <f>HYPERLINK("http://pbs.twimg.com/media/DbADYhVV4AA-xm7.jpg", "http://pbs.twimg.com/media/DbADYhVV4AA-xm7.jpg")</f>
        <v/>
      </c>
      <c r="G2697" t="s"/>
      <c r="H2697" t="s"/>
      <c r="I2697" t="s"/>
      <c r="J2697" t="n">
        <v>0.4404</v>
      </c>
      <c r="K2697" t="n">
        <v>0</v>
      </c>
      <c r="L2697" t="n">
        <v>0.873</v>
      </c>
      <c r="M2697" t="n">
        <v>0.127</v>
      </c>
    </row>
    <row r="2698" spans="1:13">
      <c r="A2698" s="1">
        <f>HYPERLINK("http://www.twitter.com/NathanBLawrence/status/986327065787019266", "986327065787019266")</f>
        <v/>
      </c>
      <c r="B2698" s="2" t="n">
        <v>43207.81564814815</v>
      </c>
      <c r="C2698" t="n">
        <v>0</v>
      </c>
      <c r="D2698" t="n">
        <v>6</v>
      </c>
      <c r="E2698" t="s">
        <v>2679</v>
      </c>
      <c r="F2698">
        <f>HYPERLINK("http://pbs.twimg.com/media/DbAaFWkU8AA-s2A.jpg", "http://pbs.twimg.com/media/DbAaFWkU8AA-s2A.jpg")</f>
        <v/>
      </c>
      <c r="G2698" t="s"/>
      <c r="H2698" t="s"/>
      <c r="I2698" t="s"/>
      <c r="J2698" t="n">
        <v>0.8302</v>
      </c>
      <c r="K2698" t="n">
        <v>0</v>
      </c>
      <c r="L2698" t="n">
        <v>0.673</v>
      </c>
      <c r="M2698" t="n">
        <v>0.327</v>
      </c>
    </row>
    <row r="2699" spans="1:13">
      <c r="A2699" s="1">
        <f>HYPERLINK("http://www.twitter.com/NathanBLawrence/status/986327045482348545", "986327045482348545")</f>
        <v/>
      </c>
      <c r="B2699" s="2" t="n">
        <v>43207.81559027778</v>
      </c>
      <c r="C2699" t="n">
        <v>0</v>
      </c>
      <c r="D2699" t="n">
        <v>6</v>
      </c>
      <c r="E2699" t="s">
        <v>2680</v>
      </c>
      <c r="F2699" t="s"/>
      <c r="G2699" t="s"/>
      <c r="H2699" t="s"/>
      <c r="I2699" t="s"/>
      <c r="J2699" t="n">
        <v>0.3612</v>
      </c>
      <c r="K2699" t="n">
        <v>0</v>
      </c>
      <c r="L2699" t="n">
        <v>0.894</v>
      </c>
      <c r="M2699" t="n">
        <v>0.106</v>
      </c>
    </row>
    <row r="2700" spans="1:13">
      <c r="A2700" s="1">
        <f>HYPERLINK("http://www.twitter.com/NathanBLawrence/status/986327020450742279", "986327020450742279")</f>
        <v/>
      </c>
      <c r="B2700" s="2" t="n">
        <v>43207.81552083333</v>
      </c>
      <c r="C2700" t="n">
        <v>0</v>
      </c>
      <c r="D2700" t="n">
        <v>8</v>
      </c>
      <c r="E2700" t="s">
        <v>2681</v>
      </c>
      <c r="F2700" t="s"/>
      <c r="G2700" t="s"/>
      <c r="H2700" t="s"/>
      <c r="I2700" t="s"/>
      <c r="J2700" t="n">
        <v>0.1027</v>
      </c>
      <c r="K2700" t="n">
        <v>0.123</v>
      </c>
      <c r="L2700" t="n">
        <v>0.735</v>
      </c>
      <c r="M2700" t="n">
        <v>0.142</v>
      </c>
    </row>
    <row r="2701" spans="1:13">
      <c r="A2701" s="1">
        <f>HYPERLINK("http://www.twitter.com/NathanBLawrence/status/986327007670784000", "986327007670784000")</f>
        <v/>
      </c>
      <c r="B2701" s="2" t="n">
        <v>43207.81548611111</v>
      </c>
      <c r="C2701" t="n">
        <v>0</v>
      </c>
      <c r="D2701" t="n">
        <v>4</v>
      </c>
      <c r="E2701" t="s">
        <v>2682</v>
      </c>
      <c r="F2701" t="s"/>
      <c r="G2701" t="s"/>
      <c r="H2701" t="s"/>
      <c r="I2701" t="s"/>
      <c r="J2701" t="n">
        <v>0</v>
      </c>
      <c r="K2701" t="n">
        <v>0</v>
      </c>
      <c r="L2701" t="n">
        <v>1</v>
      </c>
      <c r="M2701" t="n">
        <v>0</v>
      </c>
    </row>
    <row r="2702" spans="1:13">
      <c r="A2702" s="1">
        <f>HYPERLINK("http://www.twitter.com/NathanBLawrence/status/986326961504047105", "986326961504047105")</f>
        <v/>
      </c>
      <c r="B2702" s="2" t="n">
        <v>43207.8153587963</v>
      </c>
      <c r="C2702" t="n">
        <v>0</v>
      </c>
      <c r="D2702" t="n">
        <v>9</v>
      </c>
      <c r="E2702" t="s">
        <v>2683</v>
      </c>
      <c r="F2702" t="s"/>
      <c r="G2702" t="s"/>
      <c r="H2702" t="s"/>
      <c r="I2702" t="s"/>
      <c r="J2702" t="n">
        <v>0.5984</v>
      </c>
      <c r="K2702" t="n">
        <v>0</v>
      </c>
      <c r="L2702" t="n">
        <v>0.777</v>
      </c>
      <c r="M2702" t="n">
        <v>0.223</v>
      </c>
    </row>
    <row r="2703" spans="1:13">
      <c r="A2703" s="1">
        <f>HYPERLINK("http://www.twitter.com/NathanBLawrence/status/986326936623484928", "986326936623484928")</f>
        <v/>
      </c>
      <c r="B2703" s="2" t="n">
        <v>43207.81528935185</v>
      </c>
      <c r="C2703" t="n">
        <v>0</v>
      </c>
      <c r="D2703" t="n">
        <v>9</v>
      </c>
      <c r="E2703" t="s">
        <v>2684</v>
      </c>
      <c r="F2703" t="s"/>
      <c r="G2703" t="s"/>
      <c r="H2703" t="s"/>
      <c r="I2703" t="s"/>
      <c r="J2703" t="n">
        <v>0.7438</v>
      </c>
      <c r="K2703" t="n">
        <v>0</v>
      </c>
      <c r="L2703" t="n">
        <v>0.732</v>
      </c>
      <c r="M2703" t="n">
        <v>0.268</v>
      </c>
    </row>
    <row r="2704" spans="1:13">
      <c r="A2704" s="1">
        <f>HYPERLINK("http://www.twitter.com/NathanBLawrence/status/986326925881827329", "986326925881827329")</f>
        <v/>
      </c>
      <c r="B2704" s="2" t="n">
        <v>43207.81525462963</v>
      </c>
      <c r="C2704" t="n">
        <v>0</v>
      </c>
      <c r="D2704" t="n">
        <v>9</v>
      </c>
      <c r="E2704" t="s">
        <v>2685</v>
      </c>
      <c r="F2704" t="s"/>
      <c r="G2704" t="s"/>
      <c r="H2704" t="s"/>
      <c r="I2704" t="s"/>
      <c r="J2704" t="n">
        <v>-0.3384</v>
      </c>
      <c r="K2704" t="n">
        <v>0.094</v>
      </c>
      <c r="L2704" t="n">
        <v>0.906</v>
      </c>
      <c r="M2704" t="n">
        <v>0</v>
      </c>
    </row>
    <row r="2705" spans="1:13">
      <c r="A2705" s="1">
        <f>HYPERLINK("http://www.twitter.com/NathanBLawrence/status/986326899650629632", "986326899650629632")</f>
        <v/>
      </c>
      <c r="B2705" s="2" t="n">
        <v>43207.81518518519</v>
      </c>
      <c r="C2705" t="n">
        <v>0</v>
      </c>
      <c r="D2705" t="n">
        <v>4</v>
      </c>
      <c r="E2705" t="s">
        <v>2686</v>
      </c>
      <c r="F2705" t="s"/>
      <c r="G2705" t="s"/>
      <c r="H2705" t="s"/>
      <c r="I2705" t="s"/>
      <c r="J2705" t="n">
        <v>-0.0258</v>
      </c>
      <c r="K2705" t="n">
        <v>0.114</v>
      </c>
      <c r="L2705" t="n">
        <v>0.776</v>
      </c>
      <c r="M2705" t="n">
        <v>0.11</v>
      </c>
    </row>
    <row r="2706" spans="1:13">
      <c r="A2706" s="1">
        <f>HYPERLINK("http://www.twitter.com/NathanBLawrence/status/986326864703754240", "986326864703754240")</f>
        <v/>
      </c>
      <c r="B2706" s="2" t="n">
        <v>43207.81509259259</v>
      </c>
      <c r="C2706" t="n">
        <v>2</v>
      </c>
      <c r="D2706" t="n">
        <v>0</v>
      </c>
      <c r="E2706" t="s">
        <v>2687</v>
      </c>
      <c r="F2706" t="s"/>
      <c r="G2706" t="s"/>
      <c r="H2706" t="s"/>
      <c r="I2706" t="s"/>
      <c r="J2706" t="n">
        <v>0.1027</v>
      </c>
      <c r="K2706" t="n">
        <v>0.189</v>
      </c>
      <c r="L2706" t="n">
        <v>0.607</v>
      </c>
      <c r="M2706" t="n">
        <v>0.204</v>
      </c>
    </row>
    <row r="2707" spans="1:13">
      <c r="A2707" s="1">
        <f>HYPERLINK("http://www.twitter.com/NathanBLawrence/status/986326717466861574", "986326717466861574")</f>
        <v/>
      </c>
      <c r="B2707" s="2" t="n">
        <v>43207.8146875</v>
      </c>
      <c r="C2707" t="n">
        <v>0</v>
      </c>
      <c r="D2707" t="n">
        <v>7</v>
      </c>
      <c r="E2707" t="s">
        <v>2688</v>
      </c>
      <c r="F2707" t="s"/>
      <c r="G2707" t="s"/>
      <c r="H2707" t="s"/>
      <c r="I2707" t="s"/>
      <c r="J2707" t="n">
        <v>-0.4995</v>
      </c>
      <c r="K2707" t="n">
        <v>0.139</v>
      </c>
      <c r="L2707" t="n">
        <v>0.861</v>
      </c>
      <c r="M2707" t="n">
        <v>0</v>
      </c>
    </row>
    <row r="2708" spans="1:13">
      <c r="A2708" s="1">
        <f>HYPERLINK("http://www.twitter.com/NathanBLawrence/status/986326699175481344", "986326699175481344")</f>
        <v/>
      </c>
      <c r="B2708" s="2" t="n">
        <v>43207.81462962963</v>
      </c>
      <c r="C2708" t="n">
        <v>0</v>
      </c>
      <c r="D2708" t="n">
        <v>9</v>
      </c>
      <c r="E2708" t="s">
        <v>2689</v>
      </c>
      <c r="F2708" t="s"/>
      <c r="G2708" t="s"/>
      <c r="H2708" t="s"/>
      <c r="I2708" t="s"/>
      <c r="J2708" t="n">
        <v>-0.7088</v>
      </c>
      <c r="K2708" t="n">
        <v>0.329</v>
      </c>
      <c r="L2708" t="n">
        <v>0.671</v>
      </c>
      <c r="M2708" t="n">
        <v>0</v>
      </c>
    </row>
    <row r="2709" spans="1:13">
      <c r="A2709" s="1">
        <f>HYPERLINK("http://www.twitter.com/NathanBLawrence/status/986326674013868037", "986326674013868037")</f>
        <v/>
      </c>
      <c r="B2709" s="2" t="n">
        <v>43207.81456018519</v>
      </c>
      <c r="C2709" t="n">
        <v>0</v>
      </c>
      <c r="D2709" t="n">
        <v>11</v>
      </c>
      <c r="E2709" t="s">
        <v>2690</v>
      </c>
      <c r="F2709">
        <f>HYPERLINK("http://pbs.twimg.com/media/Da6uk1yXkAAJmxg.jpg", "http://pbs.twimg.com/media/Da6uk1yXkAAJmxg.jpg")</f>
        <v/>
      </c>
      <c r="G2709" t="s"/>
      <c r="H2709" t="s"/>
      <c r="I2709" t="s"/>
      <c r="J2709" t="n">
        <v>0</v>
      </c>
      <c r="K2709" t="n">
        <v>0</v>
      </c>
      <c r="L2709" t="n">
        <v>1</v>
      </c>
      <c r="M2709" t="n">
        <v>0</v>
      </c>
    </row>
    <row r="2710" spans="1:13">
      <c r="A2710" s="1">
        <f>HYPERLINK("http://www.twitter.com/NathanBLawrence/status/986326636382613505", "986326636382613505")</f>
        <v/>
      </c>
      <c r="B2710" s="2" t="n">
        <v>43207.81445601852</v>
      </c>
      <c r="C2710" t="n">
        <v>0</v>
      </c>
      <c r="D2710" t="n">
        <v>9</v>
      </c>
      <c r="E2710" t="s">
        <v>2691</v>
      </c>
      <c r="F2710" t="s"/>
      <c r="G2710" t="s"/>
      <c r="H2710" t="s"/>
      <c r="I2710" t="s"/>
      <c r="J2710" t="n">
        <v>-0.5007</v>
      </c>
      <c r="K2710" t="n">
        <v>0.219</v>
      </c>
      <c r="L2710" t="n">
        <v>0.678</v>
      </c>
      <c r="M2710" t="n">
        <v>0.103</v>
      </c>
    </row>
    <row r="2711" spans="1:13">
      <c r="A2711" s="1">
        <f>HYPERLINK("http://www.twitter.com/NathanBLawrence/status/986326617877303298", "986326617877303298")</f>
        <v/>
      </c>
      <c r="B2711" s="2" t="n">
        <v>43207.81440972222</v>
      </c>
      <c r="C2711" t="n">
        <v>0</v>
      </c>
      <c r="D2711" t="n">
        <v>10</v>
      </c>
      <c r="E2711" t="s">
        <v>2692</v>
      </c>
      <c r="F2711" t="s"/>
      <c r="G2711" t="s"/>
      <c r="H2711" t="s"/>
      <c r="I2711" t="s"/>
      <c r="J2711" t="n">
        <v>0</v>
      </c>
      <c r="K2711" t="n">
        <v>0</v>
      </c>
      <c r="L2711" t="n">
        <v>1</v>
      </c>
      <c r="M2711" t="n">
        <v>0</v>
      </c>
    </row>
    <row r="2712" spans="1:13">
      <c r="A2712" s="1">
        <f>HYPERLINK("http://www.twitter.com/NathanBLawrence/status/986326608196780032", "986326608196780032")</f>
        <v/>
      </c>
      <c r="B2712" s="2" t="n">
        <v>43207.81438657407</v>
      </c>
      <c r="C2712" t="n">
        <v>0</v>
      </c>
      <c r="D2712" t="n">
        <v>40</v>
      </c>
      <c r="E2712" t="s">
        <v>2693</v>
      </c>
      <c r="F2712">
        <f>HYPERLINK("http://pbs.twimg.com/media/Da6etYZXUAIlvCD.jpg", "http://pbs.twimg.com/media/Da6etYZXUAIlvCD.jpg")</f>
        <v/>
      </c>
      <c r="G2712" t="s"/>
      <c r="H2712" t="s"/>
      <c r="I2712" t="s"/>
      <c r="J2712" t="n">
        <v>0</v>
      </c>
      <c r="K2712" t="n">
        <v>0</v>
      </c>
      <c r="L2712" t="n">
        <v>1</v>
      </c>
      <c r="M2712" t="n">
        <v>0</v>
      </c>
    </row>
    <row r="2713" spans="1:13">
      <c r="A2713" s="1">
        <f>HYPERLINK("http://www.twitter.com/NathanBLawrence/status/986326585258184704", "986326585258184704")</f>
        <v/>
      </c>
      <c r="B2713" s="2" t="n">
        <v>43207.81431712963</v>
      </c>
      <c r="C2713" t="n">
        <v>0</v>
      </c>
      <c r="D2713" t="n">
        <v>11</v>
      </c>
      <c r="E2713" t="s">
        <v>2694</v>
      </c>
      <c r="F2713" t="s"/>
      <c r="G2713" t="s"/>
      <c r="H2713" t="s"/>
      <c r="I2713" t="s"/>
      <c r="J2713" t="n">
        <v>-0.5719</v>
      </c>
      <c r="K2713" t="n">
        <v>0.171</v>
      </c>
      <c r="L2713" t="n">
        <v>0.719</v>
      </c>
      <c r="M2713" t="n">
        <v>0.11</v>
      </c>
    </row>
    <row r="2714" spans="1:13">
      <c r="A2714" s="1">
        <f>HYPERLINK("http://www.twitter.com/NathanBLawrence/status/986326535706677249", "986326535706677249")</f>
        <v/>
      </c>
      <c r="B2714" s="2" t="n">
        <v>43207.81417824074</v>
      </c>
      <c r="C2714" t="n">
        <v>0</v>
      </c>
      <c r="D2714" t="n">
        <v>13</v>
      </c>
      <c r="E2714" t="s">
        <v>2695</v>
      </c>
      <c r="F2714">
        <f>HYPERLINK("http://pbs.twimg.com/media/DbAPOqUV4AA8Ln5.jpg", "http://pbs.twimg.com/media/DbAPOqUV4AA8Ln5.jpg")</f>
        <v/>
      </c>
      <c r="G2714" t="s"/>
      <c r="H2714" t="s"/>
      <c r="I2714" t="s"/>
      <c r="J2714" t="n">
        <v>0.7281</v>
      </c>
      <c r="K2714" t="n">
        <v>0</v>
      </c>
      <c r="L2714" t="n">
        <v>0.757</v>
      </c>
      <c r="M2714" t="n">
        <v>0.243</v>
      </c>
    </row>
    <row r="2715" spans="1:13">
      <c r="A2715" s="1">
        <f>HYPERLINK("http://www.twitter.com/NathanBLawrence/status/986326521509044224", "986326521509044224")</f>
        <v/>
      </c>
      <c r="B2715" s="2" t="n">
        <v>43207.81414351852</v>
      </c>
      <c r="C2715" t="n">
        <v>0</v>
      </c>
      <c r="D2715" t="n">
        <v>6</v>
      </c>
      <c r="E2715" t="s">
        <v>2696</v>
      </c>
      <c r="F2715" t="s"/>
      <c r="G2715" t="s"/>
      <c r="H2715" t="s"/>
      <c r="I2715" t="s"/>
      <c r="J2715" t="n">
        <v>0</v>
      </c>
      <c r="K2715" t="n">
        <v>0</v>
      </c>
      <c r="L2715" t="n">
        <v>1</v>
      </c>
      <c r="M2715" t="n">
        <v>0</v>
      </c>
    </row>
    <row r="2716" spans="1:13">
      <c r="A2716" s="1">
        <f>HYPERLINK("http://www.twitter.com/NathanBLawrence/status/986326492350119936", "986326492350119936")</f>
        <v/>
      </c>
      <c r="B2716" s="2" t="n">
        <v>43207.8140625</v>
      </c>
      <c r="C2716" t="n">
        <v>0</v>
      </c>
      <c r="D2716" t="n">
        <v>5</v>
      </c>
      <c r="E2716" t="s">
        <v>2697</v>
      </c>
      <c r="F2716" t="s"/>
      <c r="G2716" t="s"/>
      <c r="H2716" t="s"/>
      <c r="I2716" t="s"/>
      <c r="J2716" t="n">
        <v>0.7177</v>
      </c>
      <c r="K2716" t="n">
        <v>0</v>
      </c>
      <c r="L2716" t="n">
        <v>0.793</v>
      </c>
      <c r="M2716" t="n">
        <v>0.207</v>
      </c>
    </row>
    <row r="2717" spans="1:13">
      <c r="A2717" s="1">
        <f>HYPERLINK("http://www.twitter.com/NathanBLawrence/status/986326470418141184", "986326470418141184")</f>
        <v/>
      </c>
      <c r="B2717" s="2" t="n">
        <v>43207.81400462963</v>
      </c>
      <c r="C2717" t="n">
        <v>0</v>
      </c>
      <c r="D2717" t="n">
        <v>11</v>
      </c>
      <c r="E2717" t="s">
        <v>2698</v>
      </c>
      <c r="F2717" t="s"/>
      <c r="G2717" t="s"/>
      <c r="H2717" t="s"/>
      <c r="I2717" t="s"/>
      <c r="J2717" t="n">
        <v>-0.296</v>
      </c>
      <c r="K2717" t="n">
        <v>0.095</v>
      </c>
      <c r="L2717" t="n">
        <v>0.905</v>
      </c>
      <c r="M2717" t="n">
        <v>0</v>
      </c>
    </row>
    <row r="2718" spans="1:13">
      <c r="A2718" s="1">
        <f>HYPERLINK("http://www.twitter.com/NathanBLawrence/status/986326452105830400", "986326452105830400")</f>
        <v/>
      </c>
      <c r="B2718" s="2" t="n">
        <v>43207.81394675926</v>
      </c>
      <c r="C2718" t="n">
        <v>0</v>
      </c>
      <c r="D2718" t="n">
        <v>22</v>
      </c>
      <c r="E2718" t="s">
        <v>2699</v>
      </c>
      <c r="F2718">
        <f>HYPERLINK("http://pbs.twimg.com/media/Da_QmlLUMAMWEiq.jpg", "http://pbs.twimg.com/media/Da_QmlLUMAMWEiq.jpg")</f>
        <v/>
      </c>
      <c r="G2718">
        <f>HYPERLINK("http://pbs.twimg.com/media/Da_QmwuVAAAHokc.jpg", "http://pbs.twimg.com/media/Da_QmwuVAAAHokc.jpg")</f>
        <v/>
      </c>
      <c r="H2718" t="s"/>
      <c r="I2718" t="s"/>
      <c r="J2718" t="n">
        <v>-0.4767</v>
      </c>
      <c r="K2718" t="n">
        <v>0.154</v>
      </c>
      <c r="L2718" t="n">
        <v>0.846</v>
      </c>
      <c r="M2718" t="n">
        <v>0</v>
      </c>
    </row>
    <row r="2719" spans="1:13">
      <c r="A2719" s="1">
        <f>HYPERLINK("http://www.twitter.com/NathanBLawrence/status/986326362666491905", "986326362666491905")</f>
        <v/>
      </c>
      <c r="B2719" s="2" t="n">
        <v>43207.8137037037</v>
      </c>
      <c r="C2719" t="n">
        <v>0</v>
      </c>
      <c r="D2719" t="n">
        <v>14</v>
      </c>
      <c r="E2719" t="s">
        <v>2700</v>
      </c>
      <c r="F2719" t="s"/>
      <c r="G2719" t="s"/>
      <c r="H2719" t="s"/>
      <c r="I2719" t="s"/>
      <c r="J2719" t="n">
        <v>-0.4939</v>
      </c>
      <c r="K2719" t="n">
        <v>0.132</v>
      </c>
      <c r="L2719" t="n">
        <v>0.868</v>
      </c>
      <c r="M2719" t="n">
        <v>0</v>
      </c>
    </row>
    <row r="2720" spans="1:13">
      <c r="A2720" s="1">
        <f>HYPERLINK("http://www.twitter.com/NathanBLawrence/status/986326350674976768", "986326350674976768")</f>
        <v/>
      </c>
      <c r="B2720" s="2" t="n">
        <v>43207.81366898148</v>
      </c>
      <c r="C2720" t="n">
        <v>0</v>
      </c>
      <c r="D2720" t="n">
        <v>13</v>
      </c>
      <c r="E2720" t="s">
        <v>2701</v>
      </c>
      <c r="F2720" t="s"/>
      <c r="G2720" t="s"/>
      <c r="H2720" t="s"/>
      <c r="I2720" t="s"/>
      <c r="J2720" t="n">
        <v>-0.6808</v>
      </c>
      <c r="K2720" t="n">
        <v>0.213</v>
      </c>
      <c r="L2720" t="n">
        <v>0.787</v>
      </c>
      <c r="M2720" t="n">
        <v>0</v>
      </c>
    </row>
    <row r="2721" spans="1:13">
      <c r="A2721" s="1">
        <f>HYPERLINK("http://www.twitter.com/NathanBLawrence/status/986326334807969792", "986326334807969792")</f>
        <v/>
      </c>
      <c r="B2721" s="2" t="n">
        <v>43207.81362268519</v>
      </c>
      <c r="C2721" t="n">
        <v>0</v>
      </c>
      <c r="D2721" t="n">
        <v>17</v>
      </c>
      <c r="E2721" t="s">
        <v>2702</v>
      </c>
      <c r="F2721">
        <f>HYPERLINK("http://pbs.twimg.com/media/DbAbQXpVQAA9epm.jpg", "http://pbs.twimg.com/media/DbAbQXpVQAA9epm.jpg")</f>
        <v/>
      </c>
      <c r="G2721" t="s"/>
      <c r="H2721" t="s"/>
      <c r="I2721" t="s"/>
      <c r="J2721" t="n">
        <v>0</v>
      </c>
      <c r="K2721" t="n">
        <v>0</v>
      </c>
      <c r="L2721" t="n">
        <v>1</v>
      </c>
      <c r="M2721" t="n">
        <v>0</v>
      </c>
    </row>
    <row r="2722" spans="1:13">
      <c r="A2722" s="1">
        <f>HYPERLINK("http://www.twitter.com/NathanBLawrence/status/986326322061496326", "986326322061496326")</f>
        <v/>
      </c>
      <c r="B2722" s="2" t="n">
        <v>43207.81358796296</v>
      </c>
      <c r="C2722" t="n">
        <v>0</v>
      </c>
      <c r="D2722" t="n">
        <v>18</v>
      </c>
      <c r="E2722" t="s">
        <v>2703</v>
      </c>
      <c r="F2722">
        <f>HYPERLINK("http://pbs.twimg.com/media/DbAWBSHWsAA6OEZ.jpg", "http://pbs.twimg.com/media/DbAWBSHWsAA6OEZ.jpg")</f>
        <v/>
      </c>
      <c r="G2722" t="s"/>
      <c r="H2722" t="s"/>
      <c r="I2722" t="s"/>
      <c r="J2722" t="n">
        <v>0</v>
      </c>
      <c r="K2722" t="n">
        <v>0</v>
      </c>
      <c r="L2722" t="n">
        <v>1</v>
      </c>
      <c r="M2722" t="n">
        <v>0</v>
      </c>
    </row>
    <row r="2723" spans="1:13">
      <c r="A2723" s="1">
        <f>HYPERLINK("http://www.twitter.com/NathanBLawrence/status/986326309025533954", "986326309025533954")</f>
        <v/>
      </c>
      <c r="B2723" s="2" t="n">
        <v>43207.81355324074</v>
      </c>
      <c r="C2723" t="n">
        <v>0</v>
      </c>
      <c r="D2723" t="n">
        <v>15</v>
      </c>
      <c r="E2723" t="s">
        <v>2704</v>
      </c>
      <c r="F2723" t="s"/>
      <c r="G2723" t="s"/>
      <c r="H2723" t="s"/>
      <c r="I2723" t="s"/>
      <c r="J2723" t="n">
        <v>0</v>
      </c>
      <c r="K2723" t="n">
        <v>0</v>
      </c>
      <c r="L2723" t="n">
        <v>1</v>
      </c>
      <c r="M2723" t="n">
        <v>0</v>
      </c>
    </row>
    <row r="2724" spans="1:13">
      <c r="A2724" s="1">
        <f>HYPERLINK("http://www.twitter.com/NathanBLawrence/status/986326291833147396", "986326291833147396")</f>
        <v/>
      </c>
      <c r="B2724" s="2" t="n">
        <v>43207.81350694445</v>
      </c>
      <c r="C2724" t="n">
        <v>0</v>
      </c>
      <c r="D2724" t="n">
        <v>13</v>
      </c>
      <c r="E2724" t="s">
        <v>2705</v>
      </c>
      <c r="F2724">
        <f>HYPERLINK("http://pbs.twimg.com/media/DbARwtlW4AAMmsg.jpg", "http://pbs.twimg.com/media/DbARwtlW4AAMmsg.jpg")</f>
        <v/>
      </c>
      <c r="G2724" t="s"/>
      <c r="H2724" t="s"/>
      <c r="I2724" t="s"/>
      <c r="J2724" t="n">
        <v>0</v>
      </c>
      <c r="K2724" t="n">
        <v>0</v>
      </c>
      <c r="L2724" t="n">
        <v>1</v>
      </c>
      <c r="M2724" t="n">
        <v>0</v>
      </c>
    </row>
    <row r="2725" spans="1:13">
      <c r="A2725" s="1">
        <f>HYPERLINK("http://www.twitter.com/NathanBLawrence/status/986326274942689281", "986326274942689281")</f>
        <v/>
      </c>
      <c r="B2725" s="2" t="n">
        <v>43207.81346064815</v>
      </c>
      <c r="C2725" t="n">
        <v>0</v>
      </c>
      <c r="D2725" t="n">
        <v>18</v>
      </c>
      <c r="E2725" t="s">
        <v>2706</v>
      </c>
      <c r="F2725">
        <f>HYPERLINK("http://pbs.twimg.com/media/DbAZOmZXUAIdnQI.jpg", "http://pbs.twimg.com/media/DbAZOmZXUAIdnQI.jpg")</f>
        <v/>
      </c>
      <c r="G2725" t="s"/>
      <c r="H2725" t="s"/>
      <c r="I2725" t="s"/>
      <c r="J2725" t="n">
        <v>-0.3612</v>
      </c>
      <c r="K2725" t="n">
        <v>0.102</v>
      </c>
      <c r="L2725" t="n">
        <v>0.898</v>
      </c>
      <c r="M2725" t="n">
        <v>0</v>
      </c>
    </row>
    <row r="2726" spans="1:13">
      <c r="A2726" s="1">
        <f>HYPERLINK("http://www.twitter.com/NathanBLawrence/status/986080093503188993", "986080093503188993")</f>
        <v/>
      </c>
      <c r="B2726" s="2" t="n">
        <v>43207.13413194445</v>
      </c>
      <c r="C2726" t="n">
        <v>0</v>
      </c>
      <c r="D2726" t="n">
        <v>5</v>
      </c>
      <c r="E2726" t="s">
        <v>2707</v>
      </c>
      <c r="F2726" t="s"/>
      <c r="G2726" t="s"/>
      <c r="H2726" t="s"/>
      <c r="I2726" t="s"/>
      <c r="J2726" t="n">
        <v>0</v>
      </c>
      <c r="K2726" t="n">
        <v>0.165</v>
      </c>
      <c r="L2726" t="n">
        <v>0.704</v>
      </c>
      <c r="M2726" t="n">
        <v>0.13</v>
      </c>
    </row>
    <row r="2727" spans="1:13">
      <c r="A2727" s="1">
        <f>HYPERLINK("http://www.twitter.com/NathanBLawrence/status/986080048749989888", "986080048749989888")</f>
        <v/>
      </c>
      <c r="B2727" s="2" t="n">
        <v>43207.13400462963</v>
      </c>
      <c r="C2727" t="n">
        <v>0</v>
      </c>
      <c r="D2727" t="n">
        <v>20</v>
      </c>
      <c r="E2727" t="s">
        <v>2708</v>
      </c>
      <c r="F2727">
        <f>HYPERLINK("http://pbs.twimg.com/media/Da9ACY3W4AAluiq.jpg", "http://pbs.twimg.com/media/Da9ACY3W4AAluiq.jpg")</f>
        <v/>
      </c>
      <c r="G2727" t="s"/>
      <c r="H2727" t="s"/>
      <c r="I2727" t="s"/>
      <c r="J2727" t="n">
        <v>0</v>
      </c>
      <c r="K2727" t="n">
        <v>0</v>
      </c>
      <c r="L2727" t="n">
        <v>1</v>
      </c>
      <c r="M2727" t="n">
        <v>0</v>
      </c>
    </row>
    <row r="2728" spans="1:13">
      <c r="A2728" s="1">
        <f>HYPERLINK("http://www.twitter.com/NathanBLawrence/status/986080036548726784", "986080036548726784")</f>
        <v/>
      </c>
      <c r="B2728" s="2" t="n">
        <v>43207.13396990741</v>
      </c>
      <c r="C2728" t="n">
        <v>0</v>
      </c>
      <c r="D2728" t="n">
        <v>11</v>
      </c>
      <c r="E2728" t="s">
        <v>2709</v>
      </c>
      <c r="F2728">
        <f>HYPERLINK("http://pbs.twimg.com/media/Da8-1A_WAAEUSlC.jpg", "http://pbs.twimg.com/media/Da8-1A_WAAEUSlC.jpg")</f>
        <v/>
      </c>
      <c r="G2728" t="s"/>
      <c r="H2728" t="s"/>
      <c r="I2728" t="s"/>
      <c r="J2728" t="n">
        <v>0.3818</v>
      </c>
      <c r="K2728" t="n">
        <v>0</v>
      </c>
      <c r="L2728" t="n">
        <v>0.89</v>
      </c>
      <c r="M2728" t="n">
        <v>0.11</v>
      </c>
    </row>
    <row r="2729" spans="1:13">
      <c r="A2729" s="1">
        <f>HYPERLINK("http://www.twitter.com/NathanBLawrence/status/986080007880667136", "986080007880667136")</f>
        <v/>
      </c>
      <c r="B2729" s="2" t="n">
        <v>43207.13390046296</v>
      </c>
      <c r="C2729" t="n">
        <v>0</v>
      </c>
      <c r="D2729" t="n">
        <v>11</v>
      </c>
      <c r="E2729" t="s">
        <v>2628</v>
      </c>
      <c r="F2729">
        <f>HYPERLINK("http://pbs.twimg.com/media/Da8-KzFWAAAE_M4.jpg", "http://pbs.twimg.com/media/Da8-KzFWAAAE_M4.jpg")</f>
        <v/>
      </c>
      <c r="G2729" t="s"/>
      <c r="H2729" t="s"/>
      <c r="I2729" t="s"/>
      <c r="J2729" t="n">
        <v>-0.7717000000000001</v>
      </c>
      <c r="K2729" t="n">
        <v>0.332</v>
      </c>
      <c r="L2729" t="n">
        <v>0.504</v>
      </c>
      <c r="M2729" t="n">
        <v>0.163</v>
      </c>
    </row>
    <row r="2730" spans="1:13">
      <c r="A2730" s="1">
        <f>HYPERLINK("http://www.twitter.com/NathanBLawrence/status/986048397932224512", "986048397932224512")</f>
        <v/>
      </c>
      <c r="B2730" s="2" t="n">
        <v>43207.04666666667</v>
      </c>
      <c r="C2730" t="n">
        <v>1</v>
      </c>
      <c r="D2730" t="n">
        <v>0</v>
      </c>
      <c r="E2730" t="s">
        <v>2710</v>
      </c>
      <c r="F2730">
        <f>HYPERLINK("http://pbs.twimg.com/media/Da8lyOzUMAAfYvg.jpg", "http://pbs.twimg.com/media/Da8lyOzUMAAfYvg.jpg")</f>
        <v/>
      </c>
      <c r="G2730" t="s"/>
      <c r="H2730" t="s"/>
      <c r="I2730" t="s"/>
      <c r="J2730" t="n">
        <v>0</v>
      </c>
      <c r="K2730" t="n">
        <v>0</v>
      </c>
      <c r="L2730" t="n">
        <v>1</v>
      </c>
      <c r="M2730" t="n">
        <v>0</v>
      </c>
    </row>
    <row r="2731" spans="1:13">
      <c r="A2731" s="1">
        <f>HYPERLINK("http://www.twitter.com/NathanBLawrence/status/986048226297081858", "986048226297081858")</f>
        <v/>
      </c>
      <c r="B2731" s="2" t="n">
        <v>43207.04619212963</v>
      </c>
      <c r="C2731" t="n">
        <v>0</v>
      </c>
      <c r="D2731" t="n">
        <v>46</v>
      </c>
      <c r="E2731" t="s">
        <v>2711</v>
      </c>
      <c r="F2731" t="s"/>
      <c r="G2731" t="s"/>
      <c r="H2731" t="s"/>
      <c r="I2731" t="s"/>
      <c r="J2731" t="n">
        <v>-0.5859</v>
      </c>
      <c r="K2731" t="n">
        <v>0.252</v>
      </c>
      <c r="L2731" t="n">
        <v>0.65</v>
      </c>
      <c r="M2731" t="n">
        <v>0.098</v>
      </c>
    </row>
    <row r="2732" spans="1:13">
      <c r="A2732" s="1">
        <f>HYPERLINK("http://www.twitter.com/NathanBLawrence/status/986021064538034178", "986021064538034178")</f>
        <v/>
      </c>
      <c r="B2732" s="2" t="n">
        <v>43206.97123842593</v>
      </c>
      <c r="C2732" t="n">
        <v>0</v>
      </c>
      <c r="D2732" t="n">
        <v>0</v>
      </c>
      <c r="E2732" t="s">
        <v>2712</v>
      </c>
      <c r="F2732">
        <f>HYPERLINK("http://pbs.twimg.com/media/Da8M7cqUMAAmk0i.jpg", "http://pbs.twimg.com/media/Da8M7cqUMAAmk0i.jpg")</f>
        <v/>
      </c>
      <c r="G2732" t="s"/>
      <c r="H2732" t="s"/>
      <c r="I2732" t="s"/>
      <c r="J2732" t="n">
        <v>0</v>
      </c>
      <c r="K2732" t="n">
        <v>0</v>
      </c>
      <c r="L2732" t="n">
        <v>1</v>
      </c>
      <c r="M2732" t="n">
        <v>0</v>
      </c>
    </row>
    <row r="2733" spans="1:13">
      <c r="A2733" s="1">
        <f>HYPERLINK("http://www.twitter.com/NathanBLawrence/status/986017651699961856", "986017651699961856")</f>
        <v/>
      </c>
      <c r="B2733" s="2" t="n">
        <v>43206.9618287037</v>
      </c>
      <c r="C2733" t="n">
        <v>1</v>
      </c>
      <c r="D2733" t="n">
        <v>0</v>
      </c>
      <c r="E2733" t="s">
        <v>2713</v>
      </c>
      <c r="F2733" t="s"/>
      <c r="G2733" t="s"/>
      <c r="H2733" t="s"/>
      <c r="I2733" t="s"/>
      <c r="J2733" t="n">
        <v>-0.5423</v>
      </c>
      <c r="K2733" t="n">
        <v>0.156</v>
      </c>
      <c r="L2733" t="n">
        <v>0.844</v>
      </c>
      <c r="M2733" t="n">
        <v>0</v>
      </c>
    </row>
    <row r="2734" spans="1:13">
      <c r="A2734" s="1">
        <f>HYPERLINK("http://www.twitter.com/NathanBLawrence/status/986017077055148033", "986017077055148033")</f>
        <v/>
      </c>
      <c r="B2734" s="2" t="n">
        <v>43206.96024305555</v>
      </c>
      <c r="C2734" t="n">
        <v>0</v>
      </c>
      <c r="D2734" t="n">
        <v>11</v>
      </c>
      <c r="E2734" t="s">
        <v>2714</v>
      </c>
      <c r="F2734">
        <f>HYPERLINK("http://pbs.twimg.com/media/Da8JNytVwAA5xfd.jpg", "http://pbs.twimg.com/media/Da8JNytVwAA5xfd.jpg")</f>
        <v/>
      </c>
      <c r="G2734" t="s"/>
      <c r="H2734" t="s"/>
      <c r="I2734" t="s"/>
      <c r="J2734" t="n">
        <v>0.3818</v>
      </c>
      <c r="K2734" t="n">
        <v>0</v>
      </c>
      <c r="L2734" t="n">
        <v>0.86</v>
      </c>
      <c r="M2734" t="n">
        <v>0.14</v>
      </c>
    </row>
    <row r="2735" spans="1:13">
      <c r="A2735" s="1">
        <f>HYPERLINK("http://www.twitter.com/NathanBLawrence/status/986016984314908672", "986016984314908672")</f>
        <v/>
      </c>
      <c r="B2735" s="2" t="n">
        <v>43206.95998842592</v>
      </c>
      <c r="C2735" t="n">
        <v>15</v>
      </c>
      <c r="D2735" t="n">
        <v>11</v>
      </c>
      <c r="E2735" t="s">
        <v>2715</v>
      </c>
      <c r="F2735">
        <f>HYPERLINK("http://pbs.twimg.com/media/Da8JNytVwAA5xfd.jpg", "http://pbs.twimg.com/media/Da8JNytVwAA5xfd.jpg")</f>
        <v/>
      </c>
      <c r="G2735" t="s"/>
      <c r="H2735" t="s"/>
      <c r="I2735" t="s"/>
      <c r="J2735" t="n">
        <v>0.8481</v>
      </c>
      <c r="K2735" t="n">
        <v>0.045</v>
      </c>
      <c r="L2735" t="n">
        <v>0.6899999999999999</v>
      </c>
      <c r="M2735" t="n">
        <v>0.265</v>
      </c>
    </row>
    <row r="2736" spans="1:13">
      <c r="A2736" s="1">
        <f>HYPERLINK("http://www.twitter.com/NathanBLawrence/status/986015885780504576", "986015885780504576")</f>
        <v/>
      </c>
      <c r="B2736" s="2" t="n">
        <v>43206.95695601852</v>
      </c>
      <c r="C2736" t="n">
        <v>0</v>
      </c>
      <c r="D2736" t="n">
        <v>3</v>
      </c>
      <c r="E2736" t="s">
        <v>2716</v>
      </c>
      <c r="F2736" t="s"/>
      <c r="G2736" t="s"/>
      <c r="H2736" t="s"/>
      <c r="I2736" t="s"/>
      <c r="J2736" t="n">
        <v>-0.0634</v>
      </c>
      <c r="K2736" t="n">
        <v>0.099</v>
      </c>
      <c r="L2736" t="n">
        <v>0.8110000000000001</v>
      </c>
      <c r="M2736" t="n">
        <v>0.09</v>
      </c>
    </row>
    <row r="2737" spans="1:13">
      <c r="A2737" s="1">
        <f>HYPERLINK("http://www.twitter.com/NathanBLawrence/status/986015869485625344", "986015869485625344")</f>
        <v/>
      </c>
      <c r="B2737" s="2" t="n">
        <v>43206.95690972222</v>
      </c>
      <c r="C2737" t="n">
        <v>0</v>
      </c>
      <c r="D2737" t="n">
        <v>2</v>
      </c>
      <c r="E2737" t="s">
        <v>2717</v>
      </c>
      <c r="F2737" t="s"/>
      <c r="G2737" t="s"/>
      <c r="H2737" t="s"/>
      <c r="I2737" t="s"/>
      <c r="J2737" t="n">
        <v>-0.5994</v>
      </c>
      <c r="K2737" t="n">
        <v>0.218</v>
      </c>
      <c r="L2737" t="n">
        <v>0.782</v>
      </c>
      <c r="M2737" t="n">
        <v>0</v>
      </c>
    </row>
    <row r="2738" spans="1:13">
      <c r="A2738" s="1">
        <f>HYPERLINK("http://www.twitter.com/NathanBLawrence/status/986015790645305346", "986015790645305346")</f>
        <v/>
      </c>
      <c r="B2738" s="2" t="n">
        <v>43206.95668981481</v>
      </c>
      <c r="C2738" t="n">
        <v>0</v>
      </c>
      <c r="D2738" t="n">
        <v>0</v>
      </c>
      <c r="E2738" t="s">
        <v>2718</v>
      </c>
      <c r="F2738">
        <f>HYPERLINK("http://pbs.twimg.com/media/Da8IIQcUQAALhLo.jpg", "http://pbs.twimg.com/media/Da8IIQcUQAALhLo.jpg")</f>
        <v/>
      </c>
      <c r="G2738" t="s"/>
      <c r="H2738" t="s"/>
      <c r="I2738" t="s"/>
      <c r="J2738" t="n">
        <v>0</v>
      </c>
      <c r="K2738" t="n">
        <v>0</v>
      </c>
      <c r="L2738" t="n">
        <v>1</v>
      </c>
      <c r="M2738" t="n">
        <v>0</v>
      </c>
    </row>
    <row r="2739" spans="1:13">
      <c r="A2739" s="1">
        <f>HYPERLINK("http://www.twitter.com/NathanBLawrence/status/986015672848322561", "986015672848322561")</f>
        <v/>
      </c>
      <c r="B2739" s="2" t="n">
        <v>43206.95636574074</v>
      </c>
      <c r="C2739" t="n">
        <v>0</v>
      </c>
      <c r="D2739" t="n">
        <v>0</v>
      </c>
      <c r="E2739" t="s">
        <v>2719</v>
      </c>
      <c r="F2739" t="s"/>
      <c r="G2739" t="s"/>
      <c r="H2739" t="s"/>
      <c r="I2739" t="s"/>
      <c r="J2739" t="n">
        <v>-0.1759</v>
      </c>
      <c r="K2739" t="n">
        <v>0.135</v>
      </c>
      <c r="L2739" t="n">
        <v>0.76</v>
      </c>
      <c r="M2739" t="n">
        <v>0.106</v>
      </c>
    </row>
    <row r="2740" spans="1:13">
      <c r="A2740" s="1">
        <f>HYPERLINK("http://www.twitter.com/NathanBLawrence/status/986014355417456640", "986014355417456640")</f>
        <v/>
      </c>
      <c r="B2740" s="2" t="n">
        <v>43206.95273148148</v>
      </c>
      <c r="C2740" t="n">
        <v>0</v>
      </c>
      <c r="D2740" t="n">
        <v>0</v>
      </c>
      <c r="E2740" t="s">
        <v>2720</v>
      </c>
      <c r="F2740" t="s"/>
      <c r="G2740" t="s"/>
      <c r="H2740" t="s"/>
      <c r="I2740" t="s"/>
      <c r="J2740" t="n">
        <v>-0.34</v>
      </c>
      <c r="K2740" t="n">
        <v>0.375</v>
      </c>
      <c r="L2740" t="n">
        <v>0.625</v>
      </c>
      <c r="M2740" t="n">
        <v>0</v>
      </c>
    </row>
    <row r="2741" spans="1:13">
      <c r="A2741" s="1">
        <f>HYPERLINK("http://www.twitter.com/NathanBLawrence/status/986012528630214657", "986012528630214657")</f>
        <v/>
      </c>
      <c r="B2741" s="2" t="n">
        <v>43206.94768518519</v>
      </c>
      <c r="C2741" t="n">
        <v>0</v>
      </c>
      <c r="D2741" t="n">
        <v>3</v>
      </c>
      <c r="E2741" t="s">
        <v>2721</v>
      </c>
      <c r="F2741" t="s"/>
      <c r="G2741" t="s"/>
      <c r="H2741" t="s"/>
      <c r="I2741" t="s"/>
      <c r="J2741" t="n">
        <v>0.128</v>
      </c>
      <c r="K2741" t="n">
        <v>0.149</v>
      </c>
      <c r="L2741" t="n">
        <v>0.6830000000000001</v>
      </c>
      <c r="M2741" t="n">
        <v>0.169</v>
      </c>
    </row>
    <row r="2742" spans="1:13">
      <c r="A2742" s="1">
        <f>HYPERLINK("http://www.twitter.com/NathanBLawrence/status/986012360874889217", "986012360874889217")</f>
        <v/>
      </c>
      <c r="B2742" s="2" t="n">
        <v>43206.94722222222</v>
      </c>
      <c r="C2742" t="n">
        <v>0</v>
      </c>
      <c r="D2742" t="n">
        <v>4</v>
      </c>
      <c r="E2742" t="s">
        <v>2722</v>
      </c>
      <c r="F2742" t="s"/>
      <c r="G2742" t="s"/>
      <c r="H2742" t="s"/>
      <c r="I2742" t="s"/>
      <c r="J2742" t="n">
        <v>0.7536</v>
      </c>
      <c r="K2742" t="n">
        <v>0</v>
      </c>
      <c r="L2742" t="n">
        <v>0.756</v>
      </c>
      <c r="M2742" t="n">
        <v>0.244</v>
      </c>
    </row>
    <row r="2743" spans="1:13">
      <c r="A2743" s="1">
        <f>HYPERLINK("http://www.twitter.com/NathanBLawrence/status/986012294856527872", "986012294856527872")</f>
        <v/>
      </c>
      <c r="B2743" s="2" t="n">
        <v>43206.94703703704</v>
      </c>
      <c r="C2743" t="n">
        <v>0</v>
      </c>
      <c r="D2743" t="n">
        <v>4</v>
      </c>
      <c r="E2743" t="s">
        <v>2723</v>
      </c>
      <c r="F2743" t="s"/>
      <c r="G2743" t="s"/>
      <c r="H2743" t="s"/>
      <c r="I2743" t="s"/>
      <c r="J2743" t="n">
        <v>0</v>
      </c>
      <c r="K2743" t="n">
        <v>0</v>
      </c>
      <c r="L2743" t="n">
        <v>1</v>
      </c>
      <c r="M2743" t="n">
        <v>0</v>
      </c>
    </row>
    <row r="2744" spans="1:13">
      <c r="A2744" s="1">
        <f>HYPERLINK("http://www.twitter.com/NathanBLawrence/status/986012277974491136", "986012277974491136")</f>
        <v/>
      </c>
      <c r="B2744" s="2" t="n">
        <v>43206.94699074074</v>
      </c>
      <c r="C2744" t="n">
        <v>0</v>
      </c>
      <c r="D2744" t="n">
        <v>5</v>
      </c>
      <c r="E2744" t="s">
        <v>2724</v>
      </c>
      <c r="F2744" t="s"/>
      <c r="G2744" t="s"/>
      <c r="H2744" t="s"/>
      <c r="I2744" t="s"/>
      <c r="J2744" t="n">
        <v>0.1027</v>
      </c>
      <c r="K2744" t="n">
        <v>0</v>
      </c>
      <c r="L2744" t="n">
        <v>0.9399999999999999</v>
      </c>
      <c r="M2744" t="n">
        <v>0.06</v>
      </c>
    </row>
    <row r="2745" spans="1:13">
      <c r="A2745" s="1">
        <f>HYPERLINK("http://www.twitter.com/NathanBLawrence/status/986012266872164354", "986012266872164354")</f>
        <v/>
      </c>
      <c r="B2745" s="2" t="n">
        <v>43206.94696759259</v>
      </c>
      <c r="C2745" t="n">
        <v>0</v>
      </c>
      <c r="D2745" t="n">
        <v>5</v>
      </c>
      <c r="E2745" t="s">
        <v>2725</v>
      </c>
      <c r="F2745">
        <f>HYPERLINK("http://pbs.twimg.com/media/Da7rhoNU8AAW7iE.jpg", "http://pbs.twimg.com/media/Da7rhoNU8AAW7iE.jpg")</f>
        <v/>
      </c>
      <c r="G2745" t="s"/>
      <c r="H2745" t="s"/>
      <c r="I2745" t="s"/>
      <c r="J2745" t="n">
        <v>0.4404</v>
      </c>
      <c r="K2745" t="n">
        <v>0</v>
      </c>
      <c r="L2745" t="n">
        <v>0.873</v>
      </c>
      <c r="M2745" t="n">
        <v>0.127</v>
      </c>
    </row>
    <row r="2746" spans="1:13">
      <c r="A2746" s="1">
        <f>HYPERLINK("http://www.twitter.com/NathanBLawrence/status/986012161565655043", "986012161565655043")</f>
        <v/>
      </c>
      <c r="B2746" s="2" t="n">
        <v>43206.94667824074</v>
      </c>
      <c r="C2746" t="n">
        <v>3</v>
      </c>
      <c r="D2746" t="n">
        <v>3</v>
      </c>
      <c r="E2746" t="s">
        <v>2726</v>
      </c>
      <c r="F2746" t="s"/>
      <c r="G2746" t="s"/>
      <c r="H2746" t="s"/>
      <c r="I2746" t="s"/>
      <c r="J2746" t="n">
        <v>0.128</v>
      </c>
      <c r="K2746" t="n">
        <v>0.13</v>
      </c>
      <c r="L2746" t="n">
        <v>0.713</v>
      </c>
      <c r="M2746" t="n">
        <v>0.157</v>
      </c>
    </row>
    <row r="2747" spans="1:13">
      <c r="A2747" s="1">
        <f>HYPERLINK("http://www.twitter.com/NathanBLawrence/status/986011754818883585", "986011754818883585")</f>
        <v/>
      </c>
      <c r="B2747" s="2" t="n">
        <v>43206.94555555555</v>
      </c>
      <c r="C2747" t="n">
        <v>0</v>
      </c>
      <c r="D2747" t="n">
        <v>6</v>
      </c>
      <c r="E2747" t="s">
        <v>2727</v>
      </c>
      <c r="F2747" t="s"/>
      <c r="G2747" t="s"/>
      <c r="H2747" t="s"/>
      <c r="I2747" t="s"/>
      <c r="J2747" t="n">
        <v>-0.128</v>
      </c>
      <c r="K2747" t="n">
        <v>0.162</v>
      </c>
      <c r="L2747" t="n">
        <v>0.742</v>
      </c>
      <c r="M2747" t="n">
        <v>0.096</v>
      </c>
    </row>
    <row r="2748" spans="1:13">
      <c r="A2748" s="1">
        <f>HYPERLINK("http://www.twitter.com/NathanBLawrence/status/986011645326577664", "986011645326577664")</f>
        <v/>
      </c>
      <c r="B2748" s="2" t="n">
        <v>43206.94525462963</v>
      </c>
      <c r="C2748" t="n">
        <v>0</v>
      </c>
      <c r="D2748" t="n">
        <v>4</v>
      </c>
      <c r="E2748" t="s">
        <v>2728</v>
      </c>
      <c r="F2748" t="s"/>
      <c r="G2748" t="s"/>
      <c r="H2748" t="s"/>
      <c r="I2748" t="s"/>
      <c r="J2748" t="n">
        <v>0.2579</v>
      </c>
      <c r="K2748" t="n">
        <v>0.068</v>
      </c>
      <c r="L2748" t="n">
        <v>0.821</v>
      </c>
      <c r="M2748" t="n">
        <v>0.111</v>
      </c>
    </row>
    <row r="2749" spans="1:13">
      <c r="A2749" s="1">
        <f>HYPERLINK("http://www.twitter.com/NathanBLawrence/status/986011628335521794", "986011628335521794")</f>
        <v/>
      </c>
      <c r="B2749" s="2" t="n">
        <v>43206.94520833333</v>
      </c>
      <c r="C2749" t="n">
        <v>5</v>
      </c>
      <c r="D2749" t="n">
        <v>4</v>
      </c>
      <c r="E2749" t="s">
        <v>2729</v>
      </c>
      <c r="F2749" t="s"/>
      <c r="G2749" t="s"/>
      <c r="H2749" t="s"/>
      <c r="I2749" t="s"/>
      <c r="J2749" t="n">
        <v>-0.1877</v>
      </c>
      <c r="K2749" t="n">
        <v>0.161</v>
      </c>
      <c r="L2749" t="n">
        <v>0.658</v>
      </c>
      <c r="M2749" t="n">
        <v>0.181</v>
      </c>
    </row>
    <row r="2750" spans="1:13">
      <c r="A2750" s="1">
        <f>HYPERLINK("http://www.twitter.com/NathanBLawrence/status/986010825335955457", "986010825335955457")</f>
        <v/>
      </c>
      <c r="B2750" s="2" t="n">
        <v>43206.94298611111</v>
      </c>
      <c r="C2750" t="n">
        <v>0</v>
      </c>
      <c r="D2750" t="n">
        <v>3</v>
      </c>
      <c r="E2750" t="s">
        <v>2730</v>
      </c>
      <c r="F2750" t="s"/>
      <c r="G2750" t="s"/>
      <c r="H2750" t="s"/>
      <c r="I2750" t="s"/>
      <c r="J2750" t="n">
        <v>0.1179</v>
      </c>
      <c r="K2750" t="n">
        <v>0.055</v>
      </c>
      <c r="L2750" t="n">
        <v>0.871</v>
      </c>
      <c r="M2750" t="n">
        <v>0.074</v>
      </c>
    </row>
    <row r="2751" spans="1:13">
      <c r="A2751" s="1">
        <f>HYPERLINK("http://www.twitter.com/NathanBLawrence/status/986010815542243328", "986010815542243328")</f>
        <v/>
      </c>
      <c r="B2751" s="2" t="n">
        <v>43206.94296296296</v>
      </c>
      <c r="C2751" t="n">
        <v>0</v>
      </c>
      <c r="D2751" t="n">
        <v>18</v>
      </c>
      <c r="E2751" t="s">
        <v>2731</v>
      </c>
      <c r="F2751" t="s"/>
      <c r="G2751" t="s"/>
      <c r="H2751" t="s"/>
      <c r="I2751" t="s"/>
      <c r="J2751" t="n">
        <v>-0.743</v>
      </c>
      <c r="K2751" t="n">
        <v>0.249</v>
      </c>
      <c r="L2751" t="n">
        <v>0.751</v>
      </c>
      <c r="M2751" t="n">
        <v>0</v>
      </c>
    </row>
    <row r="2752" spans="1:13">
      <c r="A2752" s="1">
        <f>HYPERLINK("http://www.twitter.com/NathanBLawrence/status/986010799394185216", "986010799394185216")</f>
        <v/>
      </c>
      <c r="B2752" s="2" t="n">
        <v>43206.94291666667</v>
      </c>
      <c r="C2752" t="n">
        <v>0</v>
      </c>
      <c r="D2752" t="n">
        <v>3</v>
      </c>
      <c r="E2752" t="s">
        <v>2732</v>
      </c>
      <c r="F2752" t="s"/>
      <c r="G2752" t="s"/>
      <c r="H2752" t="s"/>
      <c r="I2752" t="s"/>
      <c r="J2752" t="n">
        <v>0</v>
      </c>
      <c r="K2752" t="n">
        <v>0</v>
      </c>
      <c r="L2752" t="n">
        <v>1</v>
      </c>
      <c r="M2752" t="n">
        <v>0</v>
      </c>
    </row>
    <row r="2753" spans="1:13">
      <c r="A2753" s="1">
        <f>HYPERLINK("http://www.twitter.com/NathanBLawrence/status/986010787172044801", "986010787172044801")</f>
        <v/>
      </c>
      <c r="B2753" s="2" t="n">
        <v>43206.94288194444</v>
      </c>
      <c r="C2753" t="n">
        <v>0</v>
      </c>
      <c r="D2753" t="n">
        <v>9</v>
      </c>
      <c r="E2753" t="s">
        <v>2733</v>
      </c>
      <c r="F2753">
        <f>HYPERLINK("http://pbs.twimg.com/media/Da8DYiWVwAEXLK3.jpg", "http://pbs.twimg.com/media/Da8DYiWVwAEXLK3.jpg")</f>
        <v/>
      </c>
      <c r="G2753" t="s"/>
      <c r="H2753" t="s"/>
      <c r="I2753" t="s"/>
      <c r="J2753" t="n">
        <v>0</v>
      </c>
      <c r="K2753" t="n">
        <v>0</v>
      </c>
      <c r="L2753" t="n">
        <v>1</v>
      </c>
      <c r="M2753" t="n">
        <v>0</v>
      </c>
    </row>
    <row r="2754" spans="1:13">
      <c r="A2754" s="1">
        <f>HYPERLINK("http://www.twitter.com/NathanBLawrence/status/985987768311566338", "985987768311566338")</f>
        <v/>
      </c>
      <c r="B2754" s="2" t="n">
        <v>43206.87936342593</v>
      </c>
      <c r="C2754" t="n">
        <v>0</v>
      </c>
      <c r="D2754" t="n">
        <v>0</v>
      </c>
      <c r="E2754" t="s">
        <v>2734</v>
      </c>
      <c r="F2754" t="s"/>
      <c r="G2754" t="s"/>
      <c r="H2754" t="s"/>
      <c r="I2754" t="s"/>
      <c r="J2754" t="n">
        <v>-0.6124000000000001</v>
      </c>
      <c r="K2754" t="n">
        <v>0.278</v>
      </c>
      <c r="L2754" t="n">
        <v>0.63</v>
      </c>
      <c r="M2754" t="n">
        <v>0.093</v>
      </c>
    </row>
    <row r="2755" spans="1:13">
      <c r="A2755" s="1">
        <f>HYPERLINK("http://www.twitter.com/NathanBLawrence/status/985981833086210049", "985981833086210049")</f>
        <v/>
      </c>
      <c r="B2755" s="2" t="n">
        <v>43206.86298611111</v>
      </c>
      <c r="C2755" t="n">
        <v>0</v>
      </c>
      <c r="D2755" t="n">
        <v>14282</v>
      </c>
      <c r="E2755" t="s">
        <v>2735</v>
      </c>
      <c r="F2755" t="s"/>
      <c r="G2755" t="s"/>
      <c r="H2755" t="s"/>
      <c r="I2755" t="s"/>
      <c r="J2755" t="n">
        <v>0.1346</v>
      </c>
      <c r="K2755" t="n">
        <v>0.047</v>
      </c>
      <c r="L2755" t="n">
        <v>0.838</v>
      </c>
      <c r="M2755" t="n">
        <v>0.115</v>
      </c>
    </row>
    <row r="2756" spans="1:13">
      <c r="A2756" s="1">
        <f>HYPERLINK("http://www.twitter.com/NathanBLawrence/status/985977974657822721", "985977974657822721")</f>
        <v/>
      </c>
      <c r="B2756" s="2" t="n">
        <v>43206.85233796296</v>
      </c>
      <c r="C2756" t="n">
        <v>0</v>
      </c>
      <c r="D2756" t="n">
        <v>55</v>
      </c>
      <c r="E2756" t="s">
        <v>2736</v>
      </c>
      <c r="F2756">
        <f>HYPERLINK("http://pbs.twimg.com/media/DZ0HGMgU0AUR8Dr.jpg", "http://pbs.twimg.com/media/DZ0HGMgU0AUR8Dr.jpg")</f>
        <v/>
      </c>
      <c r="G2756" t="s"/>
      <c r="H2756" t="s"/>
      <c r="I2756" t="s"/>
      <c r="J2756" t="n">
        <v>0.5859</v>
      </c>
      <c r="K2756" t="n">
        <v>0</v>
      </c>
      <c r="L2756" t="n">
        <v>0.847</v>
      </c>
      <c r="M2756" t="n">
        <v>0.153</v>
      </c>
    </row>
    <row r="2757" spans="1:13">
      <c r="A2757" s="1">
        <f>HYPERLINK("http://www.twitter.com/NathanBLawrence/status/985977835687940096", "985977835687940096")</f>
        <v/>
      </c>
      <c r="B2757" s="2" t="n">
        <v>43206.85195601852</v>
      </c>
      <c r="C2757" t="n">
        <v>0</v>
      </c>
      <c r="D2757" t="n">
        <v>7</v>
      </c>
      <c r="E2757" t="s">
        <v>2737</v>
      </c>
      <c r="F2757" t="s"/>
      <c r="G2757" t="s"/>
      <c r="H2757" t="s"/>
      <c r="I2757" t="s"/>
      <c r="J2757" t="n">
        <v>0</v>
      </c>
      <c r="K2757" t="n">
        <v>0</v>
      </c>
      <c r="L2757" t="n">
        <v>1</v>
      </c>
      <c r="M2757" t="n">
        <v>0</v>
      </c>
    </row>
    <row r="2758" spans="1:13">
      <c r="A2758" s="1">
        <f>HYPERLINK("http://www.twitter.com/NathanBLawrence/status/985977719849660416", "985977719849660416")</f>
        <v/>
      </c>
      <c r="B2758" s="2" t="n">
        <v>43206.85163194445</v>
      </c>
      <c r="C2758" t="n">
        <v>0</v>
      </c>
      <c r="D2758" t="n">
        <v>994</v>
      </c>
      <c r="E2758" t="s">
        <v>2738</v>
      </c>
      <c r="F2758" t="s"/>
      <c r="G2758" t="s"/>
      <c r="H2758" t="s"/>
      <c r="I2758" t="s"/>
      <c r="J2758" t="n">
        <v>0.9062</v>
      </c>
      <c r="K2758" t="n">
        <v>0</v>
      </c>
      <c r="L2758" t="n">
        <v>0.515</v>
      </c>
      <c r="M2758" t="n">
        <v>0.485</v>
      </c>
    </row>
    <row r="2759" spans="1:13">
      <c r="A2759" s="1">
        <f>HYPERLINK("http://www.twitter.com/NathanBLawrence/status/985977693287206912", "985977693287206912")</f>
        <v/>
      </c>
      <c r="B2759" s="2" t="n">
        <v>43206.8515625</v>
      </c>
      <c r="C2759" t="n">
        <v>0</v>
      </c>
      <c r="D2759" t="n">
        <v>5267</v>
      </c>
      <c r="E2759" t="s">
        <v>2739</v>
      </c>
      <c r="F2759" t="s"/>
      <c r="G2759" t="s"/>
      <c r="H2759" t="s"/>
      <c r="I2759" t="s"/>
      <c r="J2759" t="n">
        <v>-0.4404</v>
      </c>
      <c r="K2759" t="n">
        <v>0.139</v>
      </c>
      <c r="L2759" t="n">
        <v>0.861</v>
      </c>
      <c r="M2759" t="n">
        <v>0</v>
      </c>
    </row>
    <row r="2760" spans="1:13">
      <c r="A2760" s="1">
        <f>HYPERLINK("http://www.twitter.com/NathanBLawrence/status/985977385890836480", "985977385890836480")</f>
        <v/>
      </c>
      <c r="B2760" s="2" t="n">
        <v>43206.85071759259</v>
      </c>
      <c r="C2760" t="n">
        <v>0</v>
      </c>
      <c r="D2760" t="n">
        <v>32</v>
      </c>
      <c r="E2760" t="s">
        <v>2740</v>
      </c>
      <c r="F2760">
        <f>HYPERLINK("http://pbs.twimg.com/media/Da6ll6QUQAEeT2-.jpg", "http://pbs.twimg.com/media/Da6ll6QUQAEeT2-.jpg")</f>
        <v/>
      </c>
      <c r="G2760">
        <f>HYPERLINK("http://pbs.twimg.com/media/Da6ll6QUQAAOIFW.jpg", "http://pbs.twimg.com/media/Da6ll6QUQAAOIFW.jpg")</f>
        <v/>
      </c>
      <c r="H2760">
        <f>HYPERLINK("http://pbs.twimg.com/media/Da6ll6PU8AAIdWq.jpg", "http://pbs.twimg.com/media/Da6ll6PU8AAIdWq.jpg")</f>
        <v/>
      </c>
      <c r="I2760">
        <f>HYPERLINK("http://pbs.twimg.com/media/Da6ll6PUQAAAO-h.jpg", "http://pbs.twimg.com/media/Da6ll6PUQAAAO-h.jpg")</f>
        <v/>
      </c>
      <c r="J2760" t="n">
        <v>0.2003</v>
      </c>
      <c r="K2760" t="n">
        <v>0.144</v>
      </c>
      <c r="L2760" t="n">
        <v>0.68</v>
      </c>
      <c r="M2760" t="n">
        <v>0.176</v>
      </c>
    </row>
    <row r="2761" spans="1:13">
      <c r="A2761" s="1">
        <f>HYPERLINK("http://www.twitter.com/NathanBLawrence/status/985977370757812224", "985977370757812224")</f>
        <v/>
      </c>
      <c r="B2761" s="2" t="n">
        <v>43206.8506712963</v>
      </c>
      <c r="C2761" t="n">
        <v>0</v>
      </c>
      <c r="D2761" t="n">
        <v>9729</v>
      </c>
      <c r="E2761" t="s">
        <v>2741</v>
      </c>
      <c r="F2761" t="s"/>
      <c r="G2761" t="s"/>
      <c r="H2761" t="s"/>
      <c r="I2761" t="s"/>
      <c r="J2761" t="n">
        <v>0.765</v>
      </c>
      <c r="K2761" t="n">
        <v>0</v>
      </c>
      <c r="L2761" t="n">
        <v>0.725</v>
      </c>
      <c r="M2761" t="n">
        <v>0.275</v>
      </c>
    </row>
    <row r="2762" spans="1:13">
      <c r="A2762" s="1">
        <f>HYPERLINK("http://www.twitter.com/NathanBLawrence/status/985937273840656384", "985937273840656384")</f>
        <v/>
      </c>
      <c r="B2762" s="2" t="n">
        <v>43206.74002314815</v>
      </c>
      <c r="C2762" t="n">
        <v>0</v>
      </c>
      <c r="D2762" t="n">
        <v>1651</v>
      </c>
      <c r="E2762" t="s">
        <v>2742</v>
      </c>
      <c r="F2762" t="s"/>
      <c r="G2762" t="s"/>
      <c r="H2762" t="s"/>
      <c r="I2762" t="s"/>
      <c r="J2762" t="n">
        <v>-0.6486</v>
      </c>
      <c r="K2762" t="n">
        <v>0.249</v>
      </c>
      <c r="L2762" t="n">
        <v>0.751</v>
      </c>
      <c r="M2762" t="n">
        <v>0</v>
      </c>
    </row>
    <row r="2763" spans="1:13">
      <c r="A2763" s="1">
        <f>HYPERLINK("http://www.twitter.com/NathanBLawrence/status/985937255960326144", "985937255960326144")</f>
        <v/>
      </c>
      <c r="B2763" s="2" t="n">
        <v>43206.73997685185</v>
      </c>
      <c r="C2763" t="n">
        <v>6</v>
      </c>
      <c r="D2763" t="n">
        <v>7</v>
      </c>
      <c r="E2763" t="s">
        <v>2743</v>
      </c>
      <c r="F2763" t="s"/>
      <c r="G2763" t="s"/>
      <c r="H2763" t="s"/>
      <c r="I2763" t="s"/>
      <c r="J2763" t="n">
        <v>-0.34</v>
      </c>
      <c r="K2763" t="n">
        <v>0.079</v>
      </c>
      <c r="L2763" t="n">
        <v>0.921</v>
      </c>
      <c r="M2763" t="n">
        <v>0</v>
      </c>
    </row>
    <row r="2764" spans="1:13">
      <c r="A2764" s="1">
        <f>HYPERLINK("http://www.twitter.com/NathanBLawrence/status/985930198074916864", "985930198074916864")</f>
        <v/>
      </c>
      <c r="B2764" s="2" t="n">
        <v>43206.72049768519</v>
      </c>
      <c r="C2764" t="n">
        <v>7</v>
      </c>
      <c r="D2764" t="n">
        <v>5</v>
      </c>
      <c r="E2764" t="s">
        <v>2744</v>
      </c>
      <c r="F2764" t="s"/>
      <c r="G2764" t="s"/>
      <c r="H2764" t="s"/>
      <c r="I2764" t="s"/>
      <c r="J2764" t="n">
        <v>-0.4767</v>
      </c>
      <c r="K2764" t="n">
        <v>0.24</v>
      </c>
      <c r="L2764" t="n">
        <v>0.646</v>
      </c>
      <c r="M2764" t="n">
        <v>0.114</v>
      </c>
    </row>
    <row r="2765" spans="1:13">
      <c r="A2765" s="1">
        <f>HYPERLINK("http://www.twitter.com/NathanBLawrence/status/985921921954078720", "985921921954078720")</f>
        <v/>
      </c>
      <c r="B2765" s="2" t="n">
        <v>43206.69766203704</v>
      </c>
      <c r="C2765" t="n">
        <v>0</v>
      </c>
      <c r="D2765" t="n">
        <v>0</v>
      </c>
      <c r="E2765" t="s">
        <v>2745</v>
      </c>
      <c r="F2765" t="s"/>
      <c r="G2765" t="s"/>
      <c r="H2765" t="s"/>
      <c r="I2765" t="s"/>
      <c r="J2765" t="n">
        <v>0.4767</v>
      </c>
      <c r="K2765" t="n">
        <v>0.023</v>
      </c>
      <c r="L2765" t="n">
        <v>0.902</v>
      </c>
      <c r="M2765" t="n">
        <v>0.075</v>
      </c>
    </row>
    <row r="2766" spans="1:13">
      <c r="A2766" s="1">
        <f>HYPERLINK("http://www.twitter.com/NathanBLawrence/status/985884933263642624", "985884933263642624")</f>
        <v/>
      </c>
      <c r="B2766" s="2" t="n">
        <v>43206.59559027778</v>
      </c>
      <c r="C2766" t="n">
        <v>6</v>
      </c>
      <c r="D2766" t="n">
        <v>7</v>
      </c>
      <c r="E2766" t="s">
        <v>2746</v>
      </c>
      <c r="F2766">
        <f>HYPERLINK("http://pbs.twimg.com/media/Da6RHIhUwAENx9n.jpg", "http://pbs.twimg.com/media/Da6RHIhUwAENx9n.jpg")</f>
        <v/>
      </c>
      <c r="G2766" t="s"/>
      <c r="H2766" t="s"/>
      <c r="I2766" t="s"/>
      <c r="J2766" t="n">
        <v>0.4805</v>
      </c>
      <c r="K2766" t="n">
        <v>0.07099999999999999</v>
      </c>
      <c r="L2766" t="n">
        <v>0.769</v>
      </c>
      <c r="M2766" t="n">
        <v>0.16</v>
      </c>
    </row>
    <row r="2767" spans="1:13">
      <c r="A2767" s="1">
        <f>HYPERLINK("http://www.twitter.com/NathanBLawrence/status/985880570973614080", "985880570973614080")</f>
        <v/>
      </c>
      <c r="B2767" s="2" t="n">
        <v>43206.58355324074</v>
      </c>
      <c r="C2767" t="n">
        <v>0</v>
      </c>
      <c r="D2767" t="n">
        <v>6</v>
      </c>
      <c r="E2767" t="s">
        <v>2747</v>
      </c>
      <c r="F2767" t="s"/>
      <c r="G2767" t="s"/>
      <c r="H2767" t="s"/>
      <c r="I2767" t="s"/>
      <c r="J2767" t="n">
        <v>-0.0258</v>
      </c>
      <c r="K2767" t="n">
        <v>0.107</v>
      </c>
      <c r="L2767" t="n">
        <v>0.791</v>
      </c>
      <c r="M2767" t="n">
        <v>0.102</v>
      </c>
    </row>
    <row r="2768" spans="1:13">
      <c r="A2768" s="1">
        <f>HYPERLINK("http://www.twitter.com/NathanBLawrence/status/985880551352684544", "985880551352684544")</f>
        <v/>
      </c>
      <c r="B2768" s="2" t="n">
        <v>43206.58349537037</v>
      </c>
      <c r="C2768" t="n">
        <v>0</v>
      </c>
      <c r="D2768" t="n">
        <v>5</v>
      </c>
      <c r="E2768" t="s">
        <v>2748</v>
      </c>
      <c r="F2768" t="s"/>
      <c r="G2768" t="s"/>
      <c r="H2768" t="s"/>
      <c r="I2768" t="s"/>
      <c r="J2768" t="n">
        <v>0.2411</v>
      </c>
      <c r="K2768" t="n">
        <v>0</v>
      </c>
      <c r="L2768" t="n">
        <v>0.921</v>
      </c>
      <c r="M2768" t="n">
        <v>0.079</v>
      </c>
    </row>
    <row r="2769" spans="1:13">
      <c r="A2769" s="1">
        <f>HYPERLINK("http://www.twitter.com/NathanBLawrence/status/985880486668095488", "985880486668095488")</f>
        <v/>
      </c>
      <c r="B2769" s="2" t="n">
        <v>43206.58332175926</v>
      </c>
      <c r="C2769" t="n">
        <v>0</v>
      </c>
      <c r="D2769" t="n">
        <v>8</v>
      </c>
      <c r="E2769" t="s">
        <v>2749</v>
      </c>
      <c r="F2769" t="s"/>
      <c r="G2769" t="s"/>
      <c r="H2769" t="s"/>
      <c r="I2769" t="s"/>
      <c r="J2769" t="n">
        <v>0.3869</v>
      </c>
      <c r="K2769" t="n">
        <v>0.073</v>
      </c>
      <c r="L2769" t="n">
        <v>0.779</v>
      </c>
      <c r="M2769" t="n">
        <v>0.148</v>
      </c>
    </row>
    <row r="2770" spans="1:13">
      <c r="A2770" s="1">
        <f>HYPERLINK("http://www.twitter.com/NathanBLawrence/status/985880470524170245", "985880470524170245")</f>
        <v/>
      </c>
      <c r="B2770" s="2" t="n">
        <v>43206.58327546297</v>
      </c>
      <c r="C2770" t="n">
        <v>0</v>
      </c>
      <c r="D2770" t="n">
        <v>17</v>
      </c>
      <c r="E2770" t="s">
        <v>2750</v>
      </c>
      <c r="F2770" t="s"/>
      <c r="G2770" t="s"/>
      <c r="H2770" t="s"/>
      <c r="I2770" t="s"/>
      <c r="J2770" t="n">
        <v>-0.4404</v>
      </c>
      <c r="K2770" t="n">
        <v>0.153</v>
      </c>
      <c r="L2770" t="n">
        <v>0.847</v>
      </c>
      <c r="M2770" t="n">
        <v>0</v>
      </c>
    </row>
    <row r="2771" spans="1:13">
      <c r="A2771" s="1">
        <f>HYPERLINK("http://www.twitter.com/NathanBLawrence/status/985880422537195523", "985880422537195523")</f>
        <v/>
      </c>
      <c r="B2771" s="2" t="n">
        <v>43206.58314814815</v>
      </c>
      <c r="C2771" t="n">
        <v>0</v>
      </c>
      <c r="D2771" t="n">
        <v>8</v>
      </c>
      <c r="E2771" t="s">
        <v>2751</v>
      </c>
      <c r="F2771" t="s"/>
      <c r="G2771" t="s"/>
      <c r="H2771" t="s"/>
      <c r="I2771" t="s"/>
      <c r="J2771" t="n">
        <v>0</v>
      </c>
      <c r="K2771" t="n">
        <v>0</v>
      </c>
      <c r="L2771" t="n">
        <v>1</v>
      </c>
      <c r="M2771" t="n">
        <v>0</v>
      </c>
    </row>
    <row r="2772" spans="1:13">
      <c r="A2772" s="1">
        <f>HYPERLINK("http://www.twitter.com/NathanBLawrence/status/985880352337035264", "985880352337035264")</f>
        <v/>
      </c>
      <c r="B2772" s="2" t="n">
        <v>43206.58295138889</v>
      </c>
      <c r="C2772" t="n">
        <v>0</v>
      </c>
      <c r="D2772" t="n">
        <v>8</v>
      </c>
      <c r="E2772" t="s">
        <v>2752</v>
      </c>
      <c r="F2772" t="s"/>
      <c r="G2772" t="s"/>
      <c r="H2772" t="s"/>
      <c r="I2772" t="s"/>
      <c r="J2772" t="n">
        <v>0</v>
      </c>
      <c r="K2772" t="n">
        <v>0</v>
      </c>
      <c r="L2772" t="n">
        <v>1</v>
      </c>
      <c r="M2772" t="n">
        <v>0</v>
      </c>
    </row>
    <row r="2773" spans="1:13">
      <c r="A2773" s="1">
        <f>HYPERLINK("http://www.twitter.com/NathanBLawrence/status/985880335727591424", "985880335727591424")</f>
        <v/>
      </c>
      <c r="B2773" s="2" t="n">
        <v>43206.58290509259</v>
      </c>
      <c r="C2773" t="n">
        <v>0</v>
      </c>
      <c r="D2773" t="n">
        <v>8</v>
      </c>
      <c r="E2773" t="s">
        <v>2753</v>
      </c>
      <c r="F2773" t="s"/>
      <c r="G2773" t="s"/>
      <c r="H2773" t="s"/>
      <c r="I2773" t="s"/>
      <c r="J2773" t="n">
        <v>0.4019</v>
      </c>
      <c r="K2773" t="n">
        <v>0</v>
      </c>
      <c r="L2773" t="n">
        <v>0.87</v>
      </c>
      <c r="M2773" t="n">
        <v>0.13</v>
      </c>
    </row>
    <row r="2774" spans="1:13">
      <c r="A2774" s="1">
        <f>HYPERLINK("http://www.twitter.com/NathanBLawrence/status/985878107344310273", "985878107344310273")</f>
        <v/>
      </c>
      <c r="B2774" s="2" t="n">
        <v>43206.57675925926</v>
      </c>
      <c r="C2774" t="n">
        <v>0</v>
      </c>
      <c r="D2774" t="n">
        <v>0</v>
      </c>
      <c r="E2774" t="s">
        <v>2754</v>
      </c>
      <c r="F2774" t="s"/>
      <c r="G2774" t="s"/>
      <c r="H2774" t="s"/>
      <c r="I2774" t="s"/>
      <c r="J2774" t="n">
        <v>0</v>
      </c>
      <c r="K2774" t="n">
        <v>0</v>
      </c>
      <c r="L2774" t="n">
        <v>1</v>
      </c>
      <c r="M2774" t="n">
        <v>0</v>
      </c>
    </row>
    <row r="2775" spans="1:13">
      <c r="A2775" s="1">
        <f>HYPERLINK("http://www.twitter.com/NathanBLawrence/status/985877608553426944", "985877608553426944")</f>
        <v/>
      </c>
      <c r="B2775" s="2" t="n">
        <v>43206.57538194444</v>
      </c>
      <c r="C2775" t="n">
        <v>0</v>
      </c>
      <c r="D2775" t="n">
        <v>0</v>
      </c>
      <c r="E2775" t="s">
        <v>2755</v>
      </c>
      <c r="F2775" t="s"/>
      <c r="G2775" t="s"/>
      <c r="H2775" t="s"/>
      <c r="I2775" t="s"/>
      <c r="J2775" t="n">
        <v>0</v>
      </c>
      <c r="K2775" t="n">
        <v>0</v>
      </c>
      <c r="L2775" t="n">
        <v>1</v>
      </c>
      <c r="M2775" t="n">
        <v>0</v>
      </c>
    </row>
    <row r="2776" spans="1:13">
      <c r="A2776" s="1">
        <f>HYPERLINK("http://www.twitter.com/NathanBLawrence/status/985877537434820609", "985877537434820609")</f>
        <v/>
      </c>
      <c r="B2776" s="2" t="n">
        <v>43206.57518518518</v>
      </c>
      <c r="C2776" t="n">
        <v>0</v>
      </c>
      <c r="D2776" t="n">
        <v>13</v>
      </c>
      <c r="E2776" t="s">
        <v>2756</v>
      </c>
      <c r="F2776">
        <f>HYPERLINK("http://pbs.twimg.com/media/Da5hiugWkAAEOzn.jpg", "http://pbs.twimg.com/media/Da5hiugWkAAEOzn.jpg")</f>
        <v/>
      </c>
      <c r="G2776" t="s"/>
      <c r="H2776" t="s"/>
      <c r="I2776" t="s"/>
      <c r="J2776" t="n">
        <v>0.4374</v>
      </c>
      <c r="K2776" t="n">
        <v>0</v>
      </c>
      <c r="L2776" t="n">
        <v>0.868</v>
      </c>
      <c r="M2776" t="n">
        <v>0.132</v>
      </c>
    </row>
    <row r="2777" spans="1:13">
      <c r="A2777" s="1">
        <f>HYPERLINK("http://www.twitter.com/NathanBLawrence/status/985877488835420161", "985877488835420161")</f>
        <v/>
      </c>
      <c r="B2777" s="2" t="n">
        <v>43206.5750462963</v>
      </c>
      <c r="C2777" t="n">
        <v>0</v>
      </c>
      <c r="D2777" t="n">
        <v>17</v>
      </c>
      <c r="E2777" t="s">
        <v>2757</v>
      </c>
      <c r="F2777" t="s"/>
      <c r="G2777" t="s"/>
      <c r="H2777" t="s"/>
      <c r="I2777" t="s"/>
      <c r="J2777" t="n">
        <v>-0.4404</v>
      </c>
      <c r="K2777" t="n">
        <v>0.146</v>
      </c>
      <c r="L2777" t="n">
        <v>0.854</v>
      </c>
      <c r="M2777" t="n">
        <v>0</v>
      </c>
    </row>
    <row r="2778" spans="1:13">
      <c r="A2778" s="1">
        <f>HYPERLINK("http://www.twitter.com/NathanBLawrence/status/985876856674058245", "985876856674058245")</f>
        <v/>
      </c>
      <c r="B2778" s="2" t="n">
        <v>43206.57329861111</v>
      </c>
      <c r="C2778" t="n">
        <v>0</v>
      </c>
      <c r="D2778" t="n">
        <v>9</v>
      </c>
      <c r="E2778" t="s">
        <v>2758</v>
      </c>
      <c r="F2778" t="s"/>
      <c r="G2778" t="s"/>
      <c r="H2778" t="s"/>
      <c r="I2778" t="s"/>
      <c r="J2778" t="n">
        <v>0.4019</v>
      </c>
      <c r="K2778" t="n">
        <v>0</v>
      </c>
      <c r="L2778" t="n">
        <v>0.876</v>
      </c>
      <c r="M2778" t="n">
        <v>0.124</v>
      </c>
    </row>
    <row r="2779" spans="1:13">
      <c r="A2779" s="1">
        <f>HYPERLINK("http://www.twitter.com/NathanBLawrence/status/985876628210319360", "985876628210319360")</f>
        <v/>
      </c>
      <c r="B2779" s="2" t="n">
        <v>43206.57267361111</v>
      </c>
      <c r="C2779" t="n">
        <v>0</v>
      </c>
      <c r="D2779" t="n">
        <v>9</v>
      </c>
      <c r="E2779" t="s">
        <v>2759</v>
      </c>
      <c r="F2779">
        <f>HYPERLINK("http://pbs.twimg.com/media/Da51qPPXcAEsKGY.jpg", "http://pbs.twimg.com/media/Da51qPPXcAEsKGY.jpg")</f>
        <v/>
      </c>
      <c r="G2779" t="s"/>
      <c r="H2779" t="s"/>
      <c r="I2779" t="s"/>
      <c r="J2779" t="n">
        <v>-0.2406</v>
      </c>
      <c r="K2779" t="n">
        <v>0.109</v>
      </c>
      <c r="L2779" t="n">
        <v>0.891</v>
      </c>
      <c r="M2779" t="n">
        <v>0</v>
      </c>
    </row>
    <row r="2780" spans="1:13">
      <c r="A2780" s="1">
        <f>HYPERLINK("http://www.twitter.com/NathanBLawrence/status/985876601241030657", "985876601241030657")</f>
        <v/>
      </c>
      <c r="B2780" s="2" t="n">
        <v>43206.57260416666</v>
      </c>
      <c r="C2780" t="n">
        <v>0</v>
      </c>
      <c r="D2780" t="n">
        <v>0</v>
      </c>
      <c r="E2780" t="s">
        <v>2760</v>
      </c>
      <c r="F2780" t="s"/>
      <c r="G2780" t="s"/>
      <c r="H2780" t="s"/>
      <c r="I2780" t="s"/>
      <c r="J2780" t="n">
        <v>0.4215</v>
      </c>
      <c r="K2780" t="n">
        <v>0</v>
      </c>
      <c r="L2780" t="n">
        <v>0.891</v>
      </c>
      <c r="M2780" t="n">
        <v>0.109</v>
      </c>
    </row>
    <row r="2781" spans="1:13">
      <c r="A2781" s="1">
        <f>HYPERLINK("http://www.twitter.com/NathanBLawrence/status/985876517849845761", "985876517849845761")</f>
        <v/>
      </c>
      <c r="B2781" s="2" t="n">
        <v>43206.57237268519</v>
      </c>
      <c r="C2781" t="n">
        <v>0</v>
      </c>
      <c r="D2781" t="n">
        <v>8</v>
      </c>
      <c r="E2781" t="s">
        <v>2761</v>
      </c>
      <c r="F2781" t="s"/>
      <c r="G2781" t="s"/>
      <c r="H2781" t="s"/>
      <c r="I2781" t="s"/>
      <c r="J2781" t="n">
        <v>0</v>
      </c>
      <c r="K2781" t="n">
        <v>0</v>
      </c>
      <c r="L2781" t="n">
        <v>1</v>
      </c>
      <c r="M2781" t="n">
        <v>0</v>
      </c>
    </row>
    <row r="2782" spans="1:13">
      <c r="A2782" s="1">
        <f>HYPERLINK("http://www.twitter.com/NathanBLawrence/status/985830219314597888", "985830219314597888")</f>
        <v/>
      </c>
      <c r="B2782" s="2" t="n">
        <v>43206.44460648148</v>
      </c>
      <c r="C2782" t="n">
        <v>0</v>
      </c>
      <c r="D2782" t="n">
        <v>8</v>
      </c>
      <c r="E2782" t="s">
        <v>2762</v>
      </c>
      <c r="F2782" t="s"/>
      <c r="G2782" t="s"/>
      <c r="H2782" t="s"/>
      <c r="I2782" t="s"/>
      <c r="J2782" t="n">
        <v>0.4404</v>
      </c>
      <c r="K2782" t="n">
        <v>0</v>
      </c>
      <c r="L2782" t="n">
        <v>0.775</v>
      </c>
      <c r="M2782" t="n">
        <v>0.225</v>
      </c>
    </row>
    <row r="2783" spans="1:13">
      <c r="A2783" s="1">
        <f>HYPERLINK("http://www.twitter.com/NathanBLawrence/status/985829992079745024", "985829992079745024")</f>
        <v/>
      </c>
      <c r="B2783" s="2" t="n">
        <v>43206.44398148148</v>
      </c>
      <c r="C2783" t="n">
        <v>0</v>
      </c>
      <c r="D2783" t="n">
        <v>8</v>
      </c>
      <c r="E2783" t="s">
        <v>2763</v>
      </c>
      <c r="F2783">
        <f>HYPERLINK("http://pbs.twimg.com/media/Da5NxV4X0AI5GEM.jpg", "http://pbs.twimg.com/media/Da5NxV4X0AI5GEM.jpg")</f>
        <v/>
      </c>
      <c r="G2783" t="s"/>
      <c r="H2783" t="s"/>
      <c r="I2783" t="s"/>
      <c r="J2783" t="n">
        <v>-0.34</v>
      </c>
      <c r="K2783" t="n">
        <v>0.118</v>
      </c>
      <c r="L2783" t="n">
        <v>0.882</v>
      </c>
      <c r="M2783" t="n">
        <v>0</v>
      </c>
    </row>
    <row r="2784" spans="1:13">
      <c r="A2784" s="1">
        <f>HYPERLINK("http://www.twitter.com/NathanBLawrence/status/985810050911522816", "985810050911522816")</f>
        <v/>
      </c>
      <c r="B2784" s="2" t="n">
        <v>43206.38895833334</v>
      </c>
      <c r="C2784" t="n">
        <v>0</v>
      </c>
      <c r="D2784" t="n">
        <v>9</v>
      </c>
      <c r="E2784" t="s">
        <v>2764</v>
      </c>
      <c r="F2784" t="s"/>
      <c r="G2784" t="s"/>
      <c r="H2784" t="s"/>
      <c r="I2784" t="s"/>
      <c r="J2784" t="n">
        <v>-0.743</v>
      </c>
      <c r="K2784" t="n">
        <v>0.221</v>
      </c>
      <c r="L2784" t="n">
        <v>0.736</v>
      </c>
      <c r="M2784" t="n">
        <v>0.043</v>
      </c>
    </row>
    <row r="2785" spans="1:13">
      <c r="A2785" s="1">
        <f>HYPERLINK("http://www.twitter.com/NathanBLawrence/status/985809958108368896", "985809958108368896")</f>
        <v/>
      </c>
      <c r="B2785" s="2" t="n">
        <v>43206.38870370371</v>
      </c>
      <c r="C2785" t="n">
        <v>0</v>
      </c>
      <c r="D2785" t="n">
        <v>7</v>
      </c>
      <c r="E2785" t="s">
        <v>2765</v>
      </c>
      <c r="F2785">
        <f>HYPERLINK("http://pbs.twimg.com/media/Da5KhBOVMAARCey.jpg", "http://pbs.twimg.com/media/Da5KhBOVMAARCey.jpg")</f>
        <v/>
      </c>
      <c r="G2785" t="s"/>
      <c r="H2785" t="s"/>
      <c r="I2785" t="s"/>
      <c r="J2785" t="n">
        <v>0</v>
      </c>
      <c r="K2785" t="n">
        <v>0</v>
      </c>
      <c r="L2785" t="n">
        <v>1</v>
      </c>
      <c r="M2785" t="n">
        <v>0</v>
      </c>
    </row>
    <row r="2786" spans="1:13">
      <c r="A2786" s="1">
        <f>HYPERLINK("http://www.twitter.com/NathanBLawrence/status/985809940450283520", "985809940450283520")</f>
        <v/>
      </c>
      <c r="B2786" s="2" t="n">
        <v>43206.38864583334</v>
      </c>
      <c r="C2786" t="n">
        <v>0</v>
      </c>
      <c r="D2786" t="n">
        <v>6</v>
      </c>
      <c r="E2786" t="s">
        <v>2766</v>
      </c>
      <c r="F2786">
        <f>HYPERLINK("http://pbs.twimg.com/media/Da5Ej-9VQAU9E65.jpg", "http://pbs.twimg.com/media/Da5Ej-9VQAU9E65.jpg")</f>
        <v/>
      </c>
      <c r="G2786" t="s"/>
      <c r="H2786" t="s"/>
      <c r="I2786" t="s"/>
      <c r="J2786" t="n">
        <v>0</v>
      </c>
      <c r="K2786" t="n">
        <v>0</v>
      </c>
      <c r="L2786" t="n">
        <v>1</v>
      </c>
      <c r="M2786" t="n">
        <v>0</v>
      </c>
    </row>
    <row r="2787" spans="1:13">
      <c r="A2787" s="1">
        <f>HYPERLINK("http://www.twitter.com/NathanBLawrence/status/985809915922010112", "985809915922010112")</f>
        <v/>
      </c>
      <c r="B2787" s="2" t="n">
        <v>43206.38858796296</v>
      </c>
      <c r="C2787" t="n">
        <v>0</v>
      </c>
      <c r="D2787" t="n">
        <v>14</v>
      </c>
      <c r="E2787" t="s">
        <v>2767</v>
      </c>
      <c r="F2787">
        <f>HYPERLINK("http://pbs.twimg.com/media/Da49JsNUMAAYf8W.jpg", "http://pbs.twimg.com/media/Da49JsNUMAAYf8W.jpg")</f>
        <v/>
      </c>
      <c r="G2787" t="s"/>
      <c r="H2787" t="s"/>
      <c r="I2787" t="s"/>
      <c r="J2787" t="n">
        <v>0.4391</v>
      </c>
      <c r="K2787" t="n">
        <v>0</v>
      </c>
      <c r="L2787" t="n">
        <v>0.892</v>
      </c>
      <c r="M2787" t="n">
        <v>0.108</v>
      </c>
    </row>
    <row r="2788" spans="1:13">
      <c r="A2788" s="1">
        <f>HYPERLINK("http://www.twitter.com/NathanBLawrence/status/985809822229696514", "985809822229696514")</f>
        <v/>
      </c>
      <c r="B2788" s="2" t="n">
        <v>43206.38832175926</v>
      </c>
      <c r="C2788" t="n">
        <v>0</v>
      </c>
      <c r="D2788" t="n">
        <v>2</v>
      </c>
      <c r="E2788" t="s">
        <v>2768</v>
      </c>
      <c r="F2788">
        <f>HYPERLINK("http://pbs.twimg.com/media/Da5MwXcW0AEJRAP.jpg", "http://pbs.twimg.com/media/Da5MwXcW0AEJRAP.jpg")</f>
        <v/>
      </c>
      <c r="G2788" t="s"/>
      <c r="H2788" t="s"/>
      <c r="I2788" t="s"/>
      <c r="J2788" t="n">
        <v>0</v>
      </c>
      <c r="K2788" t="n">
        <v>0</v>
      </c>
      <c r="L2788" t="n">
        <v>1</v>
      </c>
      <c r="M2788" t="n">
        <v>0</v>
      </c>
    </row>
    <row r="2789" spans="1:13">
      <c r="A2789" s="1">
        <f>HYPERLINK("http://www.twitter.com/NathanBLawrence/status/985808290767654913", "985808290767654913")</f>
        <v/>
      </c>
      <c r="B2789" s="2" t="n">
        <v>43206.38409722222</v>
      </c>
      <c r="C2789" t="n">
        <v>0</v>
      </c>
      <c r="D2789" t="n">
        <v>4</v>
      </c>
      <c r="E2789" t="s">
        <v>2769</v>
      </c>
      <c r="F2789">
        <f>HYPERLINK("http://pbs.twimg.com/media/Da5K5wCUMAAZ9c5.jpg", "http://pbs.twimg.com/media/Da5K5wCUMAAZ9c5.jpg")</f>
        <v/>
      </c>
      <c r="G2789" t="s"/>
      <c r="H2789" t="s"/>
      <c r="I2789" t="s"/>
      <c r="J2789" t="n">
        <v>0</v>
      </c>
      <c r="K2789" t="n">
        <v>0</v>
      </c>
      <c r="L2789" t="n">
        <v>1</v>
      </c>
      <c r="M2789" t="n">
        <v>0</v>
      </c>
    </row>
    <row r="2790" spans="1:13">
      <c r="A2790" s="1">
        <f>HYPERLINK("http://www.twitter.com/NathanBLawrence/status/985752239724785664", "985752239724785664")</f>
        <v/>
      </c>
      <c r="B2790" s="2" t="n">
        <v>43206.2294212963</v>
      </c>
      <c r="C2790" t="n">
        <v>0</v>
      </c>
      <c r="D2790" t="n">
        <v>4</v>
      </c>
      <c r="E2790" t="s">
        <v>2770</v>
      </c>
      <c r="F2790" t="s"/>
      <c r="G2790" t="s"/>
      <c r="H2790" t="s"/>
      <c r="I2790" t="s"/>
      <c r="J2790" t="n">
        <v>0</v>
      </c>
      <c r="K2790" t="n">
        <v>0</v>
      </c>
      <c r="L2790" t="n">
        <v>1</v>
      </c>
      <c r="M2790" t="n">
        <v>0</v>
      </c>
    </row>
    <row r="2791" spans="1:13">
      <c r="A2791" s="1">
        <f>HYPERLINK("http://www.twitter.com/NathanBLawrence/status/985752172842414080", "985752172842414080")</f>
        <v/>
      </c>
      <c r="B2791" s="2" t="n">
        <v>43206.22924768519</v>
      </c>
      <c r="C2791" t="n">
        <v>0</v>
      </c>
      <c r="D2791" t="n">
        <v>7</v>
      </c>
      <c r="E2791" t="s">
        <v>2771</v>
      </c>
      <c r="F2791" t="s"/>
      <c r="G2791" t="s"/>
      <c r="H2791" t="s"/>
      <c r="I2791" t="s"/>
      <c r="J2791" t="n">
        <v>-0.3612</v>
      </c>
      <c r="K2791" t="n">
        <v>0.13</v>
      </c>
      <c r="L2791" t="n">
        <v>0.794</v>
      </c>
      <c r="M2791" t="n">
        <v>0.076</v>
      </c>
    </row>
    <row r="2792" spans="1:13">
      <c r="A2792" s="1">
        <f>HYPERLINK("http://www.twitter.com/NathanBLawrence/status/985752113723727873", "985752113723727873")</f>
        <v/>
      </c>
      <c r="B2792" s="2" t="n">
        <v>43206.22907407407</v>
      </c>
      <c r="C2792" t="n">
        <v>0</v>
      </c>
      <c r="D2792" t="n">
        <v>12</v>
      </c>
      <c r="E2792" t="s">
        <v>2772</v>
      </c>
      <c r="F2792">
        <f>HYPERLINK("http://pbs.twimg.com/media/DaqFAzPW4AAbT0C.jpg", "http://pbs.twimg.com/media/DaqFAzPW4AAbT0C.jpg")</f>
        <v/>
      </c>
      <c r="G2792" t="s"/>
      <c r="H2792" t="s"/>
      <c r="I2792" t="s"/>
      <c r="J2792" t="n">
        <v>-0.5327</v>
      </c>
      <c r="K2792" t="n">
        <v>0.163</v>
      </c>
      <c r="L2792" t="n">
        <v>0.792</v>
      </c>
      <c r="M2792" t="n">
        <v>0.045</v>
      </c>
    </row>
    <row r="2793" spans="1:13">
      <c r="A2793" s="1">
        <f>HYPERLINK("http://www.twitter.com/NathanBLawrence/status/985752101803429889", "985752101803429889")</f>
        <v/>
      </c>
      <c r="B2793" s="2" t="n">
        <v>43206.22905092593</v>
      </c>
      <c r="C2793" t="n">
        <v>0</v>
      </c>
      <c r="D2793" t="n">
        <v>5</v>
      </c>
      <c r="E2793" t="s">
        <v>2773</v>
      </c>
      <c r="F2793" t="s"/>
      <c r="G2793" t="s"/>
      <c r="H2793" t="s"/>
      <c r="I2793" t="s"/>
      <c r="J2793" t="n">
        <v>-0.6107</v>
      </c>
      <c r="K2793" t="n">
        <v>0.192</v>
      </c>
      <c r="L2793" t="n">
        <v>0.8080000000000001</v>
      </c>
      <c r="M2793" t="n">
        <v>0</v>
      </c>
    </row>
    <row r="2794" spans="1:13">
      <c r="A2794" s="1">
        <f>HYPERLINK("http://www.twitter.com/NathanBLawrence/status/985751918445322240", "985751918445322240")</f>
        <v/>
      </c>
      <c r="B2794" s="2" t="n">
        <v>43206.22854166666</v>
      </c>
      <c r="C2794" t="n">
        <v>0</v>
      </c>
      <c r="D2794" t="n">
        <v>7</v>
      </c>
      <c r="E2794" t="s">
        <v>2774</v>
      </c>
      <c r="F2794">
        <f>HYPERLINK("http://pbs.twimg.com/media/Da33E23X0AA3fDZ.jpg", "http://pbs.twimg.com/media/Da33E23X0AA3fDZ.jpg")</f>
        <v/>
      </c>
      <c r="G2794" t="s"/>
      <c r="H2794" t="s"/>
      <c r="I2794" t="s"/>
      <c r="J2794" t="n">
        <v>0.4767</v>
      </c>
      <c r="K2794" t="n">
        <v>0</v>
      </c>
      <c r="L2794" t="n">
        <v>0.838</v>
      </c>
      <c r="M2794" t="n">
        <v>0.162</v>
      </c>
    </row>
    <row r="2795" spans="1:13">
      <c r="A2795" s="1">
        <f>HYPERLINK("http://www.twitter.com/NathanBLawrence/status/985751887147339777", "985751887147339777")</f>
        <v/>
      </c>
      <c r="B2795" s="2" t="n">
        <v>43206.22844907407</v>
      </c>
      <c r="C2795" t="n">
        <v>0</v>
      </c>
      <c r="D2795" t="n">
        <v>14</v>
      </c>
      <c r="E2795" t="s">
        <v>2775</v>
      </c>
      <c r="F2795">
        <f>HYPERLINK("http://pbs.twimg.com/media/Da37-LVXcAAiRAD.jpg", "http://pbs.twimg.com/media/Da37-LVXcAAiRAD.jpg")</f>
        <v/>
      </c>
      <c r="G2795" t="s"/>
      <c r="H2795" t="s"/>
      <c r="I2795" t="s"/>
      <c r="J2795" t="n">
        <v>-0.4588</v>
      </c>
      <c r="K2795" t="n">
        <v>0.143</v>
      </c>
      <c r="L2795" t="n">
        <v>0.857</v>
      </c>
      <c r="M2795" t="n">
        <v>0</v>
      </c>
    </row>
    <row r="2796" spans="1:13">
      <c r="A2796" s="1">
        <f>HYPERLINK("http://www.twitter.com/NathanBLawrence/status/985751657064665088", "985751657064665088")</f>
        <v/>
      </c>
      <c r="B2796" s="2" t="n">
        <v>43206.22782407407</v>
      </c>
      <c r="C2796" t="n">
        <v>0</v>
      </c>
      <c r="D2796" t="n">
        <v>9</v>
      </c>
      <c r="E2796" t="s">
        <v>2776</v>
      </c>
      <c r="F2796" t="s"/>
      <c r="G2796" t="s"/>
      <c r="H2796" t="s"/>
      <c r="I2796" t="s"/>
      <c r="J2796" t="n">
        <v>0</v>
      </c>
      <c r="K2796" t="n">
        <v>0</v>
      </c>
      <c r="L2796" t="n">
        <v>1</v>
      </c>
      <c r="M2796" t="n">
        <v>0</v>
      </c>
    </row>
    <row r="2797" spans="1:13">
      <c r="A2797" s="1">
        <f>HYPERLINK("http://www.twitter.com/NathanBLawrence/status/985751405771329536", "985751405771329536")</f>
        <v/>
      </c>
      <c r="B2797" s="2" t="n">
        <v>43206.22712962963</v>
      </c>
      <c r="C2797" t="n">
        <v>0</v>
      </c>
      <c r="D2797" t="n">
        <v>11</v>
      </c>
      <c r="E2797" t="s">
        <v>2777</v>
      </c>
      <c r="F2797" t="s"/>
      <c r="G2797" t="s"/>
      <c r="H2797" t="s"/>
      <c r="I2797" t="s"/>
      <c r="J2797" t="n">
        <v>0</v>
      </c>
      <c r="K2797" t="n">
        <v>0</v>
      </c>
      <c r="L2797" t="n">
        <v>1</v>
      </c>
      <c r="M2797" t="n">
        <v>0</v>
      </c>
    </row>
    <row r="2798" spans="1:13">
      <c r="A2798" s="1">
        <f>HYPERLINK("http://www.twitter.com/NathanBLawrence/status/985751377728110592", "985751377728110592")</f>
        <v/>
      </c>
      <c r="B2798" s="2" t="n">
        <v>43206.22704861111</v>
      </c>
      <c r="C2798" t="n">
        <v>0</v>
      </c>
      <c r="D2798" t="n">
        <v>13</v>
      </c>
      <c r="E2798" t="s">
        <v>2778</v>
      </c>
      <c r="F2798" t="s"/>
      <c r="G2798" t="s"/>
      <c r="H2798" t="s"/>
      <c r="I2798" t="s"/>
      <c r="J2798" t="n">
        <v>0.5106000000000001</v>
      </c>
      <c r="K2798" t="n">
        <v>0.05</v>
      </c>
      <c r="L2798" t="n">
        <v>0.772</v>
      </c>
      <c r="M2798" t="n">
        <v>0.178</v>
      </c>
    </row>
    <row r="2799" spans="1:13">
      <c r="A2799" s="1">
        <f>HYPERLINK("http://www.twitter.com/NathanBLawrence/status/985751266440736768", "985751266440736768")</f>
        <v/>
      </c>
      <c r="B2799" s="2" t="n">
        <v>43206.22673611111</v>
      </c>
      <c r="C2799" t="n">
        <v>0</v>
      </c>
      <c r="D2799" t="n">
        <v>13</v>
      </c>
      <c r="E2799" t="s">
        <v>2779</v>
      </c>
      <c r="F2799">
        <f>HYPERLINK("http://pbs.twimg.com/media/Da3t6KMV4AA6wga.jpg", "http://pbs.twimg.com/media/Da3t6KMV4AA6wga.jpg")</f>
        <v/>
      </c>
      <c r="G2799" t="s"/>
      <c r="H2799" t="s"/>
      <c r="I2799" t="s"/>
      <c r="J2799" t="n">
        <v>-0.5719</v>
      </c>
      <c r="K2799" t="n">
        <v>0.171</v>
      </c>
      <c r="L2799" t="n">
        <v>0.829</v>
      </c>
      <c r="M2799" t="n">
        <v>0</v>
      </c>
    </row>
    <row r="2800" spans="1:13">
      <c r="A2800" s="1">
        <f>HYPERLINK("http://www.twitter.com/NathanBLawrence/status/985715935171547136", "985715935171547136")</f>
        <v/>
      </c>
      <c r="B2800" s="2" t="n">
        <v>43206.12924768519</v>
      </c>
      <c r="C2800" t="n">
        <v>0</v>
      </c>
      <c r="D2800" t="n">
        <v>4</v>
      </c>
      <c r="E2800" t="s">
        <v>2780</v>
      </c>
      <c r="F2800" t="s"/>
      <c r="G2800" t="s"/>
      <c r="H2800" t="s"/>
      <c r="I2800" t="s"/>
      <c r="J2800" t="n">
        <v>0.2003</v>
      </c>
      <c r="K2800" t="n">
        <v>0.078</v>
      </c>
      <c r="L2800" t="n">
        <v>0.8159999999999999</v>
      </c>
      <c r="M2800" t="n">
        <v>0.106</v>
      </c>
    </row>
    <row r="2801" spans="1:13">
      <c r="A2801" s="1">
        <f>HYPERLINK("http://www.twitter.com/NathanBLawrence/status/985715043961589760", "985715043961589760")</f>
        <v/>
      </c>
      <c r="B2801" s="2" t="n">
        <v>43206.12678240741</v>
      </c>
      <c r="C2801" t="n">
        <v>0</v>
      </c>
      <c r="D2801" t="n">
        <v>327</v>
      </c>
      <c r="E2801" t="s">
        <v>2781</v>
      </c>
      <c r="F2801">
        <f>HYPERLINK("http://pbs.twimg.com/media/DZ9sKmVX4AcK-ab.jpg", "http://pbs.twimg.com/media/DZ9sKmVX4AcK-ab.jpg")</f>
        <v/>
      </c>
      <c r="G2801" t="s"/>
      <c r="H2801" t="s"/>
      <c r="I2801" t="s"/>
      <c r="J2801" t="n">
        <v>-0.6289</v>
      </c>
      <c r="K2801" t="n">
        <v>0.189</v>
      </c>
      <c r="L2801" t="n">
        <v>0.8110000000000001</v>
      </c>
      <c r="M2801" t="n">
        <v>0</v>
      </c>
    </row>
    <row r="2802" spans="1:13">
      <c r="A2802" s="1">
        <f>HYPERLINK("http://www.twitter.com/NathanBLawrence/status/985714996427575298", "985714996427575298")</f>
        <v/>
      </c>
      <c r="B2802" s="2" t="n">
        <v>43206.12665509259</v>
      </c>
      <c r="C2802" t="n">
        <v>0</v>
      </c>
      <c r="D2802" t="n">
        <v>3</v>
      </c>
      <c r="E2802" t="s">
        <v>2782</v>
      </c>
      <c r="F2802" t="s"/>
      <c r="G2802" t="s"/>
      <c r="H2802" t="s"/>
      <c r="I2802" t="s"/>
      <c r="J2802" t="n">
        <v>0</v>
      </c>
      <c r="K2802" t="n">
        <v>0</v>
      </c>
      <c r="L2802" t="n">
        <v>1</v>
      </c>
      <c r="M2802" t="n">
        <v>0</v>
      </c>
    </row>
    <row r="2803" spans="1:13">
      <c r="A2803" s="1">
        <f>HYPERLINK("http://www.twitter.com/NathanBLawrence/status/985714986512191489", "985714986512191489")</f>
        <v/>
      </c>
      <c r="B2803" s="2" t="n">
        <v>43206.12663194445</v>
      </c>
      <c r="C2803" t="n">
        <v>0</v>
      </c>
      <c r="D2803" t="n">
        <v>6</v>
      </c>
      <c r="E2803" t="s">
        <v>2783</v>
      </c>
      <c r="F2803" t="s"/>
      <c r="G2803" t="s"/>
      <c r="H2803" t="s"/>
      <c r="I2803" t="s"/>
      <c r="J2803" t="n">
        <v>-0.4215</v>
      </c>
      <c r="K2803" t="n">
        <v>0.128</v>
      </c>
      <c r="L2803" t="n">
        <v>0.872</v>
      </c>
      <c r="M2803" t="n">
        <v>0</v>
      </c>
    </row>
    <row r="2804" spans="1:13">
      <c r="A2804" s="1">
        <f>HYPERLINK("http://www.twitter.com/NathanBLawrence/status/985714832983973894", "985714832983973894")</f>
        <v/>
      </c>
      <c r="B2804" s="2" t="n">
        <v>43206.1262037037</v>
      </c>
      <c r="C2804" t="n">
        <v>0</v>
      </c>
      <c r="D2804" t="n">
        <v>3</v>
      </c>
      <c r="E2804" t="s">
        <v>2784</v>
      </c>
      <c r="F2804" t="s"/>
      <c r="G2804" t="s"/>
      <c r="H2804" t="s"/>
      <c r="I2804" t="s"/>
      <c r="J2804" t="n">
        <v>0.0772</v>
      </c>
      <c r="K2804" t="n">
        <v>0</v>
      </c>
      <c r="L2804" t="n">
        <v>0.9330000000000001</v>
      </c>
      <c r="M2804" t="n">
        <v>0.067</v>
      </c>
    </row>
    <row r="2805" spans="1:13">
      <c r="A2805" s="1">
        <f>HYPERLINK("http://www.twitter.com/NathanBLawrence/status/985714818203226117", "985714818203226117")</f>
        <v/>
      </c>
      <c r="B2805" s="2" t="n">
        <v>43206.12616898148</v>
      </c>
      <c r="C2805" t="n">
        <v>0</v>
      </c>
      <c r="D2805" t="n">
        <v>5</v>
      </c>
      <c r="E2805" t="s">
        <v>2785</v>
      </c>
      <c r="F2805" t="s"/>
      <c r="G2805" t="s"/>
      <c r="H2805" t="s"/>
      <c r="I2805" t="s"/>
      <c r="J2805" t="n">
        <v>0</v>
      </c>
      <c r="K2805" t="n">
        <v>0</v>
      </c>
      <c r="L2805" t="n">
        <v>1</v>
      </c>
      <c r="M2805" t="n">
        <v>0</v>
      </c>
    </row>
    <row r="2806" spans="1:13">
      <c r="A2806" s="1">
        <f>HYPERLINK("http://www.twitter.com/NathanBLawrence/status/985714631149748224", "985714631149748224")</f>
        <v/>
      </c>
      <c r="B2806" s="2" t="n">
        <v>43206.12564814815</v>
      </c>
      <c r="C2806" t="n">
        <v>0</v>
      </c>
      <c r="D2806" t="n">
        <v>3</v>
      </c>
      <c r="E2806" t="s">
        <v>2786</v>
      </c>
      <c r="F2806" t="s"/>
      <c r="G2806" t="s"/>
      <c r="H2806" t="s"/>
      <c r="I2806" t="s"/>
      <c r="J2806" t="n">
        <v>0</v>
      </c>
      <c r="K2806" t="n">
        <v>0</v>
      </c>
      <c r="L2806" t="n">
        <v>1</v>
      </c>
      <c r="M2806" t="n">
        <v>0</v>
      </c>
    </row>
    <row r="2807" spans="1:13">
      <c r="A2807" s="1">
        <f>HYPERLINK("http://www.twitter.com/NathanBLawrence/status/985714611382116362", "985714611382116362")</f>
        <v/>
      </c>
      <c r="B2807" s="2" t="n">
        <v>43206.12559027778</v>
      </c>
      <c r="C2807" t="n">
        <v>0</v>
      </c>
      <c r="D2807" t="n">
        <v>13</v>
      </c>
      <c r="E2807" t="s">
        <v>2787</v>
      </c>
      <c r="F2807">
        <f>HYPERLINK("http://pbs.twimg.com/media/DayD5qmW4AA0qw8.jpg", "http://pbs.twimg.com/media/DayD5qmW4AA0qw8.jpg")</f>
        <v/>
      </c>
      <c r="G2807" t="s"/>
      <c r="H2807" t="s"/>
      <c r="I2807" t="s"/>
      <c r="J2807" t="n">
        <v>-0.296</v>
      </c>
      <c r="K2807" t="n">
        <v>0.128</v>
      </c>
      <c r="L2807" t="n">
        <v>0.872</v>
      </c>
      <c r="M2807" t="n">
        <v>0</v>
      </c>
    </row>
    <row r="2808" spans="1:13">
      <c r="A2808" s="1">
        <f>HYPERLINK("http://www.twitter.com/NathanBLawrence/status/985714541228167169", "985714541228167169")</f>
        <v/>
      </c>
      <c r="B2808" s="2" t="n">
        <v>43206.12539351852</v>
      </c>
      <c r="C2808" t="n">
        <v>0</v>
      </c>
      <c r="D2808" t="n">
        <v>11</v>
      </c>
      <c r="E2808" t="s">
        <v>2788</v>
      </c>
      <c r="F2808">
        <f>HYPERLINK("http://pbs.twimg.com/media/Da1ZPRyU0AAYAld.jpg", "http://pbs.twimg.com/media/Da1ZPRyU0AAYAld.jpg")</f>
        <v/>
      </c>
      <c r="G2808">
        <f>HYPERLINK("http://pbs.twimg.com/media/Da1ZPRzUMAEhufr.jpg", "http://pbs.twimg.com/media/Da1ZPRzUMAEhufr.jpg")</f>
        <v/>
      </c>
      <c r="H2808" t="s"/>
      <c r="I2808" t="s"/>
      <c r="J2808" t="n">
        <v>0.54</v>
      </c>
      <c r="K2808" t="n">
        <v>0</v>
      </c>
      <c r="L2808" t="n">
        <v>0.845</v>
      </c>
      <c r="M2808" t="n">
        <v>0.155</v>
      </c>
    </row>
    <row r="2809" spans="1:13">
      <c r="A2809" s="1">
        <f>HYPERLINK("http://www.twitter.com/NathanBLawrence/status/985714514971779073", "985714514971779073")</f>
        <v/>
      </c>
      <c r="B2809" s="2" t="n">
        <v>43206.12532407408</v>
      </c>
      <c r="C2809" t="n">
        <v>0</v>
      </c>
      <c r="D2809" t="n">
        <v>21</v>
      </c>
      <c r="E2809" t="s">
        <v>2789</v>
      </c>
      <c r="F2809" t="s"/>
      <c r="G2809" t="s"/>
      <c r="H2809" t="s"/>
      <c r="I2809" t="s"/>
      <c r="J2809" t="n">
        <v>0.5093</v>
      </c>
      <c r="K2809" t="n">
        <v>0</v>
      </c>
      <c r="L2809" t="n">
        <v>0.83</v>
      </c>
      <c r="M2809" t="n">
        <v>0.17</v>
      </c>
    </row>
    <row r="2810" spans="1:13">
      <c r="A2810" s="1">
        <f>HYPERLINK("http://www.twitter.com/NathanBLawrence/status/985714487050358785", "985714487050358785")</f>
        <v/>
      </c>
      <c r="B2810" s="2" t="n">
        <v>43206.12525462963</v>
      </c>
      <c r="C2810" t="n">
        <v>0</v>
      </c>
      <c r="D2810" t="n">
        <v>4</v>
      </c>
      <c r="E2810" t="s">
        <v>2790</v>
      </c>
      <c r="F2810" t="s"/>
      <c r="G2810" t="s"/>
      <c r="H2810" t="s"/>
      <c r="I2810" t="s"/>
      <c r="J2810" t="n">
        <v>0.4404</v>
      </c>
      <c r="K2810" t="n">
        <v>0</v>
      </c>
      <c r="L2810" t="n">
        <v>0.847</v>
      </c>
      <c r="M2810" t="n">
        <v>0.153</v>
      </c>
    </row>
    <row r="2811" spans="1:13">
      <c r="A2811" s="1">
        <f>HYPERLINK("http://www.twitter.com/NathanBLawrence/status/985714218895839232", "985714218895839232")</f>
        <v/>
      </c>
      <c r="B2811" s="2" t="n">
        <v>43206.12451388889</v>
      </c>
      <c r="C2811" t="n">
        <v>0</v>
      </c>
      <c r="D2811" t="n">
        <v>10</v>
      </c>
      <c r="E2811" t="s">
        <v>2791</v>
      </c>
      <c r="F2811" t="s"/>
      <c r="G2811" t="s"/>
      <c r="H2811" t="s"/>
      <c r="I2811" t="s"/>
      <c r="J2811" t="n">
        <v>0</v>
      </c>
      <c r="K2811" t="n">
        <v>0</v>
      </c>
      <c r="L2811" t="n">
        <v>1</v>
      </c>
      <c r="M2811" t="n">
        <v>0</v>
      </c>
    </row>
    <row r="2812" spans="1:13">
      <c r="A2812" s="1">
        <f>HYPERLINK("http://www.twitter.com/NathanBLawrence/status/985714012787703808", "985714012787703808")</f>
        <v/>
      </c>
      <c r="B2812" s="2" t="n">
        <v>43206.12393518518</v>
      </c>
      <c r="C2812" t="n">
        <v>0</v>
      </c>
      <c r="D2812" t="n">
        <v>19</v>
      </c>
      <c r="E2812" t="s">
        <v>2792</v>
      </c>
      <c r="F2812" t="s"/>
      <c r="G2812" t="s"/>
      <c r="H2812" t="s"/>
      <c r="I2812" t="s"/>
      <c r="J2812" t="n">
        <v>-0.5983000000000001</v>
      </c>
      <c r="K2812" t="n">
        <v>0.197</v>
      </c>
      <c r="L2812" t="n">
        <v>0.803</v>
      </c>
      <c r="M2812" t="n">
        <v>0</v>
      </c>
    </row>
    <row r="2813" spans="1:13">
      <c r="A2813" s="1">
        <f>HYPERLINK("http://www.twitter.com/NathanBLawrence/status/985713903891046400", "985713903891046400")</f>
        <v/>
      </c>
      <c r="B2813" s="2" t="n">
        <v>43206.12364583334</v>
      </c>
      <c r="C2813" t="n">
        <v>0</v>
      </c>
      <c r="D2813" t="n">
        <v>4</v>
      </c>
      <c r="E2813" t="s">
        <v>2793</v>
      </c>
      <c r="F2813" t="s"/>
      <c r="G2813" t="s"/>
      <c r="H2813" t="s"/>
      <c r="I2813" t="s"/>
      <c r="J2813" t="n">
        <v>0</v>
      </c>
      <c r="K2813" t="n">
        <v>0</v>
      </c>
      <c r="L2813" t="n">
        <v>1</v>
      </c>
      <c r="M2813" t="n">
        <v>0</v>
      </c>
    </row>
    <row r="2814" spans="1:13">
      <c r="A2814" s="1">
        <f>HYPERLINK("http://www.twitter.com/NathanBLawrence/status/985711986427211778", "985711986427211778")</f>
        <v/>
      </c>
      <c r="B2814" s="2" t="n">
        <v>43206.11834490741</v>
      </c>
      <c r="C2814" t="n">
        <v>0</v>
      </c>
      <c r="D2814" t="n">
        <v>0</v>
      </c>
      <c r="E2814" t="s">
        <v>2794</v>
      </c>
      <c r="F2814" t="s"/>
      <c r="G2814" t="s"/>
      <c r="H2814" t="s"/>
      <c r="I2814" t="s"/>
      <c r="J2814" t="n">
        <v>0.4003</v>
      </c>
      <c r="K2814" t="n">
        <v>0.077</v>
      </c>
      <c r="L2814" t="n">
        <v>0.788</v>
      </c>
      <c r="M2814" t="n">
        <v>0.136</v>
      </c>
    </row>
    <row r="2815" spans="1:13">
      <c r="A2815" s="1">
        <f>HYPERLINK("http://www.twitter.com/NathanBLawrence/status/985705929873256449", "985705929873256449")</f>
        <v/>
      </c>
      <c r="B2815" s="2" t="n">
        <v>43206.10163194445</v>
      </c>
      <c r="C2815" t="n">
        <v>3</v>
      </c>
      <c r="D2815" t="n">
        <v>2</v>
      </c>
      <c r="E2815" t="s">
        <v>2795</v>
      </c>
      <c r="F2815" t="s"/>
      <c r="G2815" t="s"/>
      <c r="H2815" t="s"/>
      <c r="I2815" t="s"/>
      <c r="J2815" t="n">
        <v>-0.7562</v>
      </c>
      <c r="K2815" t="n">
        <v>0.128</v>
      </c>
      <c r="L2815" t="n">
        <v>0.872</v>
      </c>
      <c r="M2815" t="n">
        <v>0</v>
      </c>
    </row>
    <row r="2816" spans="1:13">
      <c r="A2816" s="1">
        <f>HYPERLINK("http://www.twitter.com/NathanBLawrence/status/985704404828540928", "985704404828540928")</f>
        <v/>
      </c>
      <c r="B2816" s="2" t="n">
        <v>43206.09743055556</v>
      </c>
      <c r="C2816" t="n">
        <v>0</v>
      </c>
      <c r="D2816" t="n">
        <v>2</v>
      </c>
      <c r="E2816" t="s">
        <v>2796</v>
      </c>
      <c r="F2816" t="s"/>
      <c r="G2816" t="s"/>
      <c r="H2816" t="s"/>
      <c r="I2816" t="s"/>
      <c r="J2816" t="n">
        <v>0</v>
      </c>
      <c r="K2816" t="n">
        <v>0</v>
      </c>
      <c r="L2816" t="n">
        <v>1</v>
      </c>
      <c r="M2816" t="n">
        <v>0</v>
      </c>
    </row>
    <row r="2817" spans="1:13">
      <c r="A2817" s="1">
        <f>HYPERLINK("http://www.twitter.com/NathanBLawrence/status/985702923987537922", "985702923987537922")</f>
        <v/>
      </c>
      <c r="B2817" s="2" t="n">
        <v>43206.09334490741</v>
      </c>
      <c r="C2817" t="n">
        <v>2</v>
      </c>
      <c r="D2817" t="n">
        <v>2</v>
      </c>
      <c r="E2817" t="s">
        <v>2797</v>
      </c>
      <c r="F2817" t="s"/>
      <c r="G2817" t="s"/>
      <c r="H2817" t="s"/>
      <c r="I2817" t="s"/>
      <c r="J2817" t="n">
        <v>0.8924</v>
      </c>
      <c r="K2817" t="n">
        <v>0.059</v>
      </c>
      <c r="L2817" t="n">
        <v>0.709</v>
      </c>
      <c r="M2817" t="n">
        <v>0.231</v>
      </c>
    </row>
    <row r="2818" spans="1:13">
      <c r="A2818" s="1">
        <f>HYPERLINK("http://www.twitter.com/NathanBLawrence/status/985702593392455682", "985702593392455682")</f>
        <v/>
      </c>
      <c r="B2818" s="2" t="n">
        <v>43206.09243055555</v>
      </c>
      <c r="C2818" t="n">
        <v>3</v>
      </c>
      <c r="D2818" t="n">
        <v>2</v>
      </c>
      <c r="E2818" t="s">
        <v>2798</v>
      </c>
      <c r="F2818" t="s"/>
      <c r="G2818" t="s"/>
      <c r="H2818" t="s"/>
      <c r="I2818" t="s"/>
      <c r="J2818" t="n">
        <v>0.3094</v>
      </c>
      <c r="K2818" t="n">
        <v>0.044</v>
      </c>
      <c r="L2818" t="n">
        <v>0.876</v>
      </c>
      <c r="M2818" t="n">
        <v>0.08</v>
      </c>
    </row>
    <row r="2819" spans="1:13">
      <c r="A2819" s="1">
        <f>HYPERLINK("http://www.twitter.com/NathanBLawrence/status/985702128042823680", "985702128042823680")</f>
        <v/>
      </c>
      <c r="B2819" s="2" t="n">
        <v>43206.09114583334</v>
      </c>
      <c r="C2819" t="n">
        <v>0</v>
      </c>
      <c r="D2819" t="n">
        <v>3</v>
      </c>
      <c r="E2819" t="s">
        <v>2799</v>
      </c>
      <c r="F2819" t="s"/>
      <c r="G2819" t="s"/>
      <c r="H2819" t="s"/>
      <c r="I2819" t="s"/>
      <c r="J2819" t="n">
        <v>-0.0772</v>
      </c>
      <c r="K2819" t="n">
        <v>0.08500000000000001</v>
      </c>
      <c r="L2819" t="n">
        <v>0.915</v>
      </c>
      <c r="M2819" t="n">
        <v>0</v>
      </c>
    </row>
    <row r="2820" spans="1:13">
      <c r="A2820" s="1">
        <f>HYPERLINK("http://www.twitter.com/NathanBLawrence/status/985696184424718337", "985696184424718337")</f>
        <v/>
      </c>
      <c r="B2820" s="2" t="n">
        <v>43206.07474537037</v>
      </c>
      <c r="C2820" t="n">
        <v>6</v>
      </c>
      <c r="D2820" t="n">
        <v>2</v>
      </c>
      <c r="E2820" t="s">
        <v>2800</v>
      </c>
      <c r="F2820" t="s"/>
      <c r="G2820" t="s"/>
      <c r="H2820" t="s"/>
      <c r="I2820" t="s"/>
      <c r="J2820" t="n">
        <v>0.3939</v>
      </c>
      <c r="K2820" t="n">
        <v>0.047</v>
      </c>
      <c r="L2820" t="n">
        <v>0.86</v>
      </c>
      <c r="M2820" t="n">
        <v>0.093</v>
      </c>
    </row>
    <row r="2821" spans="1:13">
      <c r="A2821" s="1">
        <f>HYPERLINK("http://www.twitter.com/NathanBLawrence/status/985690095318650881", "985690095318650881")</f>
        <v/>
      </c>
      <c r="B2821" s="2" t="n">
        <v>43206.05793981482</v>
      </c>
      <c r="C2821" t="n">
        <v>2</v>
      </c>
      <c r="D2821" t="n">
        <v>1</v>
      </c>
      <c r="E2821" t="s">
        <v>2801</v>
      </c>
      <c r="F2821" t="s"/>
      <c r="G2821" t="s"/>
      <c r="H2821" t="s"/>
      <c r="I2821" t="s"/>
      <c r="J2821" t="n">
        <v>0.264</v>
      </c>
      <c r="K2821" t="n">
        <v>0.07199999999999999</v>
      </c>
      <c r="L2821" t="n">
        <v>0.869</v>
      </c>
      <c r="M2821" t="n">
        <v>0.06</v>
      </c>
    </row>
    <row r="2822" spans="1:13">
      <c r="A2822" s="1">
        <f>HYPERLINK("http://www.twitter.com/NathanBLawrence/status/985689677087813632", "985689677087813632")</f>
        <v/>
      </c>
      <c r="B2822" s="2" t="n">
        <v>43206.05678240741</v>
      </c>
      <c r="C2822" t="n">
        <v>2</v>
      </c>
      <c r="D2822" t="n">
        <v>1</v>
      </c>
      <c r="E2822" t="s">
        <v>2802</v>
      </c>
      <c r="F2822" t="s"/>
      <c r="G2822" t="s"/>
      <c r="H2822" t="s"/>
      <c r="I2822" t="s"/>
      <c r="J2822" t="n">
        <v>-0.2316</v>
      </c>
      <c r="K2822" t="n">
        <v>0.08500000000000001</v>
      </c>
      <c r="L2822" t="n">
        <v>0.865</v>
      </c>
      <c r="M2822" t="n">
        <v>0.05</v>
      </c>
    </row>
    <row r="2823" spans="1:13">
      <c r="A2823" s="1">
        <f>HYPERLINK("http://www.twitter.com/NathanBLawrence/status/985689183590211590", "985689183590211590")</f>
        <v/>
      </c>
      <c r="B2823" s="2" t="n">
        <v>43206.05542824074</v>
      </c>
      <c r="C2823" t="n">
        <v>2</v>
      </c>
      <c r="D2823" t="n">
        <v>1</v>
      </c>
      <c r="E2823" t="s">
        <v>2803</v>
      </c>
      <c r="F2823" t="s"/>
      <c r="G2823" t="s"/>
      <c r="H2823" t="s"/>
      <c r="I2823" t="s"/>
      <c r="J2823" t="n">
        <v>0.0772</v>
      </c>
      <c r="K2823" t="n">
        <v>0.089</v>
      </c>
      <c r="L2823" t="n">
        <v>0.8179999999999999</v>
      </c>
      <c r="M2823" t="n">
        <v>0.094</v>
      </c>
    </row>
    <row r="2824" spans="1:13">
      <c r="A2824" s="1">
        <f>HYPERLINK("http://www.twitter.com/NathanBLawrence/status/985688692856623105", "985688692856623105")</f>
        <v/>
      </c>
      <c r="B2824" s="2" t="n">
        <v>43206.05407407408</v>
      </c>
      <c r="C2824" t="n">
        <v>5</v>
      </c>
      <c r="D2824" t="n">
        <v>3</v>
      </c>
      <c r="E2824" t="s">
        <v>2804</v>
      </c>
      <c r="F2824" t="s"/>
      <c r="G2824" t="s"/>
      <c r="H2824" t="s"/>
      <c r="I2824" t="s"/>
      <c r="J2824" t="n">
        <v>-0.8881</v>
      </c>
      <c r="K2824" t="n">
        <v>0.267</v>
      </c>
      <c r="L2824" t="n">
        <v>0.678</v>
      </c>
      <c r="M2824" t="n">
        <v>0.055</v>
      </c>
    </row>
    <row r="2825" spans="1:13">
      <c r="A2825" s="1">
        <f>HYPERLINK("http://www.twitter.com/NathanBLawrence/status/985688636153876481", "985688636153876481")</f>
        <v/>
      </c>
      <c r="B2825" s="2" t="n">
        <v>43206.05391203704</v>
      </c>
      <c r="C2825" t="n">
        <v>5</v>
      </c>
      <c r="D2825" t="n">
        <v>2</v>
      </c>
      <c r="E2825" t="s">
        <v>2805</v>
      </c>
      <c r="F2825" t="s"/>
      <c r="G2825" t="s"/>
      <c r="H2825" t="s"/>
      <c r="I2825" t="s"/>
      <c r="J2825" t="n">
        <v>-0.8881</v>
      </c>
      <c r="K2825" t="n">
        <v>0.276</v>
      </c>
      <c r="L2825" t="n">
        <v>0.667</v>
      </c>
      <c r="M2825" t="n">
        <v>0.057</v>
      </c>
    </row>
    <row r="2826" spans="1:13">
      <c r="A2826" s="1">
        <f>HYPERLINK("http://www.twitter.com/NathanBLawrence/status/985677520610750464", "985677520610750464")</f>
        <v/>
      </c>
      <c r="B2826" s="2" t="n">
        <v>43206.02324074074</v>
      </c>
      <c r="C2826" t="n">
        <v>0</v>
      </c>
      <c r="D2826" t="n">
        <v>3</v>
      </c>
      <c r="E2826" t="s">
        <v>2806</v>
      </c>
      <c r="F2826" t="s"/>
      <c r="G2826" t="s"/>
      <c r="H2826" t="s"/>
      <c r="I2826" t="s"/>
      <c r="J2826" t="n">
        <v>0.3612</v>
      </c>
      <c r="K2826" t="n">
        <v>0</v>
      </c>
      <c r="L2826" t="n">
        <v>0.857</v>
      </c>
      <c r="M2826" t="n">
        <v>0.143</v>
      </c>
    </row>
    <row r="2827" spans="1:13">
      <c r="A2827" s="1">
        <f>HYPERLINK("http://www.twitter.com/NathanBLawrence/status/985677512171773952", "985677512171773952")</f>
        <v/>
      </c>
      <c r="B2827" s="2" t="n">
        <v>43206.02321759259</v>
      </c>
      <c r="C2827" t="n">
        <v>0</v>
      </c>
      <c r="D2827" t="n">
        <v>2</v>
      </c>
      <c r="E2827" t="s">
        <v>2807</v>
      </c>
      <c r="F2827" t="s"/>
      <c r="G2827" t="s"/>
      <c r="H2827" t="s"/>
      <c r="I2827" t="s"/>
      <c r="J2827" t="n">
        <v>-0.296</v>
      </c>
      <c r="K2827" t="n">
        <v>0.128</v>
      </c>
      <c r="L2827" t="n">
        <v>0.872</v>
      </c>
      <c r="M2827" t="n">
        <v>0</v>
      </c>
    </row>
    <row r="2828" spans="1:13">
      <c r="A2828" s="1">
        <f>HYPERLINK("http://www.twitter.com/NathanBLawrence/status/985677393460375553", "985677393460375553")</f>
        <v/>
      </c>
      <c r="B2828" s="2" t="n">
        <v>43206.02289351852</v>
      </c>
      <c r="C2828" t="n">
        <v>0</v>
      </c>
      <c r="D2828" t="n">
        <v>8</v>
      </c>
      <c r="E2828" t="s">
        <v>2808</v>
      </c>
      <c r="F2828" t="s"/>
      <c r="G2828" t="s"/>
      <c r="H2828" t="s"/>
      <c r="I2828" t="s"/>
      <c r="J2828" t="n">
        <v>0</v>
      </c>
      <c r="K2828" t="n">
        <v>0</v>
      </c>
      <c r="L2828" t="n">
        <v>1</v>
      </c>
      <c r="M2828" t="n">
        <v>0</v>
      </c>
    </row>
    <row r="2829" spans="1:13">
      <c r="A2829" s="1">
        <f>HYPERLINK("http://www.twitter.com/NathanBLawrence/status/985677132234985474", "985677132234985474")</f>
        <v/>
      </c>
      <c r="B2829" s="2" t="n">
        <v>43206.02216435185</v>
      </c>
      <c r="C2829" t="n">
        <v>7</v>
      </c>
      <c r="D2829" t="n">
        <v>3</v>
      </c>
      <c r="E2829" t="s">
        <v>2809</v>
      </c>
      <c r="F2829" t="s"/>
      <c r="G2829" t="s"/>
      <c r="H2829" t="s"/>
      <c r="I2829" t="s"/>
      <c r="J2829" t="n">
        <v>0.0129</v>
      </c>
      <c r="K2829" t="n">
        <v>0.067</v>
      </c>
      <c r="L2829" t="n">
        <v>0.865</v>
      </c>
      <c r="M2829" t="n">
        <v>0.068</v>
      </c>
    </row>
    <row r="2830" spans="1:13">
      <c r="A2830" s="1">
        <f>HYPERLINK("http://www.twitter.com/NathanBLawrence/status/985676807021252609", "985676807021252609")</f>
        <v/>
      </c>
      <c r="B2830" s="2" t="n">
        <v>43206.02127314815</v>
      </c>
      <c r="C2830" t="n">
        <v>5</v>
      </c>
      <c r="D2830" t="n">
        <v>2</v>
      </c>
      <c r="E2830" t="s">
        <v>2810</v>
      </c>
      <c r="F2830" t="s"/>
      <c r="G2830" t="s"/>
      <c r="H2830" t="s"/>
      <c r="I2830" t="s"/>
      <c r="J2830" t="n">
        <v>0.2406</v>
      </c>
      <c r="K2830" t="n">
        <v>0.083</v>
      </c>
      <c r="L2830" t="n">
        <v>0.797</v>
      </c>
      <c r="M2830" t="n">
        <v>0.12</v>
      </c>
    </row>
    <row r="2831" spans="1:13">
      <c r="A2831" s="1">
        <f>HYPERLINK("http://www.twitter.com/NathanBLawrence/status/985674456902316038", "985674456902316038")</f>
        <v/>
      </c>
      <c r="B2831" s="2" t="n">
        <v>43206.01479166667</v>
      </c>
      <c r="C2831" t="n">
        <v>4</v>
      </c>
      <c r="D2831" t="n">
        <v>0</v>
      </c>
      <c r="E2831" t="s">
        <v>2811</v>
      </c>
      <c r="F2831" t="s"/>
      <c r="G2831" t="s"/>
      <c r="H2831" t="s"/>
      <c r="I2831" t="s"/>
      <c r="J2831" t="n">
        <v>-0.1179</v>
      </c>
      <c r="K2831" t="n">
        <v>0.061</v>
      </c>
      <c r="L2831" t="n">
        <v>0.887</v>
      </c>
      <c r="M2831" t="n">
        <v>0.052</v>
      </c>
    </row>
    <row r="2832" spans="1:13">
      <c r="A2832" s="1">
        <f>HYPERLINK("http://www.twitter.com/NathanBLawrence/status/985673576471760896", "985673576471760896")</f>
        <v/>
      </c>
      <c r="B2832" s="2" t="n">
        <v>43206.01236111111</v>
      </c>
      <c r="C2832" t="n">
        <v>2</v>
      </c>
      <c r="D2832" t="n">
        <v>0</v>
      </c>
      <c r="E2832" t="s">
        <v>2812</v>
      </c>
      <c r="F2832" t="s"/>
      <c r="G2832" t="s"/>
      <c r="H2832" t="s"/>
      <c r="I2832" t="s"/>
      <c r="J2832" t="n">
        <v>-0.8442</v>
      </c>
      <c r="K2832" t="n">
        <v>0.175</v>
      </c>
      <c r="L2832" t="n">
        <v>0.787</v>
      </c>
      <c r="M2832" t="n">
        <v>0.038</v>
      </c>
    </row>
    <row r="2833" spans="1:13">
      <c r="A2833" s="1">
        <f>HYPERLINK("http://www.twitter.com/NathanBLawrence/status/985668057312964609", "985668057312964609")</f>
        <v/>
      </c>
      <c r="B2833" s="2" t="n">
        <v>43205.99712962963</v>
      </c>
      <c r="C2833" t="n">
        <v>0</v>
      </c>
      <c r="D2833" t="n">
        <v>9</v>
      </c>
      <c r="E2833" t="s">
        <v>2813</v>
      </c>
      <c r="F2833" t="s"/>
      <c r="G2833" t="s"/>
      <c r="H2833" t="s"/>
      <c r="I2833" t="s"/>
      <c r="J2833" t="n">
        <v>0.0772</v>
      </c>
      <c r="K2833" t="n">
        <v>0.056</v>
      </c>
      <c r="L2833" t="n">
        <v>0.874</v>
      </c>
      <c r="M2833" t="n">
        <v>0.07000000000000001</v>
      </c>
    </row>
    <row r="2834" spans="1:13">
      <c r="A2834" s="1">
        <f>HYPERLINK("http://www.twitter.com/NathanBLawrence/status/985667981240872960", "985667981240872960")</f>
        <v/>
      </c>
      <c r="B2834" s="2" t="n">
        <v>43205.9969212963</v>
      </c>
      <c r="C2834" t="n">
        <v>1</v>
      </c>
      <c r="D2834" t="n">
        <v>1</v>
      </c>
      <c r="E2834" t="s">
        <v>2814</v>
      </c>
      <c r="F2834" t="s"/>
      <c r="G2834" t="s"/>
      <c r="H2834" t="s"/>
      <c r="I2834" t="s"/>
      <c r="J2834" t="n">
        <v>0.1511</v>
      </c>
      <c r="K2834" t="n">
        <v>0.081</v>
      </c>
      <c r="L2834" t="n">
        <v>0.827</v>
      </c>
      <c r="M2834" t="n">
        <v>0.092</v>
      </c>
    </row>
    <row r="2835" spans="1:13">
      <c r="A2835" s="1">
        <f>HYPERLINK("http://www.twitter.com/NathanBLawrence/status/985667454922878977", "985667454922878977")</f>
        <v/>
      </c>
      <c r="B2835" s="2" t="n">
        <v>43205.99546296296</v>
      </c>
      <c r="C2835" t="n">
        <v>0</v>
      </c>
      <c r="D2835" t="n">
        <v>5</v>
      </c>
      <c r="E2835" t="s">
        <v>2815</v>
      </c>
      <c r="F2835" t="s"/>
      <c r="G2835" t="s"/>
      <c r="H2835" t="s"/>
      <c r="I2835" t="s"/>
      <c r="J2835" t="n">
        <v>-0.3412</v>
      </c>
      <c r="K2835" t="n">
        <v>0.099</v>
      </c>
      <c r="L2835" t="n">
        <v>0.901</v>
      </c>
      <c r="M2835" t="n">
        <v>0</v>
      </c>
    </row>
    <row r="2836" spans="1:13">
      <c r="A2836" s="1">
        <f>HYPERLINK("http://www.twitter.com/NathanBLawrence/status/985667430881157120", "985667430881157120")</f>
        <v/>
      </c>
      <c r="B2836" s="2" t="n">
        <v>43205.99539351852</v>
      </c>
      <c r="C2836" t="n">
        <v>0</v>
      </c>
      <c r="D2836" t="n">
        <v>5</v>
      </c>
      <c r="E2836" t="s">
        <v>2816</v>
      </c>
      <c r="F2836" t="s"/>
      <c r="G2836" t="s"/>
      <c r="H2836" t="s"/>
      <c r="I2836" t="s"/>
      <c r="J2836" t="n">
        <v>-0.3703</v>
      </c>
      <c r="K2836" t="n">
        <v>0.13</v>
      </c>
      <c r="L2836" t="n">
        <v>0.87</v>
      </c>
      <c r="M2836" t="n">
        <v>0</v>
      </c>
    </row>
    <row r="2837" spans="1:13">
      <c r="A2837" s="1">
        <f>HYPERLINK("http://www.twitter.com/NathanBLawrence/status/985667244226203649", "985667244226203649")</f>
        <v/>
      </c>
      <c r="B2837" s="2" t="n">
        <v>43205.99488425926</v>
      </c>
      <c r="C2837" t="n">
        <v>0</v>
      </c>
      <c r="D2837" t="n">
        <v>39</v>
      </c>
      <c r="E2837" t="s">
        <v>2817</v>
      </c>
      <c r="F2837" t="s"/>
      <c r="G2837" t="s"/>
      <c r="H2837" t="s"/>
      <c r="I2837" t="s"/>
      <c r="J2837" t="n">
        <v>0</v>
      </c>
      <c r="K2837" t="n">
        <v>0</v>
      </c>
      <c r="L2837" t="n">
        <v>1</v>
      </c>
      <c r="M2837" t="n">
        <v>0</v>
      </c>
    </row>
    <row r="2838" spans="1:13">
      <c r="A2838" s="1">
        <f>HYPERLINK("http://www.twitter.com/NathanBLawrence/status/985667186328047622", "985667186328047622")</f>
        <v/>
      </c>
      <c r="B2838" s="2" t="n">
        <v>43205.99472222223</v>
      </c>
      <c r="C2838" t="n">
        <v>0</v>
      </c>
      <c r="D2838" t="n">
        <v>10</v>
      </c>
      <c r="E2838" t="s">
        <v>2818</v>
      </c>
      <c r="F2838" t="s"/>
      <c r="G2838" t="s"/>
      <c r="H2838" t="s"/>
      <c r="I2838" t="s"/>
      <c r="J2838" t="n">
        <v>0.7906</v>
      </c>
      <c r="K2838" t="n">
        <v>0.117</v>
      </c>
      <c r="L2838" t="n">
        <v>0.552</v>
      </c>
      <c r="M2838" t="n">
        <v>0.331</v>
      </c>
    </row>
    <row r="2839" spans="1:13">
      <c r="A2839" s="1">
        <f>HYPERLINK("http://www.twitter.com/NathanBLawrence/status/985667156204498944", "985667156204498944")</f>
        <v/>
      </c>
      <c r="B2839" s="2" t="n">
        <v>43205.9946412037</v>
      </c>
      <c r="C2839" t="n">
        <v>0</v>
      </c>
      <c r="D2839" t="n">
        <v>9</v>
      </c>
      <c r="E2839" t="s">
        <v>2819</v>
      </c>
      <c r="F2839">
        <f>HYPERLINK("http://pbs.twimg.com/media/Da2-alaV4AA1S34.jpg", "http://pbs.twimg.com/media/Da2-alaV4AA1S34.jpg")</f>
        <v/>
      </c>
      <c r="G2839" t="s"/>
      <c r="H2839" t="s"/>
      <c r="I2839" t="s"/>
      <c r="J2839" t="n">
        <v>-0.6808</v>
      </c>
      <c r="K2839" t="n">
        <v>0.203</v>
      </c>
      <c r="L2839" t="n">
        <v>0.797</v>
      </c>
      <c r="M2839" t="n">
        <v>0</v>
      </c>
    </row>
    <row r="2840" spans="1:13">
      <c r="A2840" s="1">
        <f>HYPERLINK("http://www.twitter.com/NathanBLawrence/status/985667105268948993", "985667105268948993")</f>
        <v/>
      </c>
      <c r="B2840" s="2" t="n">
        <v>43205.99450231482</v>
      </c>
      <c r="C2840" t="n">
        <v>0</v>
      </c>
      <c r="D2840" t="n">
        <v>6</v>
      </c>
      <c r="E2840" t="s">
        <v>2820</v>
      </c>
      <c r="F2840" t="s"/>
      <c r="G2840" t="s"/>
      <c r="H2840" t="s"/>
      <c r="I2840" t="s"/>
      <c r="J2840" t="n">
        <v>-0.6739000000000001</v>
      </c>
      <c r="K2840" t="n">
        <v>0.193</v>
      </c>
      <c r="L2840" t="n">
        <v>0.8070000000000001</v>
      </c>
      <c r="M2840" t="n">
        <v>0</v>
      </c>
    </row>
    <row r="2841" spans="1:13">
      <c r="A2841" s="1">
        <f>HYPERLINK("http://www.twitter.com/NathanBLawrence/status/985667060641550338", "985667060641550338")</f>
        <v/>
      </c>
      <c r="B2841" s="2" t="n">
        <v>43205.994375</v>
      </c>
      <c r="C2841" t="n">
        <v>0</v>
      </c>
      <c r="D2841" t="n">
        <v>12</v>
      </c>
      <c r="E2841" t="s">
        <v>2821</v>
      </c>
      <c r="F2841">
        <f>HYPERLINK("http://pbs.twimg.com/media/Da29rXTUMAAdauk.jpg", "http://pbs.twimg.com/media/Da29rXTUMAAdauk.jpg")</f>
        <v/>
      </c>
      <c r="G2841" t="s"/>
      <c r="H2841" t="s"/>
      <c r="I2841" t="s"/>
      <c r="J2841" t="n">
        <v>-0.5610000000000001</v>
      </c>
      <c r="K2841" t="n">
        <v>0.16</v>
      </c>
      <c r="L2841" t="n">
        <v>0.84</v>
      </c>
      <c r="M2841" t="n">
        <v>0</v>
      </c>
    </row>
    <row r="2842" spans="1:13">
      <c r="A2842" s="1">
        <f>HYPERLINK("http://www.twitter.com/NathanBLawrence/status/985667040013963264", "985667040013963264")</f>
        <v/>
      </c>
      <c r="B2842" s="2" t="n">
        <v>43205.99431712963</v>
      </c>
      <c r="C2842" t="n">
        <v>0</v>
      </c>
      <c r="D2842" t="n">
        <v>7</v>
      </c>
      <c r="E2842" t="s">
        <v>2822</v>
      </c>
      <c r="F2842" t="s"/>
      <c r="G2842" t="s"/>
      <c r="H2842" t="s"/>
      <c r="I2842" t="s"/>
      <c r="J2842" t="n">
        <v>-0.4767</v>
      </c>
      <c r="K2842" t="n">
        <v>0.279</v>
      </c>
      <c r="L2842" t="n">
        <v>0.721</v>
      </c>
      <c r="M2842" t="n">
        <v>0</v>
      </c>
    </row>
    <row r="2843" spans="1:13">
      <c r="A2843" s="1">
        <f>HYPERLINK("http://www.twitter.com/NathanBLawrence/status/985666915078197248", "985666915078197248")</f>
        <v/>
      </c>
      <c r="B2843" s="2" t="n">
        <v>43205.99398148148</v>
      </c>
      <c r="C2843" t="n">
        <v>0</v>
      </c>
      <c r="D2843" t="n">
        <v>7</v>
      </c>
      <c r="E2843" t="s">
        <v>2823</v>
      </c>
      <c r="F2843">
        <f>HYPERLINK("http://pbs.twimg.com/media/Da2zKOZVwAA5cTB.jpg", "http://pbs.twimg.com/media/Da2zKOZVwAA5cTB.jpg")</f>
        <v/>
      </c>
      <c r="G2843" t="s"/>
      <c r="H2843" t="s"/>
      <c r="I2843" t="s"/>
      <c r="J2843" t="n">
        <v>0</v>
      </c>
      <c r="K2843" t="n">
        <v>0</v>
      </c>
      <c r="L2843" t="n">
        <v>1</v>
      </c>
      <c r="M2843" t="n">
        <v>0</v>
      </c>
    </row>
    <row r="2844" spans="1:13">
      <c r="A2844" s="1">
        <f>HYPERLINK("http://www.twitter.com/NathanBLawrence/status/985666887345418241", "985666887345418241")</f>
        <v/>
      </c>
      <c r="B2844" s="2" t="n">
        <v>43205.99390046296</v>
      </c>
      <c r="C2844" t="n">
        <v>1</v>
      </c>
      <c r="D2844" t="n">
        <v>0</v>
      </c>
      <c r="E2844" t="s">
        <v>2824</v>
      </c>
      <c r="F2844" t="s"/>
      <c r="G2844" t="s"/>
      <c r="H2844" t="s"/>
      <c r="I2844" t="s"/>
      <c r="J2844" t="n">
        <v>0.4215</v>
      </c>
      <c r="K2844" t="n">
        <v>0</v>
      </c>
      <c r="L2844" t="n">
        <v>0.517</v>
      </c>
      <c r="M2844" t="n">
        <v>0.483</v>
      </c>
    </row>
    <row r="2845" spans="1:13">
      <c r="A2845" s="1">
        <f>HYPERLINK("http://www.twitter.com/NathanBLawrence/status/985666858065022977", "985666858065022977")</f>
        <v/>
      </c>
      <c r="B2845" s="2" t="n">
        <v>43205.99381944445</v>
      </c>
      <c r="C2845" t="n">
        <v>0</v>
      </c>
      <c r="D2845" t="n">
        <v>9</v>
      </c>
      <c r="E2845" t="s">
        <v>2825</v>
      </c>
      <c r="F2845">
        <f>HYPERLINK("http://pbs.twimg.com/media/Da2q6RFU8AECE8j.jpg", "http://pbs.twimg.com/media/Da2q6RFU8AECE8j.jpg")</f>
        <v/>
      </c>
      <c r="G2845" t="s"/>
      <c r="H2845" t="s"/>
      <c r="I2845" t="s"/>
      <c r="J2845" t="n">
        <v>-0.4404</v>
      </c>
      <c r="K2845" t="n">
        <v>0.146</v>
      </c>
      <c r="L2845" t="n">
        <v>0.854</v>
      </c>
      <c r="M2845" t="n">
        <v>0</v>
      </c>
    </row>
    <row r="2846" spans="1:13">
      <c r="A2846" s="1">
        <f>HYPERLINK("http://www.twitter.com/NathanBLawrence/status/985666842873204736", "985666842873204736")</f>
        <v/>
      </c>
      <c r="B2846" s="2" t="n">
        <v>43205.99377314815</v>
      </c>
      <c r="C2846" t="n">
        <v>0</v>
      </c>
      <c r="D2846" t="n">
        <v>9</v>
      </c>
      <c r="E2846" t="s">
        <v>2826</v>
      </c>
      <c r="F2846" t="s"/>
      <c r="G2846" t="s"/>
      <c r="H2846" t="s"/>
      <c r="I2846" t="s"/>
      <c r="J2846" t="n">
        <v>-0.5562</v>
      </c>
      <c r="K2846" t="n">
        <v>0.152</v>
      </c>
      <c r="L2846" t="n">
        <v>0.848</v>
      </c>
      <c r="M2846" t="n">
        <v>0</v>
      </c>
    </row>
    <row r="2847" spans="1:13">
      <c r="A2847" s="1">
        <f>HYPERLINK("http://www.twitter.com/NathanBLawrence/status/985666819561271296", "985666819561271296")</f>
        <v/>
      </c>
      <c r="B2847" s="2" t="n">
        <v>43205.99371527778</v>
      </c>
      <c r="C2847" t="n">
        <v>0</v>
      </c>
      <c r="D2847" t="n">
        <v>7</v>
      </c>
      <c r="E2847" t="s">
        <v>2827</v>
      </c>
      <c r="F2847" t="s"/>
      <c r="G2847" t="s"/>
      <c r="H2847" t="s"/>
      <c r="I2847" t="s"/>
      <c r="J2847" t="n">
        <v>0</v>
      </c>
      <c r="K2847" t="n">
        <v>0</v>
      </c>
      <c r="L2847" t="n">
        <v>1</v>
      </c>
      <c r="M2847" t="n">
        <v>0</v>
      </c>
    </row>
    <row r="2848" spans="1:13">
      <c r="A2848" s="1">
        <f>HYPERLINK("http://www.twitter.com/NathanBLawrence/status/985666598286524416", "985666598286524416")</f>
        <v/>
      </c>
      <c r="B2848" s="2" t="n">
        <v>43205.99310185185</v>
      </c>
      <c r="C2848" t="n">
        <v>0</v>
      </c>
      <c r="D2848" t="n">
        <v>14</v>
      </c>
      <c r="E2848" t="s">
        <v>2828</v>
      </c>
      <c r="F2848">
        <f>HYPERLINK("http://pbs.twimg.com/media/Da2L2LhW0AApLY6.jpg", "http://pbs.twimg.com/media/Da2L2LhW0AApLY6.jpg")</f>
        <v/>
      </c>
      <c r="G2848">
        <f>HYPERLINK("http://pbs.twimg.com/media/Da2L2rmXcAYiUQy.jpg", "http://pbs.twimg.com/media/Da2L2rmXcAYiUQy.jpg")</f>
        <v/>
      </c>
      <c r="H2848" t="s"/>
      <c r="I2848" t="s"/>
      <c r="J2848" t="n">
        <v>0</v>
      </c>
      <c r="K2848" t="n">
        <v>0</v>
      </c>
      <c r="L2848" t="n">
        <v>1</v>
      </c>
      <c r="M2848" t="n">
        <v>0</v>
      </c>
    </row>
    <row r="2849" spans="1:13">
      <c r="A2849" s="1">
        <f>HYPERLINK("http://www.twitter.com/NathanBLawrence/status/985666441725861888", "985666441725861888")</f>
        <v/>
      </c>
      <c r="B2849" s="2" t="n">
        <v>43205.99267361111</v>
      </c>
      <c r="C2849" t="n">
        <v>9</v>
      </c>
      <c r="D2849" t="n">
        <v>8</v>
      </c>
      <c r="E2849" t="s">
        <v>2829</v>
      </c>
      <c r="F2849" t="s"/>
      <c r="G2849" t="s"/>
      <c r="H2849" t="s"/>
      <c r="I2849" t="s"/>
      <c r="J2849" t="n">
        <v>-0.1186</v>
      </c>
      <c r="K2849" t="n">
        <v>0.136</v>
      </c>
      <c r="L2849" t="n">
        <v>0.767</v>
      </c>
      <c r="M2849" t="n">
        <v>0.097</v>
      </c>
    </row>
    <row r="2850" spans="1:13">
      <c r="A2850" s="1">
        <f>HYPERLINK("http://www.twitter.com/NathanBLawrence/status/985665988153704448", "985665988153704448")</f>
        <v/>
      </c>
      <c r="B2850" s="2" t="n">
        <v>43205.99142361111</v>
      </c>
      <c r="C2850" t="n">
        <v>0</v>
      </c>
      <c r="D2850" t="n">
        <v>3</v>
      </c>
      <c r="E2850" t="s">
        <v>2830</v>
      </c>
      <c r="F2850" t="s"/>
      <c r="G2850" t="s"/>
      <c r="H2850" t="s"/>
      <c r="I2850" t="s"/>
      <c r="J2850" t="n">
        <v>0</v>
      </c>
      <c r="K2850" t="n">
        <v>0</v>
      </c>
      <c r="L2850" t="n">
        <v>1</v>
      </c>
      <c r="M2850" t="n">
        <v>0</v>
      </c>
    </row>
    <row r="2851" spans="1:13">
      <c r="A2851" s="1">
        <f>HYPERLINK("http://www.twitter.com/NathanBLawrence/status/985665162677022721", "985665162677022721")</f>
        <v/>
      </c>
      <c r="B2851" s="2" t="n">
        <v>43205.98914351852</v>
      </c>
      <c r="C2851" t="n">
        <v>1</v>
      </c>
      <c r="D2851" t="n">
        <v>0</v>
      </c>
      <c r="E2851" t="s">
        <v>2831</v>
      </c>
      <c r="F2851" t="s"/>
      <c r="G2851" t="s"/>
      <c r="H2851" t="s"/>
      <c r="I2851" t="s"/>
      <c r="J2851" t="n">
        <v>0.7269</v>
      </c>
      <c r="K2851" t="n">
        <v>0.046</v>
      </c>
      <c r="L2851" t="n">
        <v>0.803</v>
      </c>
      <c r="M2851" t="n">
        <v>0.15</v>
      </c>
    </row>
    <row r="2852" spans="1:13">
      <c r="A2852" s="1">
        <f>HYPERLINK("http://www.twitter.com/NathanBLawrence/status/985664678545313793", "985664678545313793")</f>
        <v/>
      </c>
      <c r="B2852" s="2" t="n">
        <v>43205.98780092593</v>
      </c>
      <c r="C2852" t="n">
        <v>3</v>
      </c>
      <c r="D2852" t="n">
        <v>1</v>
      </c>
      <c r="E2852" t="s">
        <v>2832</v>
      </c>
      <c r="F2852" t="s"/>
      <c r="G2852" t="s"/>
      <c r="H2852" t="s"/>
      <c r="I2852" t="s"/>
      <c r="J2852" t="n">
        <v>0.9169</v>
      </c>
      <c r="K2852" t="n">
        <v>0</v>
      </c>
      <c r="L2852" t="n">
        <v>0.769</v>
      </c>
      <c r="M2852" t="n">
        <v>0.231</v>
      </c>
    </row>
    <row r="2853" spans="1:13">
      <c r="A2853" s="1">
        <f>HYPERLINK("http://www.twitter.com/NathanBLawrence/status/985655631926517761", "985655631926517761")</f>
        <v/>
      </c>
      <c r="B2853" s="2" t="n">
        <v>43205.96283564815</v>
      </c>
      <c r="C2853" t="n">
        <v>1</v>
      </c>
      <c r="D2853" t="n">
        <v>0</v>
      </c>
      <c r="E2853" t="s">
        <v>2833</v>
      </c>
      <c r="F2853" t="s"/>
      <c r="G2853" t="s"/>
      <c r="H2853" t="s"/>
      <c r="I2853" t="s"/>
      <c r="J2853" t="n">
        <v>0.8922</v>
      </c>
      <c r="K2853" t="n">
        <v>0</v>
      </c>
      <c r="L2853" t="n">
        <v>0.8090000000000001</v>
      </c>
      <c r="M2853" t="n">
        <v>0.191</v>
      </c>
    </row>
    <row r="2854" spans="1:13">
      <c r="A2854" s="1">
        <f>HYPERLINK("http://www.twitter.com/NathanBLawrence/status/985654776200335362", "985654776200335362")</f>
        <v/>
      </c>
      <c r="B2854" s="2" t="n">
        <v>43205.96047453704</v>
      </c>
      <c r="C2854" t="n">
        <v>13</v>
      </c>
      <c r="D2854" t="n">
        <v>7</v>
      </c>
      <c r="E2854" t="s">
        <v>2834</v>
      </c>
      <c r="F2854" t="s"/>
      <c r="G2854" t="s"/>
      <c r="H2854" t="s"/>
      <c r="I2854" t="s"/>
      <c r="J2854" t="n">
        <v>-0.4767</v>
      </c>
      <c r="K2854" t="n">
        <v>0.341</v>
      </c>
      <c r="L2854" t="n">
        <v>0.659</v>
      </c>
      <c r="M2854" t="n">
        <v>0</v>
      </c>
    </row>
    <row r="2855" spans="1:13">
      <c r="A2855" s="1">
        <f>HYPERLINK("http://www.twitter.com/NathanBLawrence/status/985628359211274243", "985628359211274243")</f>
        <v/>
      </c>
      <c r="B2855" s="2" t="n">
        <v>43205.88758101852</v>
      </c>
      <c r="C2855" t="n">
        <v>0</v>
      </c>
      <c r="D2855" t="n">
        <v>661</v>
      </c>
      <c r="E2855" t="s">
        <v>2835</v>
      </c>
      <c r="F2855" t="s"/>
      <c r="G2855" t="s"/>
      <c r="H2855" t="s"/>
      <c r="I2855" t="s"/>
      <c r="J2855" t="n">
        <v>0.1027</v>
      </c>
      <c r="K2855" t="n">
        <v>0.19</v>
      </c>
      <c r="L2855" t="n">
        <v>0.5600000000000001</v>
      </c>
      <c r="M2855" t="n">
        <v>0.25</v>
      </c>
    </row>
    <row r="2856" spans="1:13">
      <c r="A2856" s="1">
        <f>HYPERLINK("http://www.twitter.com/NathanBLawrence/status/985628321831620608", "985628321831620608")</f>
        <v/>
      </c>
      <c r="B2856" s="2" t="n">
        <v>43205.88747685185</v>
      </c>
      <c r="C2856" t="n">
        <v>0</v>
      </c>
      <c r="D2856" t="n">
        <v>4364</v>
      </c>
      <c r="E2856" t="s">
        <v>2836</v>
      </c>
      <c r="F2856" t="s"/>
      <c r="G2856" t="s"/>
      <c r="H2856" t="s"/>
      <c r="I2856" t="s"/>
      <c r="J2856" t="n">
        <v>-0.0516</v>
      </c>
      <c r="K2856" t="n">
        <v>0.138</v>
      </c>
      <c r="L2856" t="n">
        <v>0.731</v>
      </c>
      <c r="M2856" t="n">
        <v>0.131</v>
      </c>
    </row>
    <row r="2857" spans="1:13">
      <c r="A2857" s="1">
        <f>HYPERLINK("http://www.twitter.com/NathanBLawrence/status/985628303183753221", "985628303183753221")</f>
        <v/>
      </c>
      <c r="B2857" s="2" t="n">
        <v>43205.88743055556</v>
      </c>
      <c r="C2857" t="n">
        <v>0</v>
      </c>
      <c r="D2857" t="n">
        <v>374</v>
      </c>
      <c r="E2857" t="s">
        <v>2837</v>
      </c>
      <c r="F2857" t="s"/>
      <c r="G2857" t="s"/>
      <c r="H2857" t="s"/>
      <c r="I2857" t="s"/>
      <c r="J2857" t="n">
        <v>0.5994</v>
      </c>
      <c r="K2857" t="n">
        <v>0</v>
      </c>
      <c r="L2857" t="n">
        <v>0.803</v>
      </c>
      <c r="M2857" t="n">
        <v>0.197</v>
      </c>
    </row>
    <row r="2858" spans="1:13">
      <c r="A2858" s="1">
        <f>HYPERLINK("http://www.twitter.com/NathanBLawrence/status/985627771216056331", "985627771216056331")</f>
        <v/>
      </c>
      <c r="B2858" s="2" t="n">
        <v>43205.88596064815</v>
      </c>
      <c r="C2858" t="n">
        <v>0</v>
      </c>
      <c r="D2858" t="n">
        <v>141</v>
      </c>
      <c r="E2858" t="s">
        <v>2838</v>
      </c>
      <c r="F2858">
        <f>HYPERLINK("http://pbs.twimg.com/media/Da1x0KnW4AUHY7P.jpg", "http://pbs.twimg.com/media/Da1x0KnW4AUHY7P.jpg")</f>
        <v/>
      </c>
      <c r="G2858" t="s"/>
      <c r="H2858" t="s"/>
      <c r="I2858" t="s"/>
      <c r="J2858" t="n">
        <v>0</v>
      </c>
      <c r="K2858" t="n">
        <v>0</v>
      </c>
      <c r="L2858" t="n">
        <v>1</v>
      </c>
      <c r="M2858" t="n">
        <v>0</v>
      </c>
    </row>
    <row r="2859" spans="1:13">
      <c r="A2859" s="1">
        <f>HYPERLINK("http://www.twitter.com/NathanBLawrence/status/985627709673009153", "985627709673009153")</f>
        <v/>
      </c>
      <c r="B2859" s="2" t="n">
        <v>43205.88578703703</v>
      </c>
      <c r="C2859" t="n">
        <v>0</v>
      </c>
      <c r="D2859" t="n">
        <v>1</v>
      </c>
      <c r="E2859" t="s">
        <v>2839</v>
      </c>
      <c r="F2859" t="s"/>
      <c r="G2859" t="s"/>
      <c r="H2859" t="s"/>
      <c r="I2859" t="s"/>
      <c r="J2859" t="n">
        <v>0.2732</v>
      </c>
      <c r="K2859" t="n">
        <v>0</v>
      </c>
      <c r="L2859" t="n">
        <v>0.9</v>
      </c>
      <c r="M2859" t="n">
        <v>0.1</v>
      </c>
    </row>
    <row r="2860" spans="1:13">
      <c r="A2860" s="1">
        <f>HYPERLINK("http://www.twitter.com/NathanBLawrence/status/985627653687382026", "985627653687382026")</f>
        <v/>
      </c>
      <c r="B2860" s="2" t="n">
        <v>43205.88563657407</v>
      </c>
      <c r="C2860" t="n">
        <v>1</v>
      </c>
      <c r="D2860" t="n">
        <v>1</v>
      </c>
      <c r="E2860" t="s">
        <v>2840</v>
      </c>
      <c r="F2860" t="s"/>
      <c r="G2860" t="s"/>
      <c r="H2860" t="s"/>
      <c r="I2860" t="s"/>
      <c r="J2860" t="n">
        <v>0.6249</v>
      </c>
      <c r="K2860" t="n">
        <v>0</v>
      </c>
      <c r="L2860" t="n">
        <v>0.841</v>
      </c>
      <c r="M2860" t="n">
        <v>0.159</v>
      </c>
    </row>
    <row r="2861" spans="1:13">
      <c r="A2861" s="1">
        <f>HYPERLINK("http://www.twitter.com/NathanBLawrence/status/985627424393191425", "985627424393191425")</f>
        <v/>
      </c>
      <c r="B2861" s="2" t="n">
        <v>43205.885</v>
      </c>
      <c r="C2861" t="n">
        <v>2</v>
      </c>
      <c r="D2861" t="n">
        <v>0</v>
      </c>
      <c r="E2861" t="s">
        <v>2841</v>
      </c>
      <c r="F2861" t="s"/>
      <c r="G2861" t="s"/>
      <c r="H2861" t="s"/>
      <c r="I2861" t="s"/>
      <c r="J2861" t="n">
        <v>0</v>
      </c>
      <c r="K2861" t="n">
        <v>0</v>
      </c>
      <c r="L2861" t="n">
        <v>1</v>
      </c>
      <c r="M2861" t="n">
        <v>0</v>
      </c>
    </row>
    <row r="2862" spans="1:13">
      <c r="A2862" s="1">
        <f>HYPERLINK("http://www.twitter.com/NathanBLawrence/status/985627359721218049", "985627359721218049")</f>
        <v/>
      </c>
      <c r="B2862" s="2" t="n">
        <v>43205.88482638889</v>
      </c>
      <c r="C2862" t="n">
        <v>0</v>
      </c>
      <c r="D2862" t="n">
        <v>0</v>
      </c>
      <c r="E2862" t="s">
        <v>2842</v>
      </c>
      <c r="F2862" t="s"/>
      <c r="G2862" t="s"/>
      <c r="H2862" t="s"/>
      <c r="I2862" t="s"/>
      <c r="J2862" t="n">
        <v>0.7964</v>
      </c>
      <c r="K2862" t="n">
        <v>0.1</v>
      </c>
      <c r="L2862" t="n">
        <v>0.627</v>
      </c>
      <c r="M2862" t="n">
        <v>0.274</v>
      </c>
    </row>
    <row r="2863" spans="1:13">
      <c r="A2863" s="1">
        <f>HYPERLINK("http://www.twitter.com/NathanBLawrence/status/985627171405336576", "985627171405336576")</f>
        <v/>
      </c>
      <c r="B2863" s="2" t="n">
        <v>43205.88430555556</v>
      </c>
      <c r="C2863" t="n">
        <v>0</v>
      </c>
      <c r="D2863" t="n">
        <v>2</v>
      </c>
      <c r="E2863" t="s">
        <v>2843</v>
      </c>
      <c r="F2863" t="s"/>
      <c r="G2863" t="s"/>
      <c r="H2863" t="s"/>
      <c r="I2863" t="s"/>
      <c r="J2863" t="n">
        <v>0</v>
      </c>
      <c r="K2863" t="n">
        <v>0</v>
      </c>
      <c r="L2863" t="n">
        <v>1</v>
      </c>
      <c r="M2863" t="n">
        <v>0</v>
      </c>
    </row>
    <row r="2864" spans="1:13">
      <c r="A2864" s="1">
        <f>HYPERLINK("http://www.twitter.com/NathanBLawrence/status/985627130708021250", "985627130708021250")</f>
        <v/>
      </c>
      <c r="B2864" s="2" t="n">
        <v>43205.88418981482</v>
      </c>
      <c r="C2864" t="n">
        <v>2</v>
      </c>
      <c r="D2864" t="n">
        <v>0</v>
      </c>
      <c r="E2864" t="s">
        <v>2844</v>
      </c>
      <c r="F2864" t="s"/>
      <c r="G2864" t="s"/>
      <c r="H2864" t="s"/>
      <c r="I2864" t="s"/>
      <c r="J2864" t="n">
        <v>0.4939</v>
      </c>
      <c r="K2864" t="n">
        <v>0</v>
      </c>
      <c r="L2864" t="n">
        <v>0.862</v>
      </c>
      <c r="M2864" t="n">
        <v>0.138</v>
      </c>
    </row>
    <row r="2865" spans="1:13">
      <c r="A2865" s="1">
        <f>HYPERLINK("http://www.twitter.com/NathanBLawrence/status/985626882690506752", "985626882690506752")</f>
        <v/>
      </c>
      <c r="B2865" s="2" t="n">
        <v>43205.88350694445</v>
      </c>
      <c r="C2865" t="n">
        <v>0</v>
      </c>
      <c r="D2865" t="n">
        <v>1</v>
      </c>
      <c r="E2865" t="s">
        <v>2845</v>
      </c>
      <c r="F2865" t="s"/>
      <c r="G2865" t="s"/>
      <c r="H2865" t="s"/>
      <c r="I2865" t="s"/>
      <c r="J2865" t="n">
        <v>0</v>
      </c>
      <c r="K2865" t="n">
        <v>0</v>
      </c>
      <c r="L2865" t="n">
        <v>1</v>
      </c>
      <c r="M2865" t="n">
        <v>0</v>
      </c>
    </row>
    <row r="2866" spans="1:13">
      <c r="A2866" s="1">
        <f>HYPERLINK("http://www.twitter.com/NathanBLawrence/status/985626855020679168", "985626855020679168")</f>
        <v/>
      </c>
      <c r="B2866" s="2" t="n">
        <v>43205.88342592592</v>
      </c>
      <c r="C2866" t="n">
        <v>0</v>
      </c>
      <c r="D2866" t="n">
        <v>1</v>
      </c>
      <c r="E2866" t="s">
        <v>2846</v>
      </c>
      <c r="F2866" t="s"/>
      <c r="G2866" t="s"/>
      <c r="H2866" t="s"/>
      <c r="I2866" t="s"/>
      <c r="J2866" t="n">
        <v>0.3612</v>
      </c>
      <c r="K2866" t="n">
        <v>0</v>
      </c>
      <c r="L2866" t="n">
        <v>0.865</v>
      </c>
      <c r="M2866" t="n">
        <v>0.135</v>
      </c>
    </row>
    <row r="2867" spans="1:13">
      <c r="A2867" s="1">
        <f>HYPERLINK("http://www.twitter.com/NathanBLawrence/status/985626812737867777", "985626812737867777")</f>
        <v/>
      </c>
      <c r="B2867" s="2" t="n">
        <v>43205.88331018519</v>
      </c>
      <c r="C2867" t="n">
        <v>0</v>
      </c>
      <c r="D2867" t="n">
        <v>1</v>
      </c>
      <c r="E2867" t="s">
        <v>2847</v>
      </c>
      <c r="F2867" t="s"/>
      <c r="G2867" t="s"/>
      <c r="H2867" t="s"/>
      <c r="I2867" t="s"/>
      <c r="J2867" t="n">
        <v>0</v>
      </c>
      <c r="K2867" t="n">
        <v>0</v>
      </c>
      <c r="L2867" t="n">
        <v>1</v>
      </c>
      <c r="M2867" t="n">
        <v>0</v>
      </c>
    </row>
    <row r="2868" spans="1:13">
      <c r="A2868" s="1">
        <f>HYPERLINK("http://www.twitter.com/NathanBLawrence/status/985626771969200128", "985626771969200128")</f>
        <v/>
      </c>
      <c r="B2868" s="2" t="n">
        <v>43205.88320601852</v>
      </c>
      <c r="C2868" t="n">
        <v>0</v>
      </c>
      <c r="D2868" t="n">
        <v>28</v>
      </c>
      <c r="E2868" t="s">
        <v>2848</v>
      </c>
      <c r="F2868">
        <f>HYPERLINK("http://pbs.twimg.com/media/DaxL7k-XcAAkS6G.jpg", "http://pbs.twimg.com/media/DaxL7k-XcAAkS6G.jpg")</f>
        <v/>
      </c>
      <c r="G2868" t="s"/>
      <c r="H2868" t="s"/>
      <c r="I2868" t="s"/>
      <c r="J2868" t="n">
        <v>0</v>
      </c>
      <c r="K2868" t="n">
        <v>0</v>
      </c>
      <c r="L2868" t="n">
        <v>1</v>
      </c>
      <c r="M2868" t="n">
        <v>0</v>
      </c>
    </row>
    <row r="2869" spans="1:13">
      <c r="A2869" s="1">
        <f>HYPERLINK("http://www.twitter.com/NathanBLawrence/status/985626687466541056", "985626687466541056")</f>
        <v/>
      </c>
      <c r="B2869" s="2" t="n">
        <v>43205.88297453704</v>
      </c>
      <c r="C2869" t="n">
        <v>0</v>
      </c>
      <c r="D2869" t="n">
        <v>7</v>
      </c>
      <c r="E2869" t="s">
        <v>2849</v>
      </c>
      <c r="F2869" t="s"/>
      <c r="G2869" t="s"/>
      <c r="H2869" t="s"/>
      <c r="I2869" t="s"/>
      <c r="J2869" t="n">
        <v>-0.4939</v>
      </c>
      <c r="K2869" t="n">
        <v>0.189</v>
      </c>
      <c r="L2869" t="n">
        <v>0.8110000000000001</v>
      </c>
      <c r="M2869" t="n">
        <v>0</v>
      </c>
    </row>
    <row r="2870" spans="1:13">
      <c r="A2870" s="1">
        <f>HYPERLINK("http://www.twitter.com/NathanBLawrence/status/985626658236456961", "985626658236456961")</f>
        <v/>
      </c>
      <c r="B2870" s="2" t="n">
        <v>43205.88289351852</v>
      </c>
      <c r="C2870" t="n">
        <v>0</v>
      </c>
      <c r="D2870" t="n">
        <v>0</v>
      </c>
      <c r="E2870" t="s">
        <v>2850</v>
      </c>
      <c r="F2870" t="s"/>
      <c r="G2870" t="s"/>
      <c r="H2870" t="s"/>
      <c r="I2870" t="s"/>
      <c r="J2870" t="n">
        <v>0.6239</v>
      </c>
      <c r="K2870" t="n">
        <v>0</v>
      </c>
      <c r="L2870" t="n">
        <v>0.541</v>
      </c>
      <c r="M2870" t="n">
        <v>0.459</v>
      </c>
    </row>
    <row r="2871" spans="1:13">
      <c r="A2871" s="1">
        <f>HYPERLINK("http://www.twitter.com/NathanBLawrence/status/985626620839985152", "985626620839985152")</f>
        <v/>
      </c>
      <c r="B2871" s="2" t="n">
        <v>43205.88278935185</v>
      </c>
      <c r="C2871" t="n">
        <v>0</v>
      </c>
      <c r="D2871" t="n">
        <v>5</v>
      </c>
      <c r="E2871" t="s">
        <v>2851</v>
      </c>
      <c r="F2871" t="s"/>
      <c r="G2871" t="s"/>
      <c r="H2871" t="s"/>
      <c r="I2871" t="s"/>
      <c r="J2871" t="n">
        <v>-0.4404</v>
      </c>
      <c r="K2871" t="n">
        <v>0.146</v>
      </c>
      <c r="L2871" t="n">
        <v>0.854</v>
      </c>
      <c r="M2871" t="n">
        <v>0</v>
      </c>
    </row>
    <row r="2872" spans="1:13">
      <c r="A2872" s="1">
        <f>HYPERLINK("http://www.twitter.com/NathanBLawrence/status/985626613579747334", "985626613579747334")</f>
        <v/>
      </c>
      <c r="B2872" s="2" t="n">
        <v>43205.8827662037</v>
      </c>
      <c r="C2872" t="n">
        <v>0</v>
      </c>
      <c r="D2872" t="n">
        <v>5</v>
      </c>
      <c r="E2872" t="s">
        <v>2852</v>
      </c>
      <c r="F2872" t="s"/>
      <c r="G2872" t="s"/>
      <c r="H2872" t="s"/>
      <c r="I2872" t="s"/>
      <c r="J2872" t="n">
        <v>-0.4019</v>
      </c>
      <c r="K2872" t="n">
        <v>0.283</v>
      </c>
      <c r="L2872" t="n">
        <v>0.53</v>
      </c>
      <c r="M2872" t="n">
        <v>0.187</v>
      </c>
    </row>
    <row r="2873" spans="1:13">
      <c r="A2873" s="1">
        <f>HYPERLINK("http://www.twitter.com/NathanBLawrence/status/985626282607239169", "985626282607239169")</f>
        <v/>
      </c>
      <c r="B2873" s="2" t="n">
        <v>43205.88185185185</v>
      </c>
      <c r="C2873" t="n">
        <v>0</v>
      </c>
      <c r="D2873" t="n">
        <v>6</v>
      </c>
      <c r="E2873" t="s">
        <v>2853</v>
      </c>
      <c r="F2873" t="s"/>
      <c r="G2873" t="s"/>
      <c r="H2873" t="s"/>
      <c r="I2873" t="s"/>
      <c r="J2873" t="n">
        <v>0.0258</v>
      </c>
      <c r="K2873" t="n">
        <v>0</v>
      </c>
      <c r="L2873" t="n">
        <v>0.922</v>
      </c>
      <c r="M2873" t="n">
        <v>0.078</v>
      </c>
    </row>
    <row r="2874" spans="1:13">
      <c r="A2874" s="1">
        <f>HYPERLINK("http://www.twitter.com/NathanBLawrence/status/985626272683487234", "985626272683487234")</f>
        <v/>
      </c>
      <c r="B2874" s="2" t="n">
        <v>43205.88182870371</v>
      </c>
      <c r="C2874" t="n">
        <v>0</v>
      </c>
      <c r="D2874" t="n">
        <v>6</v>
      </c>
      <c r="E2874" t="s">
        <v>2854</v>
      </c>
      <c r="F2874" t="s"/>
      <c r="G2874" t="s"/>
      <c r="H2874" t="s"/>
      <c r="I2874" t="s"/>
      <c r="J2874" t="n">
        <v>0.4404</v>
      </c>
      <c r="K2874" t="n">
        <v>0</v>
      </c>
      <c r="L2874" t="n">
        <v>0.838</v>
      </c>
      <c r="M2874" t="n">
        <v>0.162</v>
      </c>
    </row>
    <row r="2875" spans="1:13">
      <c r="A2875" s="1">
        <f>HYPERLINK("http://www.twitter.com/NathanBLawrence/status/985616857217601541", "985616857217601541")</f>
        <v/>
      </c>
      <c r="B2875" s="2" t="n">
        <v>43205.8558449074</v>
      </c>
      <c r="C2875" t="n">
        <v>0</v>
      </c>
      <c r="D2875" t="n">
        <v>7</v>
      </c>
      <c r="E2875" t="s">
        <v>2855</v>
      </c>
      <c r="F2875" t="s"/>
      <c r="G2875" t="s"/>
      <c r="H2875" t="s"/>
      <c r="I2875" t="s"/>
      <c r="J2875" t="n">
        <v>0.4404</v>
      </c>
      <c r="K2875" t="n">
        <v>0</v>
      </c>
      <c r="L2875" t="n">
        <v>0.837</v>
      </c>
      <c r="M2875" t="n">
        <v>0.163</v>
      </c>
    </row>
    <row r="2876" spans="1:13">
      <c r="A2876" s="1">
        <f>HYPERLINK("http://www.twitter.com/NathanBLawrence/status/985607265175724035", "985607265175724035")</f>
        <v/>
      </c>
      <c r="B2876" s="2" t="n">
        <v>43205.829375</v>
      </c>
      <c r="C2876" t="n">
        <v>8</v>
      </c>
      <c r="D2876" t="n">
        <v>6</v>
      </c>
      <c r="E2876" t="s">
        <v>2856</v>
      </c>
      <c r="F2876" t="s"/>
      <c r="G2876" t="s"/>
      <c r="H2876" t="s"/>
      <c r="I2876" t="s"/>
      <c r="J2876" t="n">
        <v>0.8205</v>
      </c>
      <c r="K2876" t="n">
        <v>0.022</v>
      </c>
      <c r="L2876" t="n">
        <v>0.791</v>
      </c>
      <c r="M2876" t="n">
        <v>0.187</v>
      </c>
    </row>
    <row r="2877" spans="1:13">
      <c r="A2877" s="1">
        <f>HYPERLINK("http://www.twitter.com/NathanBLawrence/status/985606798492291075", "985606798492291075")</f>
        <v/>
      </c>
      <c r="B2877" s="2" t="n">
        <v>43205.82809027778</v>
      </c>
      <c r="C2877" t="n">
        <v>9</v>
      </c>
      <c r="D2877" t="n">
        <v>6</v>
      </c>
      <c r="E2877" t="s">
        <v>2857</v>
      </c>
      <c r="F2877" t="s"/>
      <c r="G2877" t="s"/>
      <c r="H2877" t="s"/>
      <c r="I2877" t="s"/>
      <c r="J2877" t="n">
        <v>0.7003</v>
      </c>
      <c r="K2877" t="n">
        <v>0</v>
      </c>
      <c r="L2877" t="n">
        <v>0.905</v>
      </c>
      <c r="M2877" t="n">
        <v>0.095</v>
      </c>
    </row>
    <row r="2878" spans="1:13">
      <c r="A2878" s="1">
        <f>HYPERLINK("http://www.twitter.com/NathanBLawrence/status/985606228981280769", "985606228981280769")</f>
        <v/>
      </c>
      <c r="B2878" s="2" t="n">
        <v>43205.82651620371</v>
      </c>
      <c r="C2878" t="n">
        <v>11</v>
      </c>
      <c r="D2878" t="n">
        <v>7</v>
      </c>
      <c r="E2878" t="s">
        <v>2858</v>
      </c>
      <c r="F2878" t="s"/>
      <c r="G2878" t="s"/>
      <c r="H2878" t="s"/>
      <c r="I2878" t="s"/>
      <c r="J2878" t="n">
        <v>0.1779</v>
      </c>
      <c r="K2878" t="n">
        <v>0.092</v>
      </c>
      <c r="L2878" t="n">
        <v>0.782</v>
      </c>
      <c r="M2878" t="n">
        <v>0.126</v>
      </c>
    </row>
    <row r="2879" spans="1:13">
      <c r="A2879" s="1">
        <f>HYPERLINK("http://www.twitter.com/NathanBLawrence/status/985598576863727616", "985598576863727616")</f>
        <v/>
      </c>
      <c r="B2879" s="2" t="n">
        <v>43205.80539351852</v>
      </c>
      <c r="C2879" t="n">
        <v>0</v>
      </c>
      <c r="D2879" t="n">
        <v>18</v>
      </c>
      <c r="E2879" t="s">
        <v>2859</v>
      </c>
      <c r="F2879" t="s"/>
      <c r="G2879" t="s"/>
      <c r="H2879" t="s"/>
      <c r="I2879" t="s"/>
      <c r="J2879" t="n">
        <v>0</v>
      </c>
      <c r="K2879" t="n">
        <v>0</v>
      </c>
      <c r="L2879" t="n">
        <v>1</v>
      </c>
      <c r="M2879" t="n">
        <v>0</v>
      </c>
    </row>
    <row r="2880" spans="1:13">
      <c r="A2880" s="1">
        <f>HYPERLINK("http://www.twitter.com/NathanBLawrence/status/985591823686144000", "985591823686144000")</f>
        <v/>
      </c>
      <c r="B2880" s="2" t="n">
        <v>43205.78675925926</v>
      </c>
      <c r="C2880" t="n">
        <v>0</v>
      </c>
      <c r="D2880" t="n">
        <v>4</v>
      </c>
      <c r="E2880" t="s">
        <v>2860</v>
      </c>
      <c r="F2880" t="s"/>
      <c r="G2880" t="s"/>
      <c r="H2880" t="s"/>
      <c r="I2880" t="s"/>
      <c r="J2880" t="n">
        <v>0.3542</v>
      </c>
      <c r="K2880" t="n">
        <v>0.132</v>
      </c>
      <c r="L2880" t="n">
        <v>0.655</v>
      </c>
      <c r="M2880" t="n">
        <v>0.213</v>
      </c>
    </row>
    <row r="2881" spans="1:13">
      <c r="A2881" s="1">
        <f>HYPERLINK("http://www.twitter.com/NathanBLawrence/status/985591785941544961", "985591785941544961")</f>
        <v/>
      </c>
      <c r="B2881" s="2" t="n">
        <v>43205.78665509259</v>
      </c>
      <c r="C2881" t="n">
        <v>0</v>
      </c>
      <c r="D2881" t="n">
        <v>15</v>
      </c>
      <c r="E2881" t="s">
        <v>2861</v>
      </c>
      <c r="F2881" t="s"/>
      <c r="G2881" t="s"/>
      <c r="H2881" t="s"/>
      <c r="I2881" t="s"/>
      <c r="J2881" t="n">
        <v>0</v>
      </c>
      <c r="K2881" t="n">
        <v>0</v>
      </c>
      <c r="L2881" t="n">
        <v>1</v>
      </c>
      <c r="M2881" t="n">
        <v>0</v>
      </c>
    </row>
    <row r="2882" spans="1:13">
      <c r="A2882" s="1">
        <f>HYPERLINK("http://www.twitter.com/NathanBLawrence/status/985591774650552323", "985591774650552323")</f>
        <v/>
      </c>
      <c r="B2882" s="2" t="n">
        <v>43205.78663194444</v>
      </c>
      <c r="C2882" t="n">
        <v>0</v>
      </c>
      <c r="D2882" t="n">
        <v>15</v>
      </c>
      <c r="E2882" t="s">
        <v>2862</v>
      </c>
      <c r="F2882" t="s"/>
      <c r="G2882" t="s"/>
      <c r="H2882" t="s"/>
      <c r="I2882" t="s"/>
      <c r="J2882" t="n">
        <v>-0.296</v>
      </c>
      <c r="K2882" t="n">
        <v>0.095</v>
      </c>
      <c r="L2882" t="n">
        <v>0.905</v>
      </c>
      <c r="M2882" t="n">
        <v>0</v>
      </c>
    </row>
    <row r="2883" spans="1:13">
      <c r="A2883" s="1">
        <f>HYPERLINK("http://www.twitter.com/NathanBLawrence/status/985591717649944578", "985591717649944578")</f>
        <v/>
      </c>
      <c r="B2883" s="2" t="n">
        <v>43205.78646990741</v>
      </c>
      <c r="C2883" t="n">
        <v>0</v>
      </c>
      <c r="D2883" t="n">
        <v>5</v>
      </c>
      <c r="E2883" t="s">
        <v>2863</v>
      </c>
      <c r="F2883" t="s"/>
      <c r="G2883" t="s"/>
      <c r="H2883" t="s"/>
      <c r="I2883" t="s"/>
      <c r="J2883" t="n">
        <v>0</v>
      </c>
      <c r="K2883" t="n">
        <v>0</v>
      </c>
      <c r="L2883" t="n">
        <v>1</v>
      </c>
      <c r="M2883" t="n">
        <v>0</v>
      </c>
    </row>
    <row r="2884" spans="1:13">
      <c r="A2884" s="1">
        <f>HYPERLINK("http://www.twitter.com/NathanBLawrence/status/985591707495469057", "985591707495469057")</f>
        <v/>
      </c>
      <c r="B2884" s="2" t="n">
        <v>43205.78644675926</v>
      </c>
      <c r="C2884" t="n">
        <v>0</v>
      </c>
      <c r="D2884" t="n">
        <v>6</v>
      </c>
      <c r="E2884" t="s">
        <v>2864</v>
      </c>
      <c r="F2884" t="s"/>
      <c r="G2884" t="s"/>
      <c r="H2884" t="s"/>
      <c r="I2884" t="s"/>
      <c r="J2884" t="n">
        <v>0</v>
      </c>
      <c r="K2884" t="n">
        <v>0</v>
      </c>
      <c r="L2884" t="n">
        <v>1</v>
      </c>
      <c r="M2884" t="n">
        <v>0</v>
      </c>
    </row>
    <row r="2885" spans="1:13">
      <c r="A2885" s="1">
        <f>HYPERLINK("http://www.twitter.com/NathanBLawrence/status/985591658665390083", "985591658665390083")</f>
        <v/>
      </c>
      <c r="B2885" s="2" t="n">
        <v>43205.78630787037</v>
      </c>
      <c r="C2885" t="n">
        <v>0</v>
      </c>
      <c r="D2885" t="n">
        <v>9</v>
      </c>
      <c r="E2885" t="s">
        <v>2865</v>
      </c>
      <c r="F2885" t="s"/>
      <c r="G2885" t="s"/>
      <c r="H2885" t="s"/>
      <c r="I2885" t="s"/>
      <c r="J2885" t="n">
        <v>-0.5266999999999999</v>
      </c>
      <c r="K2885" t="n">
        <v>0.196</v>
      </c>
      <c r="L2885" t="n">
        <v>0.804</v>
      </c>
      <c r="M2885" t="n">
        <v>0</v>
      </c>
    </row>
    <row r="2886" spans="1:13">
      <c r="A2886" s="1">
        <f>HYPERLINK("http://www.twitter.com/NathanBLawrence/status/985591607184510977", "985591607184510977")</f>
        <v/>
      </c>
      <c r="B2886" s="2" t="n">
        <v>43205.78616898148</v>
      </c>
      <c r="C2886" t="n">
        <v>0</v>
      </c>
      <c r="D2886" t="n">
        <v>8</v>
      </c>
      <c r="E2886" t="s">
        <v>2866</v>
      </c>
      <c r="F2886">
        <f>HYPERLINK("http://pbs.twimg.com/media/Da2AQllXcAERx-G.jpg", "http://pbs.twimg.com/media/Da2AQllXcAERx-G.jpg")</f>
        <v/>
      </c>
      <c r="G2886" t="s"/>
      <c r="H2886" t="s"/>
      <c r="I2886" t="s"/>
      <c r="J2886" t="n">
        <v>0</v>
      </c>
      <c r="K2886" t="n">
        <v>0</v>
      </c>
      <c r="L2886" t="n">
        <v>1</v>
      </c>
      <c r="M2886" t="n">
        <v>0</v>
      </c>
    </row>
    <row r="2887" spans="1:13">
      <c r="A2887" s="1">
        <f>HYPERLINK("http://www.twitter.com/NathanBLawrence/status/985591588549259265", "985591588549259265")</f>
        <v/>
      </c>
      <c r="B2887" s="2" t="n">
        <v>43205.78611111111</v>
      </c>
      <c r="C2887" t="n">
        <v>0</v>
      </c>
      <c r="D2887" t="n">
        <v>6</v>
      </c>
      <c r="E2887" t="s">
        <v>2867</v>
      </c>
      <c r="F2887" t="s"/>
      <c r="G2887" t="s"/>
      <c r="H2887" t="s"/>
      <c r="I2887" t="s"/>
      <c r="J2887" t="n">
        <v>0</v>
      </c>
      <c r="K2887" t="n">
        <v>0</v>
      </c>
      <c r="L2887" t="n">
        <v>1</v>
      </c>
      <c r="M2887" t="n">
        <v>0</v>
      </c>
    </row>
    <row r="2888" spans="1:13">
      <c r="A2888" s="1">
        <f>HYPERLINK("http://www.twitter.com/NathanBLawrence/status/985591576054378496", "985591576054378496")</f>
        <v/>
      </c>
      <c r="B2888" s="2" t="n">
        <v>43205.78607638889</v>
      </c>
      <c r="C2888" t="n">
        <v>0</v>
      </c>
      <c r="D2888" t="n">
        <v>9</v>
      </c>
      <c r="E2888" t="s">
        <v>2868</v>
      </c>
      <c r="F2888" t="s"/>
      <c r="G2888" t="s"/>
      <c r="H2888" t="s"/>
      <c r="I2888" t="s"/>
      <c r="J2888" t="n">
        <v>-0.3182</v>
      </c>
      <c r="K2888" t="n">
        <v>0.103</v>
      </c>
      <c r="L2888" t="n">
        <v>0.897</v>
      </c>
      <c r="M2888" t="n">
        <v>0</v>
      </c>
    </row>
    <row r="2889" spans="1:13">
      <c r="A2889" s="1">
        <f>HYPERLINK("http://www.twitter.com/NathanBLawrence/status/985591558866112512", "985591558866112512")</f>
        <v/>
      </c>
      <c r="B2889" s="2" t="n">
        <v>43205.78603009259</v>
      </c>
      <c r="C2889" t="n">
        <v>0</v>
      </c>
      <c r="D2889" t="n">
        <v>8</v>
      </c>
      <c r="E2889" t="s">
        <v>2869</v>
      </c>
      <c r="F2889" t="s"/>
      <c r="G2889" t="s"/>
      <c r="H2889" t="s"/>
      <c r="I2889" t="s"/>
      <c r="J2889" t="n">
        <v>-0.7574</v>
      </c>
      <c r="K2889" t="n">
        <v>0.276</v>
      </c>
      <c r="L2889" t="n">
        <v>0.724</v>
      </c>
      <c r="M2889" t="n">
        <v>0</v>
      </c>
    </row>
    <row r="2890" spans="1:13">
      <c r="A2890" s="1">
        <f>HYPERLINK("http://www.twitter.com/NathanBLawrence/status/985591488775061505", "985591488775061505")</f>
        <v/>
      </c>
      <c r="B2890" s="2" t="n">
        <v>43205.78583333334</v>
      </c>
      <c r="C2890" t="n">
        <v>3</v>
      </c>
      <c r="D2890" t="n">
        <v>0</v>
      </c>
      <c r="E2890" t="s">
        <v>2870</v>
      </c>
      <c r="F2890" t="s"/>
      <c r="G2890" t="s"/>
      <c r="H2890" t="s"/>
      <c r="I2890" t="s"/>
      <c r="J2890" t="n">
        <v>0.6249</v>
      </c>
      <c r="K2890" t="n">
        <v>0</v>
      </c>
      <c r="L2890" t="n">
        <v>0.785</v>
      </c>
      <c r="M2890" t="n">
        <v>0.215</v>
      </c>
    </row>
    <row r="2891" spans="1:13">
      <c r="A2891" s="1">
        <f>HYPERLINK("http://www.twitter.com/NathanBLawrence/status/985591434832203776", "985591434832203776")</f>
        <v/>
      </c>
      <c r="B2891" s="2" t="n">
        <v>43205.78569444444</v>
      </c>
      <c r="C2891" t="n">
        <v>0</v>
      </c>
      <c r="D2891" t="n">
        <v>26</v>
      </c>
      <c r="E2891" t="s">
        <v>2871</v>
      </c>
      <c r="F2891">
        <f>HYPERLINK("http://pbs.twimg.com/media/Da16xU8X0AAb7JT.jpg", "http://pbs.twimg.com/media/Da16xU8X0AAb7JT.jpg")</f>
        <v/>
      </c>
      <c r="G2891" t="s"/>
      <c r="H2891" t="s"/>
      <c r="I2891" t="s"/>
      <c r="J2891" t="n">
        <v>-0.3612</v>
      </c>
      <c r="K2891" t="n">
        <v>0.128</v>
      </c>
      <c r="L2891" t="n">
        <v>0.872</v>
      </c>
      <c r="M2891" t="n">
        <v>0</v>
      </c>
    </row>
    <row r="2892" spans="1:13">
      <c r="A2892" s="1">
        <f>HYPERLINK("http://www.twitter.com/NathanBLawrence/status/985547970149044224", "985547970149044224")</f>
        <v/>
      </c>
      <c r="B2892" s="2" t="n">
        <v>43205.66575231482</v>
      </c>
      <c r="C2892" t="n">
        <v>7</v>
      </c>
      <c r="D2892" t="n">
        <v>4</v>
      </c>
      <c r="E2892" t="s">
        <v>2872</v>
      </c>
      <c r="F2892" t="s"/>
      <c r="G2892" t="s"/>
      <c r="H2892" t="s"/>
      <c r="I2892" t="s"/>
      <c r="J2892" t="n">
        <v>0.6083</v>
      </c>
      <c r="K2892" t="n">
        <v>0.122</v>
      </c>
      <c r="L2892" t="n">
        <v>0.672</v>
      </c>
      <c r="M2892" t="n">
        <v>0.206</v>
      </c>
    </row>
    <row r="2893" spans="1:13">
      <c r="A2893" s="1">
        <f>HYPERLINK("http://www.twitter.com/NathanBLawrence/status/985545732001185793", "985545732001185793")</f>
        <v/>
      </c>
      <c r="B2893" s="2" t="n">
        <v>43205.65957175926</v>
      </c>
      <c r="C2893" t="n">
        <v>0</v>
      </c>
      <c r="D2893" t="n">
        <v>3</v>
      </c>
      <c r="E2893" t="s">
        <v>2873</v>
      </c>
      <c r="F2893" t="s"/>
      <c r="G2893" t="s"/>
      <c r="H2893" t="s"/>
      <c r="I2893" t="s"/>
      <c r="J2893" t="n">
        <v>-0.5266999999999999</v>
      </c>
      <c r="K2893" t="n">
        <v>0.145</v>
      </c>
      <c r="L2893" t="n">
        <v>0.855</v>
      </c>
      <c r="M2893" t="n">
        <v>0</v>
      </c>
    </row>
    <row r="2894" spans="1:13">
      <c r="A2894" s="1">
        <f>HYPERLINK("http://www.twitter.com/NathanBLawrence/status/985542771183357952", "985542771183357952")</f>
        <v/>
      </c>
      <c r="B2894" s="2" t="n">
        <v>43205.65140046296</v>
      </c>
      <c r="C2894" t="n">
        <v>0</v>
      </c>
      <c r="D2894" t="n">
        <v>3</v>
      </c>
      <c r="E2894" t="s">
        <v>2874</v>
      </c>
      <c r="F2894" t="s"/>
      <c r="G2894" t="s"/>
      <c r="H2894" t="s"/>
      <c r="I2894" t="s"/>
      <c r="J2894" t="n">
        <v>-0.296</v>
      </c>
      <c r="K2894" t="n">
        <v>0.121</v>
      </c>
      <c r="L2894" t="n">
        <v>0.879</v>
      </c>
      <c r="M2894" t="n">
        <v>0</v>
      </c>
    </row>
    <row r="2895" spans="1:13">
      <c r="A2895" s="1">
        <f>HYPERLINK("http://www.twitter.com/NathanBLawrence/status/985540912594997248", "985540912594997248")</f>
        <v/>
      </c>
      <c r="B2895" s="2" t="n">
        <v>43205.64627314815</v>
      </c>
      <c r="C2895" t="n">
        <v>0</v>
      </c>
      <c r="D2895" t="n">
        <v>11</v>
      </c>
      <c r="E2895" t="s">
        <v>2875</v>
      </c>
      <c r="F2895">
        <f>HYPERLINK("http://pbs.twimg.com/media/DW89oXAVAAAgP2p.jpg", "http://pbs.twimg.com/media/DW89oXAVAAAgP2p.jpg")</f>
        <v/>
      </c>
      <c r="G2895" t="s"/>
      <c r="H2895" t="s"/>
      <c r="I2895" t="s"/>
      <c r="J2895" t="n">
        <v>0.6369</v>
      </c>
      <c r="K2895" t="n">
        <v>0</v>
      </c>
      <c r="L2895" t="n">
        <v>0.851</v>
      </c>
      <c r="M2895" t="n">
        <v>0.149</v>
      </c>
    </row>
    <row r="2896" spans="1:13">
      <c r="A2896" s="1">
        <f>HYPERLINK("http://www.twitter.com/NathanBLawrence/status/985540366777626625", "985540366777626625")</f>
        <v/>
      </c>
      <c r="B2896" s="2" t="n">
        <v>43205.64476851852</v>
      </c>
      <c r="C2896" t="n">
        <v>0</v>
      </c>
      <c r="D2896" t="n">
        <v>6</v>
      </c>
      <c r="E2896" t="s">
        <v>2876</v>
      </c>
      <c r="F2896" t="s"/>
      <c r="G2896" t="s"/>
      <c r="H2896" t="s"/>
      <c r="I2896" t="s"/>
      <c r="J2896" t="n">
        <v>0.5106000000000001</v>
      </c>
      <c r="K2896" t="n">
        <v>0</v>
      </c>
      <c r="L2896" t="n">
        <v>0.777</v>
      </c>
      <c r="M2896" t="n">
        <v>0.223</v>
      </c>
    </row>
    <row r="2897" spans="1:13">
      <c r="A2897" s="1">
        <f>HYPERLINK("http://www.twitter.com/NathanBLawrence/status/985540357130801152", "985540357130801152")</f>
        <v/>
      </c>
      <c r="B2897" s="2" t="n">
        <v>43205.64474537037</v>
      </c>
      <c r="C2897" t="n">
        <v>0</v>
      </c>
      <c r="D2897" t="n">
        <v>3</v>
      </c>
      <c r="E2897" t="s">
        <v>2877</v>
      </c>
      <c r="F2897" t="s"/>
      <c r="G2897" t="s"/>
      <c r="H2897" t="s"/>
      <c r="I2897" t="s"/>
      <c r="J2897" t="n">
        <v>0.4019</v>
      </c>
      <c r="K2897" t="n">
        <v>0</v>
      </c>
      <c r="L2897" t="n">
        <v>0.838</v>
      </c>
      <c r="M2897" t="n">
        <v>0.162</v>
      </c>
    </row>
    <row r="2898" spans="1:13">
      <c r="A2898" s="1">
        <f>HYPERLINK("http://www.twitter.com/NathanBLawrence/status/985540323534307330", "985540323534307330")</f>
        <v/>
      </c>
      <c r="B2898" s="2" t="n">
        <v>43205.64465277778</v>
      </c>
      <c r="C2898" t="n">
        <v>0</v>
      </c>
      <c r="D2898" t="n">
        <v>5</v>
      </c>
      <c r="E2898" t="s">
        <v>2878</v>
      </c>
      <c r="F2898" t="s"/>
      <c r="G2898" t="s"/>
      <c r="H2898" t="s"/>
      <c r="I2898" t="s"/>
      <c r="J2898" t="n">
        <v>0</v>
      </c>
      <c r="K2898" t="n">
        <v>0</v>
      </c>
      <c r="L2898" t="n">
        <v>1</v>
      </c>
      <c r="M2898" t="n">
        <v>0</v>
      </c>
    </row>
    <row r="2899" spans="1:13">
      <c r="A2899" s="1">
        <f>HYPERLINK("http://www.twitter.com/NathanBLawrence/status/985540296082673666", "985540296082673666")</f>
        <v/>
      </c>
      <c r="B2899" s="2" t="n">
        <v>43205.64457175926</v>
      </c>
      <c r="C2899" t="n">
        <v>0</v>
      </c>
      <c r="D2899" t="n">
        <v>4</v>
      </c>
      <c r="E2899" t="s">
        <v>2879</v>
      </c>
      <c r="F2899" t="s"/>
      <c r="G2899" t="s"/>
      <c r="H2899" t="s"/>
      <c r="I2899" t="s"/>
      <c r="J2899" t="n">
        <v>-0.6486</v>
      </c>
      <c r="K2899" t="n">
        <v>0.194</v>
      </c>
      <c r="L2899" t="n">
        <v>0.806</v>
      </c>
      <c r="M2899" t="n">
        <v>0</v>
      </c>
    </row>
    <row r="2900" spans="1:13">
      <c r="A2900" s="1">
        <f>HYPERLINK("http://www.twitter.com/NathanBLawrence/status/985540231364571136", "985540231364571136")</f>
        <v/>
      </c>
      <c r="B2900" s="2" t="n">
        <v>43205.64439814815</v>
      </c>
      <c r="C2900" t="n">
        <v>3</v>
      </c>
      <c r="D2900" t="n">
        <v>3</v>
      </c>
      <c r="E2900" t="s">
        <v>2880</v>
      </c>
      <c r="F2900" t="s"/>
      <c r="G2900" t="s"/>
      <c r="H2900" t="s"/>
      <c r="I2900" t="s"/>
      <c r="J2900" t="n">
        <v>0.2148</v>
      </c>
      <c r="K2900" t="n">
        <v>0.108</v>
      </c>
      <c r="L2900" t="n">
        <v>0.769</v>
      </c>
      <c r="M2900" t="n">
        <v>0.123</v>
      </c>
    </row>
    <row r="2901" spans="1:13">
      <c r="A2901" s="1">
        <f>HYPERLINK("http://www.twitter.com/NathanBLawrence/status/985536800302256128", "985536800302256128")</f>
        <v/>
      </c>
      <c r="B2901" s="2" t="n">
        <v>43205.63493055556</v>
      </c>
      <c r="C2901" t="n">
        <v>1</v>
      </c>
      <c r="D2901" t="n">
        <v>0</v>
      </c>
      <c r="E2901" t="s">
        <v>2881</v>
      </c>
      <c r="F2901" t="s"/>
      <c r="G2901" t="s"/>
      <c r="H2901" t="s"/>
      <c r="I2901" t="s"/>
      <c r="J2901" t="n">
        <v>0</v>
      </c>
      <c r="K2901" t="n">
        <v>0</v>
      </c>
      <c r="L2901" t="n">
        <v>1</v>
      </c>
      <c r="M2901" t="n">
        <v>0</v>
      </c>
    </row>
    <row r="2902" spans="1:13">
      <c r="A2902" s="1">
        <f>HYPERLINK("http://www.twitter.com/NathanBLawrence/status/985536713278869504", "985536713278869504")</f>
        <v/>
      </c>
      <c r="B2902" s="2" t="n">
        <v>43205.6346875</v>
      </c>
      <c r="C2902" t="n">
        <v>1</v>
      </c>
      <c r="D2902" t="n">
        <v>0</v>
      </c>
      <c r="E2902" t="s">
        <v>2882</v>
      </c>
      <c r="F2902" t="s"/>
      <c r="G2902" t="s"/>
      <c r="H2902" t="s"/>
      <c r="I2902" t="s"/>
      <c r="J2902" t="n">
        <v>-0.2263</v>
      </c>
      <c r="K2902" t="n">
        <v>0.322</v>
      </c>
      <c r="L2902" t="n">
        <v>0.435</v>
      </c>
      <c r="M2902" t="n">
        <v>0.243</v>
      </c>
    </row>
    <row r="2903" spans="1:13">
      <c r="A2903" s="1">
        <f>HYPERLINK("http://www.twitter.com/NathanBLawrence/status/985536603589431297", "985536603589431297")</f>
        <v/>
      </c>
      <c r="B2903" s="2" t="n">
        <v>43205.63438657407</v>
      </c>
      <c r="C2903" t="n">
        <v>0</v>
      </c>
      <c r="D2903" t="n">
        <v>7</v>
      </c>
      <c r="E2903" t="s">
        <v>2883</v>
      </c>
      <c r="F2903" t="s"/>
      <c r="G2903" t="s"/>
      <c r="H2903" t="s"/>
      <c r="I2903" t="s"/>
      <c r="J2903" t="n">
        <v>0.2444</v>
      </c>
      <c r="K2903" t="n">
        <v>0.08699999999999999</v>
      </c>
      <c r="L2903" t="n">
        <v>0.788</v>
      </c>
      <c r="M2903" t="n">
        <v>0.125</v>
      </c>
    </row>
    <row r="2904" spans="1:13">
      <c r="A2904" s="1">
        <f>HYPERLINK("http://www.twitter.com/NathanBLawrence/status/985536113124274177", "985536113124274177")</f>
        <v/>
      </c>
      <c r="B2904" s="2" t="n">
        <v>43205.63303240741</v>
      </c>
      <c r="C2904" t="n">
        <v>0</v>
      </c>
      <c r="D2904" t="n">
        <v>6</v>
      </c>
      <c r="E2904" t="s">
        <v>2884</v>
      </c>
      <c r="F2904" t="s"/>
      <c r="G2904" t="s"/>
      <c r="H2904" t="s"/>
      <c r="I2904" t="s"/>
      <c r="J2904" t="n">
        <v>0</v>
      </c>
      <c r="K2904" t="n">
        <v>0</v>
      </c>
      <c r="L2904" t="n">
        <v>1</v>
      </c>
      <c r="M2904" t="n">
        <v>0</v>
      </c>
    </row>
    <row r="2905" spans="1:13">
      <c r="A2905" s="1">
        <f>HYPERLINK("http://www.twitter.com/NathanBLawrence/status/985534870075138049", "985534870075138049")</f>
        <v/>
      </c>
      <c r="B2905" s="2" t="n">
        <v>43205.62960648148</v>
      </c>
      <c r="C2905" t="n">
        <v>0</v>
      </c>
      <c r="D2905" t="n">
        <v>6</v>
      </c>
      <c r="E2905" t="s">
        <v>2885</v>
      </c>
      <c r="F2905" t="s"/>
      <c r="G2905" t="s"/>
      <c r="H2905" t="s"/>
      <c r="I2905" t="s"/>
      <c r="J2905" t="n">
        <v>0</v>
      </c>
      <c r="K2905" t="n">
        <v>0</v>
      </c>
      <c r="L2905" t="n">
        <v>1</v>
      </c>
      <c r="M2905" t="n">
        <v>0</v>
      </c>
    </row>
    <row r="2906" spans="1:13">
      <c r="A2906" s="1">
        <f>HYPERLINK("http://www.twitter.com/NathanBLawrence/status/985534760402505728", "985534760402505728")</f>
        <v/>
      </c>
      <c r="B2906" s="2" t="n">
        <v>43205.62929398148</v>
      </c>
      <c r="C2906" t="n">
        <v>8</v>
      </c>
      <c r="D2906" t="n">
        <v>6</v>
      </c>
      <c r="E2906" t="s">
        <v>2886</v>
      </c>
      <c r="F2906" t="s"/>
      <c r="G2906" t="s"/>
      <c r="H2906" t="s"/>
      <c r="I2906" t="s"/>
      <c r="J2906" t="n">
        <v>0.2148</v>
      </c>
      <c r="K2906" t="n">
        <v>0.101</v>
      </c>
      <c r="L2906" t="n">
        <v>0.784</v>
      </c>
      <c r="M2906" t="n">
        <v>0.115</v>
      </c>
    </row>
    <row r="2907" spans="1:13">
      <c r="A2907" s="1">
        <f>HYPERLINK("http://www.twitter.com/NathanBLawrence/status/985534185174683653", "985534185174683653")</f>
        <v/>
      </c>
      <c r="B2907" s="2" t="n">
        <v>43205.62770833333</v>
      </c>
      <c r="C2907" t="n">
        <v>0</v>
      </c>
      <c r="D2907" t="n">
        <v>2</v>
      </c>
      <c r="E2907" t="s">
        <v>2887</v>
      </c>
      <c r="F2907" t="s"/>
      <c r="G2907" t="s"/>
      <c r="H2907" t="s"/>
      <c r="I2907" t="s"/>
      <c r="J2907" t="n">
        <v>0</v>
      </c>
      <c r="K2907" t="n">
        <v>0</v>
      </c>
      <c r="L2907" t="n">
        <v>1</v>
      </c>
      <c r="M2907" t="n">
        <v>0</v>
      </c>
    </row>
    <row r="2908" spans="1:13">
      <c r="A2908" s="1">
        <f>HYPERLINK("http://www.twitter.com/NathanBLawrence/status/985533873382723590", "985533873382723590")</f>
        <v/>
      </c>
      <c r="B2908" s="2" t="n">
        <v>43205.62685185186</v>
      </c>
      <c r="C2908" t="n">
        <v>0</v>
      </c>
      <c r="D2908" t="n">
        <v>14</v>
      </c>
      <c r="E2908" t="s">
        <v>2888</v>
      </c>
      <c r="F2908" t="s"/>
      <c r="G2908" t="s"/>
      <c r="H2908" t="s"/>
      <c r="I2908" t="s"/>
      <c r="J2908" t="n">
        <v>-0.0382</v>
      </c>
      <c r="K2908" t="n">
        <v>0.089</v>
      </c>
      <c r="L2908" t="n">
        <v>0.828</v>
      </c>
      <c r="M2908" t="n">
        <v>0.083</v>
      </c>
    </row>
    <row r="2909" spans="1:13">
      <c r="A2909" s="1">
        <f>HYPERLINK("http://www.twitter.com/NathanBLawrence/status/985533811067846658", "985533811067846658")</f>
        <v/>
      </c>
      <c r="B2909" s="2" t="n">
        <v>43205.62667824074</v>
      </c>
      <c r="C2909" t="n">
        <v>5</v>
      </c>
      <c r="D2909" t="n">
        <v>3</v>
      </c>
      <c r="E2909" t="s">
        <v>2889</v>
      </c>
      <c r="F2909" t="s"/>
      <c r="G2909" t="s"/>
      <c r="H2909" t="s"/>
      <c r="I2909" t="s"/>
      <c r="J2909" t="n">
        <v>0.6249</v>
      </c>
      <c r="K2909" t="n">
        <v>0</v>
      </c>
      <c r="L2909" t="n">
        <v>0.906</v>
      </c>
      <c r="M2909" t="n">
        <v>0.094</v>
      </c>
    </row>
    <row r="2910" spans="1:13">
      <c r="A2910" s="1">
        <f>HYPERLINK("http://www.twitter.com/NathanBLawrence/status/985533420251074560", "985533420251074560")</f>
        <v/>
      </c>
      <c r="B2910" s="2" t="n">
        <v>43205.62560185185</v>
      </c>
      <c r="C2910" t="n">
        <v>10</v>
      </c>
      <c r="D2910" t="n">
        <v>6</v>
      </c>
      <c r="E2910" t="s">
        <v>2890</v>
      </c>
      <c r="F2910" t="s"/>
      <c r="G2910" t="s"/>
      <c r="H2910" t="s"/>
      <c r="I2910" t="s"/>
      <c r="J2910" t="n">
        <v>-0.8321</v>
      </c>
      <c r="K2910" t="n">
        <v>0.272</v>
      </c>
      <c r="L2910" t="n">
        <v>0.533</v>
      </c>
      <c r="M2910" t="n">
        <v>0.195</v>
      </c>
    </row>
    <row r="2911" spans="1:13">
      <c r="A2911" s="1">
        <f>HYPERLINK("http://www.twitter.com/NathanBLawrence/status/985529939188436994", "985529939188436994")</f>
        <v/>
      </c>
      <c r="B2911" s="2" t="n">
        <v>43205.61599537037</v>
      </c>
      <c r="C2911" t="n">
        <v>0</v>
      </c>
      <c r="D2911" t="n">
        <v>9</v>
      </c>
      <c r="E2911" t="s">
        <v>2891</v>
      </c>
      <c r="F2911" t="s"/>
      <c r="G2911" t="s"/>
      <c r="H2911" t="s"/>
      <c r="I2911" t="s"/>
      <c r="J2911" t="n">
        <v>0.2263</v>
      </c>
      <c r="K2911" t="n">
        <v>0.154</v>
      </c>
      <c r="L2911" t="n">
        <v>0.696</v>
      </c>
      <c r="M2911" t="n">
        <v>0.15</v>
      </c>
    </row>
    <row r="2912" spans="1:13">
      <c r="A2912" s="1">
        <f>HYPERLINK("http://www.twitter.com/NathanBLawrence/status/985529908704239616", "985529908704239616")</f>
        <v/>
      </c>
      <c r="B2912" s="2" t="n">
        <v>43205.61591435185</v>
      </c>
      <c r="C2912" t="n">
        <v>0</v>
      </c>
      <c r="D2912" t="n">
        <v>4</v>
      </c>
      <c r="E2912" t="s">
        <v>2892</v>
      </c>
      <c r="F2912" t="s"/>
      <c r="G2912" t="s"/>
      <c r="H2912" t="s"/>
      <c r="I2912" t="s"/>
      <c r="J2912" t="n">
        <v>0.4754</v>
      </c>
      <c r="K2912" t="n">
        <v>0</v>
      </c>
      <c r="L2912" t="n">
        <v>0.872</v>
      </c>
      <c r="M2912" t="n">
        <v>0.128</v>
      </c>
    </row>
    <row r="2913" spans="1:13">
      <c r="A2913" s="1">
        <f>HYPERLINK("http://www.twitter.com/NathanBLawrence/status/985529833831714817", "985529833831714817")</f>
        <v/>
      </c>
      <c r="B2913" s="2" t="n">
        <v>43205.61570601852</v>
      </c>
      <c r="C2913" t="n">
        <v>15</v>
      </c>
      <c r="D2913" t="n">
        <v>14</v>
      </c>
      <c r="E2913" t="s">
        <v>2893</v>
      </c>
      <c r="F2913" t="s"/>
      <c r="G2913" t="s"/>
      <c r="H2913" t="s"/>
      <c r="I2913" t="s"/>
      <c r="J2913" t="n">
        <v>0.3076</v>
      </c>
      <c r="K2913" t="n">
        <v>0.046</v>
      </c>
      <c r="L2913" t="n">
        <v>0.861</v>
      </c>
      <c r="M2913" t="n">
        <v>0.092</v>
      </c>
    </row>
    <row r="2914" spans="1:13">
      <c r="A2914" s="1">
        <f>HYPERLINK("http://www.twitter.com/NathanBLawrence/status/985528929665585154", "985528929665585154")</f>
        <v/>
      </c>
      <c r="B2914" s="2" t="n">
        <v>43205.61320601852</v>
      </c>
      <c r="C2914" t="n">
        <v>5</v>
      </c>
      <c r="D2914" t="n">
        <v>2</v>
      </c>
      <c r="E2914" t="s">
        <v>2894</v>
      </c>
      <c r="F2914" t="s"/>
      <c r="G2914" t="s"/>
      <c r="H2914" t="s"/>
      <c r="I2914" t="s"/>
      <c r="J2914" t="n">
        <v>-0.631</v>
      </c>
      <c r="K2914" t="n">
        <v>0.202</v>
      </c>
      <c r="L2914" t="n">
        <v>0.72</v>
      </c>
      <c r="M2914" t="n">
        <v>0.078</v>
      </c>
    </row>
    <row r="2915" spans="1:13">
      <c r="A2915" s="1">
        <f>HYPERLINK("http://www.twitter.com/NathanBLawrence/status/985528628405587968", "985528628405587968")</f>
        <v/>
      </c>
      <c r="B2915" s="2" t="n">
        <v>43205.61237268519</v>
      </c>
      <c r="C2915" t="n">
        <v>0</v>
      </c>
      <c r="D2915" t="n">
        <v>8</v>
      </c>
      <c r="E2915" t="s">
        <v>2895</v>
      </c>
      <c r="F2915" t="s"/>
      <c r="G2915" t="s"/>
      <c r="H2915" t="s"/>
      <c r="I2915" t="s"/>
      <c r="J2915" t="n">
        <v>-0.128</v>
      </c>
      <c r="K2915" t="n">
        <v>0.113</v>
      </c>
      <c r="L2915" t="n">
        <v>0.792</v>
      </c>
      <c r="M2915" t="n">
        <v>0.094</v>
      </c>
    </row>
    <row r="2916" spans="1:13">
      <c r="A2916" s="1">
        <f>HYPERLINK("http://www.twitter.com/NathanBLawrence/status/985528599108349952", "985528599108349952")</f>
        <v/>
      </c>
      <c r="B2916" s="2" t="n">
        <v>43205.61229166666</v>
      </c>
      <c r="C2916" t="n">
        <v>0</v>
      </c>
      <c r="D2916" t="n">
        <v>0</v>
      </c>
      <c r="E2916" t="s">
        <v>2896</v>
      </c>
      <c r="F2916" t="s"/>
      <c r="G2916" t="s"/>
      <c r="H2916" t="s"/>
      <c r="I2916" t="s"/>
      <c r="J2916" t="n">
        <v>-0.296</v>
      </c>
      <c r="K2916" t="n">
        <v>0.355</v>
      </c>
      <c r="L2916" t="n">
        <v>0.645</v>
      </c>
      <c r="M2916" t="n">
        <v>0</v>
      </c>
    </row>
    <row r="2917" spans="1:13">
      <c r="A2917" s="1">
        <f>HYPERLINK("http://www.twitter.com/NathanBLawrence/status/985528533702365185", "985528533702365185")</f>
        <v/>
      </c>
      <c r="B2917" s="2" t="n">
        <v>43205.61211805556</v>
      </c>
      <c r="C2917" t="n">
        <v>0</v>
      </c>
      <c r="D2917" t="n">
        <v>11</v>
      </c>
      <c r="E2917" t="s">
        <v>2897</v>
      </c>
      <c r="F2917">
        <f>HYPERLINK("http://pbs.twimg.com/media/Da1Gda4V4AAeXB5.jpg", "http://pbs.twimg.com/media/Da1Gda4V4AAeXB5.jpg")</f>
        <v/>
      </c>
      <c r="G2917" t="s"/>
      <c r="H2917" t="s"/>
      <c r="I2917" t="s"/>
      <c r="J2917" t="n">
        <v>-0.5707</v>
      </c>
      <c r="K2917" t="n">
        <v>0.27</v>
      </c>
      <c r="L2917" t="n">
        <v>0.73</v>
      </c>
      <c r="M2917" t="n">
        <v>0</v>
      </c>
    </row>
    <row r="2918" spans="1:13">
      <c r="A2918" s="1">
        <f>HYPERLINK("http://www.twitter.com/NathanBLawrence/status/985528523493388289", "985528523493388289")</f>
        <v/>
      </c>
      <c r="B2918" s="2" t="n">
        <v>43205.61208333333</v>
      </c>
      <c r="C2918" t="n">
        <v>0</v>
      </c>
      <c r="D2918" t="n">
        <v>11</v>
      </c>
      <c r="E2918" t="s">
        <v>2898</v>
      </c>
      <c r="F2918">
        <f>HYPERLINK("http://pbs.twimg.com/media/Da1GMmXWsAA7yDI.jpg", "http://pbs.twimg.com/media/Da1GMmXWsAA7yDI.jpg")</f>
        <v/>
      </c>
      <c r="G2918" t="s"/>
      <c r="H2918" t="s"/>
      <c r="I2918" t="s"/>
      <c r="J2918" t="n">
        <v>0</v>
      </c>
      <c r="K2918" t="n">
        <v>0</v>
      </c>
      <c r="L2918" t="n">
        <v>1</v>
      </c>
      <c r="M2918" t="n">
        <v>0</v>
      </c>
    </row>
    <row r="2919" spans="1:13">
      <c r="A2919" s="1">
        <f>HYPERLINK("http://www.twitter.com/NathanBLawrence/status/985528511413800960", "985528511413800960")</f>
        <v/>
      </c>
      <c r="B2919" s="2" t="n">
        <v>43205.61206018519</v>
      </c>
      <c r="C2919" t="n">
        <v>0</v>
      </c>
      <c r="D2919" t="n">
        <v>8</v>
      </c>
      <c r="E2919" t="s">
        <v>2899</v>
      </c>
      <c r="F2919" t="s"/>
      <c r="G2919" t="s"/>
      <c r="H2919" t="s"/>
      <c r="I2919" t="s"/>
      <c r="J2919" t="n">
        <v>0.4939</v>
      </c>
      <c r="K2919" t="n">
        <v>0</v>
      </c>
      <c r="L2919" t="n">
        <v>0.856</v>
      </c>
      <c r="M2919" t="n">
        <v>0.144</v>
      </c>
    </row>
    <row r="2920" spans="1:13">
      <c r="A2920" s="1">
        <f>HYPERLINK("http://www.twitter.com/NathanBLawrence/status/985528501989183490", "985528501989183490")</f>
        <v/>
      </c>
      <c r="B2920" s="2" t="n">
        <v>43205.61202546296</v>
      </c>
      <c r="C2920" t="n">
        <v>0</v>
      </c>
      <c r="D2920" t="n">
        <v>3</v>
      </c>
      <c r="E2920" t="s">
        <v>2900</v>
      </c>
      <c r="F2920">
        <f>HYPERLINK("http://pbs.twimg.com/media/Da1HPwTU0AAcFo6.jpg", "http://pbs.twimg.com/media/Da1HPwTU0AAcFo6.jpg")</f>
        <v/>
      </c>
      <c r="G2920" t="s"/>
      <c r="H2920" t="s"/>
      <c r="I2920" t="s"/>
      <c r="J2920" t="n">
        <v>0</v>
      </c>
      <c r="K2920" t="n">
        <v>0</v>
      </c>
      <c r="L2920" t="n">
        <v>1</v>
      </c>
      <c r="M2920" t="n">
        <v>0</v>
      </c>
    </row>
    <row r="2921" spans="1:13">
      <c r="A2921" s="1">
        <f>HYPERLINK("http://www.twitter.com/NathanBLawrence/status/985528488743579649", "985528488743579649")</f>
        <v/>
      </c>
      <c r="B2921" s="2" t="n">
        <v>43205.61199074074</v>
      </c>
      <c r="C2921" t="n">
        <v>0</v>
      </c>
      <c r="D2921" t="n">
        <v>3</v>
      </c>
      <c r="E2921" t="s">
        <v>2901</v>
      </c>
      <c r="F2921" t="s"/>
      <c r="G2921" t="s"/>
      <c r="H2921" t="s"/>
      <c r="I2921" t="s"/>
      <c r="J2921" t="n">
        <v>-0.6369</v>
      </c>
      <c r="K2921" t="n">
        <v>0.257</v>
      </c>
      <c r="L2921" t="n">
        <v>0.743</v>
      </c>
      <c r="M2921" t="n">
        <v>0</v>
      </c>
    </row>
    <row r="2922" spans="1:13">
      <c r="A2922" s="1">
        <f>HYPERLINK("http://www.twitter.com/NathanBLawrence/status/985528476500418561", "985528476500418561")</f>
        <v/>
      </c>
      <c r="B2922" s="2" t="n">
        <v>43205.61195601852</v>
      </c>
      <c r="C2922" t="n">
        <v>0</v>
      </c>
      <c r="D2922" t="n">
        <v>11</v>
      </c>
      <c r="E2922" t="s">
        <v>2902</v>
      </c>
      <c r="F2922" t="s"/>
      <c r="G2922" t="s"/>
      <c r="H2922" t="s"/>
      <c r="I2922" t="s"/>
      <c r="J2922" t="n">
        <v>0.5147</v>
      </c>
      <c r="K2922" t="n">
        <v>0.137</v>
      </c>
      <c r="L2922" t="n">
        <v>0.612</v>
      </c>
      <c r="M2922" t="n">
        <v>0.25</v>
      </c>
    </row>
    <row r="2923" spans="1:13">
      <c r="A2923" s="1">
        <f>HYPERLINK("http://www.twitter.com/NathanBLawrence/status/985502290168700929", "985502290168700929")</f>
        <v/>
      </c>
      <c r="B2923" s="2" t="n">
        <v>43205.53969907408</v>
      </c>
      <c r="C2923" t="n">
        <v>0</v>
      </c>
      <c r="D2923" t="n">
        <v>7</v>
      </c>
      <c r="E2923" t="s">
        <v>2903</v>
      </c>
      <c r="F2923" t="s"/>
      <c r="G2923" t="s"/>
      <c r="H2923" t="s"/>
      <c r="I2923" t="s"/>
      <c r="J2923" t="n">
        <v>-0.9006</v>
      </c>
      <c r="K2923" t="n">
        <v>0.367</v>
      </c>
      <c r="L2923" t="n">
        <v>0.633</v>
      </c>
      <c r="M2923" t="n">
        <v>0</v>
      </c>
    </row>
    <row r="2924" spans="1:13">
      <c r="A2924" s="1">
        <f>HYPERLINK("http://www.twitter.com/NathanBLawrence/status/985502229510672385", "985502229510672385")</f>
        <v/>
      </c>
      <c r="B2924" s="2" t="n">
        <v>43205.53952546296</v>
      </c>
      <c r="C2924" t="n">
        <v>0</v>
      </c>
      <c r="D2924" t="n">
        <v>7</v>
      </c>
      <c r="E2924" t="s">
        <v>2904</v>
      </c>
      <c r="F2924" t="s"/>
      <c r="G2924" t="s"/>
      <c r="H2924" t="s"/>
      <c r="I2924" t="s"/>
      <c r="J2924" t="n">
        <v>-0.4199</v>
      </c>
      <c r="K2924" t="n">
        <v>0.152</v>
      </c>
      <c r="L2924" t="n">
        <v>0.79</v>
      </c>
      <c r="M2924" t="n">
        <v>0.058</v>
      </c>
    </row>
    <row r="2925" spans="1:13">
      <c r="A2925" s="1">
        <f>HYPERLINK("http://www.twitter.com/NathanBLawrence/status/985502172275240960", "985502172275240960")</f>
        <v/>
      </c>
      <c r="B2925" s="2" t="n">
        <v>43205.539375</v>
      </c>
      <c r="C2925" t="n">
        <v>0</v>
      </c>
      <c r="D2925" t="n">
        <v>0</v>
      </c>
      <c r="E2925" t="s">
        <v>2905</v>
      </c>
      <c r="F2925" t="s"/>
      <c r="G2925" t="s"/>
      <c r="H2925" t="s"/>
      <c r="I2925" t="s"/>
      <c r="J2925" t="n">
        <v>-0.4588</v>
      </c>
      <c r="K2925" t="n">
        <v>0.273</v>
      </c>
      <c r="L2925" t="n">
        <v>0.727</v>
      </c>
      <c r="M2925" t="n">
        <v>0</v>
      </c>
    </row>
    <row r="2926" spans="1:13">
      <c r="A2926" s="1">
        <f>HYPERLINK("http://www.twitter.com/NathanBLawrence/status/985502138691354628", "985502138691354628")</f>
        <v/>
      </c>
      <c r="B2926" s="2" t="n">
        <v>43205.53928240741</v>
      </c>
      <c r="C2926" t="n">
        <v>0</v>
      </c>
      <c r="D2926" t="n">
        <v>6</v>
      </c>
      <c r="E2926" t="s">
        <v>2906</v>
      </c>
      <c r="F2926" t="s"/>
      <c r="G2926" t="s"/>
      <c r="H2926" t="s"/>
      <c r="I2926" t="s"/>
      <c r="J2926" t="n">
        <v>-0.1027</v>
      </c>
      <c r="K2926" t="n">
        <v>0.142</v>
      </c>
      <c r="L2926" t="n">
        <v>0.735</v>
      </c>
      <c r="M2926" t="n">
        <v>0.123</v>
      </c>
    </row>
    <row r="2927" spans="1:13">
      <c r="A2927" s="1">
        <f>HYPERLINK("http://www.twitter.com/NathanBLawrence/status/985502108031086592", "985502108031086592")</f>
        <v/>
      </c>
      <c r="B2927" s="2" t="n">
        <v>43205.53918981482</v>
      </c>
      <c r="C2927" t="n">
        <v>0</v>
      </c>
      <c r="D2927" t="n">
        <v>6</v>
      </c>
      <c r="E2927" t="s">
        <v>2907</v>
      </c>
      <c r="F2927">
        <f>HYPERLINK("https://video.twimg.com/ext_tw_video/985357649582739457/pu/vid/1280x720/rBE9umt-tmxdS1Ag.mp4?tag=2", "https://video.twimg.com/ext_tw_video/985357649582739457/pu/vid/1280x720/rBE9umt-tmxdS1Ag.mp4?tag=2")</f>
        <v/>
      </c>
      <c r="G2927" t="s"/>
      <c r="H2927" t="s"/>
      <c r="I2927" t="s"/>
      <c r="J2927" t="n">
        <v>0.762</v>
      </c>
      <c r="K2927" t="n">
        <v>0</v>
      </c>
      <c r="L2927" t="n">
        <v>0.743</v>
      </c>
      <c r="M2927" t="n">
        <v>0.257</v>
      </c>
    </row>
    <row r="2928" spans="1:13">
      <c r="A2928" s="1">
        <f>HYPERLINK("http://www.twitter.com/NathanBLawrence/status/985502089089568768", "985502089089568768")</f>
        <v/>
      </c>
      <c r="B2928" s="2" t="n">
        <v>43205.53914351852</v>
      </c>
      <c r="C2928" t="n">
        <v>0</v>
      </c>
      <c r="D2928" t="n">
        <v>5</v>
      </c>
      <c r="E2928" t="s">
        <v>2908</v>
      </c>
      <c r="F2928" t="s"/>
      <c r="G2928" t="s"/>
      <c r="H2928" t="s"/>
      <c r="I2928" t="s"/>
      <c r="J2928" t="n">
        <v>-0.4927</v>
      </c>
      <c r="K2928" t="n">
        <v>0.181</v>
      </c>
      <c r="L2928" t="n">
        <v>0.819</v>
      </c>
      <c r="M2928" t="n">
        <v>0</v>
      </c>
    </row>
    <row r="2929" spans="1:13">
      <c r="A2929" s="1">
        <f>HYPERLINK("http://www.twitter.com/NathanBLawrence/status/985502072450764800", "985502072450764800")</f>
        <v/>
      </c>
      <c r="B2929" s="2" t="n">
        <v>43205.53909722222</v>
      </c>
      <c r="C2929" t="n">
        <v>0</v>
      </c>
      <c r="D2929" t="n">
        <v>9</v>
      </c>
      <c r="E2929" t="s">
        <v>2909</v>
      </c>
      <c r="F2929" t="s"/>
      <c r="G2929" t="s"/>
      <c r="H2929" t="s"/>
      <c r="I2929" t="s"/>
      <c r="J2929" t="n">
        <v>0.4466</v>
      </c>
      <c r="K2929" t="n">
        <v>0</v>
      </c>
      <c r="L2929" t="n">
        <v>0.86</v>
      </c>
      <c r="M2929" t="n">
        <v>0.14</v>
      </c>
    </row>
    <row r="2930" spans="1:13">
      <c r="A2930" s="1">
        <f>HYPERLINK("http://www.twitter.com/NathanBLawrence/status/985502059041579008", "985502059041579008")</f>
        <v/>
      </c>
      <c r="B2930" s="2" t="n">
        <v>43205.5390625</v>
      </c>
      <c r="C2930" t="n">
        <v>0</v>
      </c>
      <c r="D2930" t="n">
        <v>7</v>
      </c>
      <c r="E2930" t="s">
        <v>2910</v>
      </c>
      <c r="F2930" t="s"/>
      <c r="G2930" t="s"/>
      <c r="H2930" t="s"/>
      <c r="I2930" t="s"/>
      <c r="J2930" t="n">
        <v>0.1531</v>
      </c>
      <c r="K2930" t="n">
        <v>0.096</v>
      </c>
      <c r="L2930" t="n">
        <v>0.783</v>
      </c>
      <c r="M2930" t="n">
        <v>0.122</v>
      </c>
    </row>
    <row r="2931" spans="1:13">
      <c r="A2931" s="1">
        <f>HYPERLINK("http://www.twitter.com/NathanBLawrence/status/985502019875213312", "985502019875213312")</f>
        <v/>
      </c>
      <c r="B2931" s="2" t="n">
        <v>43205.53894675926</v>
      </c>
      <c r="C2931" t="n">
        <v>0</v>
      </c>
      <c r="D2931" t="n">
        <v>6</v>
      </c>
      <c r="E2931" t="s">
        <v>2911</v>
      </c>
      <c r="F2931" t="s"/>
      <c r="G2931" t="s"/>
      <c r="H2931" t="s"/>
      <c r="I2931" t="s"/>
      <c r="J2931" t="n">
        <v>0</v>
      </c>
      <c r="K2931" t="n">
        <v>0</v>
      </c>
      <c r="L2931" t="n">
        <v>1</v>
      </c>
      <c r="M2931" t="n">
        <v>0</v>
      </c>
    </row>
    <row r="2932" spans="1:13">
      <c r="A2932" s="1">
        <f>HYPERLINK("http://www.twitter.com/NathanBLawrence/status/985501974606041088", "985501974606041088")</f>
        <v/>
      </c>
      <c r="B2932" s="2" t="n">
        <v>43205.53883101852</v>
      </c>
      <c r="C2932" t="n">
        <v>0</v>
      </c>
      <c r="D2932" t="n">
        <v>0</v>
      </c>
      <c r="E2932" t="s">
        <v>2912</v>
      </c>
      <c r="F2932" t="s"/>
      <c r="G2932" t="s"/>
      <c r="H2932" t="s"/>
      <c r="I2932" t="s"/>
      <c r="J2932" t="n">
        <v>0</v>
      </c>
      <c r="K2932" t="n">
        <v>0</v>
      </c>
      <c r="L2932" t="n">
        <v>1</v>
      </c>
      <c r="M2932" t="n">
        <v>0</v>
      </c>
    </row>
    <row r="2933" spans="1:13">
      <c r="A2933" s="1">
        <f>HYPERLINK("http://www.twitter.com/NathanBLawrence/status/985501958592188416", "985501958592188416")</f>
        <v/>
      </c>
      <c r="B2933" s="2" t="n">
        <v>43205.53878472222</v>
      </c>
      <c r="C2933" t="n">
        <v>0</v>
      </c>
      <c r="D2933" t="n">
        <v>3</v>
      </c>
      <c r="E2933" t="s">
        <v>2913</v>
      </c>
      <c r="F2933" t="s"/>
      <c r="G2933" t="s"/>
      <c r="H2933" t="s"/>
      <c r="I2933" t="s"/>
      <c r="J2933" t="n">
        <v>-0.5423</v>
      </c>
      <c r="K2933" t="n">
        <v>0.137</v>
      </c>
      <c r="L2933" t="n">
        <v>0.863</v>
      </c>
      <c r="M2933" t="n">
        <v>0</v>
      </c>
    </row>
    <row r="2934" spans="1:13">
      <c r="A2934" s="1">
        <f>HYPERLINK("http://www.twitter.com/NathanBLawrence/status/985501735761448960", "985501735761448960")</f>
        <v/>
      </c>
      <c r="B2934" s="2" t="n">
        <v>43205.5381712963</v>
      </c>
      <c r="C2934" t="n">
        <v>0</v>
      </c>
      <c r="D2934" t="n">
        <v>4</v>
      </c>
      <c r="E2934" t="s">
        <v>2914</v>
      </c>
      <c r="F2934" t="s"/>
      <c r="G2934" t="s"/>
      <c r="H2934" t="s"/>
      <c r="I2934" t="s"/>
      <c r="J2934" t="n">
        <v>-0.7003</v>
      </c>
      <c r="K2934" t="n">
        <v>0.266</v>
      </c>
      <c r="L2934" t="n">
        <v>0.734</v>
      </c>
      <c r="M2934" t="n">
        <v>0</v>
      </c>
    </row>
    <row r="2935" spans="1:13">
      <c r="A2935" s="1">
        <f>HYPERLINK("http://www.twitter.com/NathanBLawrence/status/985501705482752002", "985501705482752002")</f>
        <v/>
      </c>
      <c r="B2935" s="2" t="n">
        <v>43205.53807870371</v>
      </c>
      <c r="C2935" t="n">
        <v>0</v>
      </c>
      <c r="D2935" t="n">
        <v>3</v>
      </c>
      <c r="E2935" t="s">
        <v>2915</v>
      </c>
      <c r="F2935" t="s"/>
      <c r="G2935" t="s"/>
      <c r="H2935" t="s"/>
      <c r="I2935" t="s"/>
      <c r="J2935" t="n">
        <v>0</v>
      </c>
      <c r="K2935" t="n">
        <v>0</v>
      </c>
      <c r="L2935" t="n">
        <v>1</v>
      </c>
      <c r="M2935" t="n">
        <v>0</v>
      </c>
    </row>
    <row r="2936" spans="1:13">
      <c r="A2936" s="1">
        <f>HYPERLINK("http://www.twitter.com/NathanBLawrence/status/985501692794896389", "985501692794896389")</f>
        <v/>
      </c>
      <c r="B2936" s="2" t="n">
        <v>43205.53804398148</v>
      </c>
      <c r="C2936" t="n">
        <v>0</v>
      </c>
      <c r="D2936" t="n">
        <v>7</v>
      </c>
      <c r="E2936" t="s">
        <v>2916</v>
      </c>
      <c r="F2936" t="s"/>
      <c r="G2936" t="s"/>
      <c r="H2936" t="s"/>
      <c r="I2936" t="s"/>
      <c r="J2936" t="n">
        <v>-0.3382</v>
      </c>
      <c r="K2936" t="n">
        <v>0.197</v>
      </c>
      <c r="L2936" t="n">
        <v>0.657</v>
      </c>
      <c r="M2936" t="n">
        <v>0.146</v>
      </c>
    </row>
    <row r="2937" spans="1:13">
      <c r="A2937" s="1">
        <f>HYPERLINK("http://www.twitter.com/NathanBLawrence/status/985501679922679808", "985501679922679808")</f>
        <v/>
      </c>
      <c r="B2937" s="2" t="n">
        <v>43205.53800925926</v>
      </c>
      <c r="C2937" t="n">
        <v>0</v>
      </c>
      <c r="D2937" t="n">
        <v>7</v>
      </c>
      <c r="E2937" t="s">
        <v>2917</v>
      </c>
      <c r="F2937" t="s"/>
      <c r="G2937" t="s"/>
      <c r="H2937" t="s"/>
      <c r="I2937" t="s"/>
      <c r="J2937" t="n">
        <v>-0.0258</v>
      </c>
      <c r="K2937" t="n">
        <v>0.118</v>
      </c>
      <c r="L2937" t="n">
        <v>0.8120000000000001</v>
      </c>
      <c r="M2937" t="n">
        <v>0.07099999999999999</v>
      </c>
    </row>
    <row r="2938" spans="1:13">
      <c r="A2938" s="1">
        <f>HYPERLINK("http://www.twitter.com/NathanBLawrence/status/985501667180376064", "985501667180376064")</f>
        <v/>
      </c>
      <c r="B2938" s="2" t="n">
        <v>43205.53797453704</v>
      </c>
      <c r="C2938" t="n">
        <v>0</v>
      </c>
      <c r="D2938" t="n">
        <v>12</v>
      </c>
      <c r="E2938" t="s">
        <v>2918</v>
      </c>
      <c r="F2938">
        <f>HYPERLINK("http://pbs.twimg.com/media/Dax_fzWXkAAPVeH.jpg", "http://pbs.twimg.com/media/Dax_fzWXkAAPVeH.jpg")</f>
        <v/>
      </c>
      <c r="G2938" t="s"/>
      <c r="H2938" t="s"/>
      <c r="I2938" t="s"/>
      <c r="J2938" t="n">
        <v>0</v>
      </c>
      <c r="K2938" t="n">
        <v>0</v>
      </c>
      <c r="L2938" t="n">
        <v>1</v>
      </c>
      <c r="M2938" t="n">
        <v>0</v>
      </c>
    </row>
    <row r="2939" spans="1:13">
      <c r="A2939" s="1">
        <f>HYPERLINK("http://www.twitter.com/NathanBLawrence/status/985501657390813184", "985501657390813184")</f>
        <v/>
      </c>
      <c r="B2939" s="2" t="n">
        <v>43205.53795138889</v>
      </c>
      <c r="C2939" t="n">
        <v>0</v>
      </c>
      <c r="D2939" t="n">
        <v>6</v>
      </c>
      <c r="E2939" t="s">
        <v>2919</v>
      </c>
      <c r="F2939" t="s"/>
      <c r="G2939" t="s"/>
      <c r="H2939" t="s"/>
      <c r="I2939" t="s"/>
      <c r="J2939" t="n">
        <v>-0.793</v>
      </c>
      <c r="K2939" t="n">
        <v>0.439</v>
      </c>
      <c r="L2939" t="n">
        <v>0.5610000000000001</v>
      </c>
      <c r="M2939" t="n">
        <v>0</v>
      </c>
    </row>
    <row r="2940" spans="1:13">
      <c r="A2940" s="1">
        <f>HYPERLINK("http://www.twitter.com/NathanBLawrence/status/985501646926106624", "985501646926106624")</f>
        <v/>
      </c>
      <c r="B2940" s="2" t="n">
        <v>43205.53792824074</v>
      </c>
      <c r="C2940" t="n">
        <v>0</v>
      </c>
      <c r="D2940" t="n">
        <v>58</v>
      </c>
      <c r="E2940" t="s">
        <v>2920</v>
      </c>
      <c r="F2940" t="s"/>
      <c r="G2940" t="s"/>
      <c r="H2940" t="s"/>
      <c r="I2940" t="s"/>
      <c r="J2940" t="n">
        <v>-0.128</v>
      </c>
      <c r="K2940" t="n">
        <v>0.097</v>
      </c>
      <c r="L2940" t="n">
        <v>0.903</v>
      </c>
      <c r="M2940" t="n">
        <v>0</v>
      </c>
    </row>
    <row r="2941" spans="1:13">
      <c r="A2941" s="1">
        <f>HYPERLINK("http://www.twitter.com/NathanBLawrence/status/985501634733264896", "985501634733264896")</f>
        <v/>
      </c>
      <c r="B2941" s="2" t="n">
        <v>43205.53789351852</v>
      </c>
      <c r="C2941" t="n">
        <v>0</v>
      </c>
      <c r="D2941" t="n">
        <v>4</v>
      </c>
      <c r="E2941" t="s">
        <v>2921</v>
      </c>
      <c r="F2941" t="s"/>
      <c r="G2941" t="s"/>
      <c r="H2941" t="s"/>
      <c r="I2941" t="s"/>
      <c r="J2941" t="n">
        <v>0.4084</v>
      </c>
      <c r="K2941" t="n">
        <v>0.052</v>
      </c>
      <c r="L2941" t="n">
        <v>0.821</v>
      </c>
      <c r="M2941" t="n">
        <v>0.127</v>
      </c>
    </row>
    <row r="2942" spans="1:13">
      <c r="A2942" s="1">
        <f>HYPERLINK("http://www.twitter.com/NathanBLawrence/status/985501616056033280", "985501616056033280")</f>
        <v/>
      </c>
      <c r="B2942" s="2" t="n">
        <v>43205.53783564815</v>
      </c>
      <c r="C2942" t="n">
        <v>0</v>
      </c>
      <c r="D2942" t="n">
        <v>6</v>
      </c>
      <c r="E2942" t="s">
        <v>2922</v>
      </c>
      <c r="F2942" t="s"/>
      <c r="G2942" t="s"/>
      <c r="H2942" t="s"/>
      <c r="I2942" t="s"/>
      <c r="J2942" t="n">
        <v>0</v>
      </c>
      <c r="K2942" t="n">
        <v>0</v>
      </c>
      <c r="L2942" t="n">
        <v>1</v>
      </c>
      <c r="M2942" t="n">
        <v>0</v>
      </c>
    </row>
    <row r="2943" spans="1:13">
      <c r="A2943" s="1">
        <f>HYPERLINK("http://www.twitter.com/NathanBLawrence/status/985501603494088704", "985501603494088704")</f>
        <v/>
      </c>
      <c r="B2943" s="2" t="n">
        <v>43205.53780092593</v>
      </c>
      <c r="C2943" t="n">
        <v>0</v>
      </c>
      <c r="D2943" t="n">
        <v>12</v>
      </c>
      <c r="E2943" t="s">
        <v>2923</v>
      </c>
      <c r="F2943" t="s"/>
      <c r="G2943" t="s"/>
      <c r="H2943" t="s"/>
      <c r="I2943" t="s"/>
      <c r="J2943" t="n">
        <v>-0.4588</v>
      </c>
      <c r="K2943" t="n">
        <v>0.15</v>
      </c>
      <c r="L2943" t="n">
        <v>0.85</v>
      </c>
      <c r="M2943" t="n">
        <v>0</v>
      </c>
    </row>
    <row r="2944" spans="1:13">
      <c r="A2944" s="1">
        <f>HYPERLINK("http://www.twitter.com/NathanBLawrence/status/985501589225066496", "985501589225066496")</f>
        <v/>
      </c>
      <c r="B2944" s="2" t="n">
        <v>43205.53776620371</v>
      </c>
      <c r="C2944" t="n">
        <v>0</v>
      </c>
      <c r="D2944" t="n">
        <v>8</v>
      </c>
      <c r="E2944" t="s">
        <v>2924</v>
      </c>
      <c r="F2944" t="s"/>
      <c r="G2944" t="s"/>
      <c r="H2944" t="s"/>
      <c r="I2944" t="s"/>
      <c r="J2944" t="n">
        <v>0.0772</v>
      </c>
      <c r="K2944" t="n">
        <v>0</v>
      </c>
      <c r="L2944" t="n">
        <v>0.9330000000000001</v>
      </c>
      <c r="M2944" t="n">
        <v>0.067</v>
      </c>
    </row>
    <row r="2945" spans="1:13">
      <c r="A2945" s="1">
        <f>HYPERLINK("http://www.twitter.com/NathanBLawrence/status/985501577585876992", "985501577585876992")</f>
        <v/>
      </c>
      <c r="B2945" s="2" t="n">
        <v>43205.53773148148</v>
      </c>
      <c r="C2945" t="n">
        <v>0</v>
      </c>
      <c r="D2945" t="n">
        <v>4</v>
      </c>
      <c r="E2945" t="s">
        <v>2925</v>
      </c>
      <c r="F2945">
        <f>HYPERLINK("http://pbs.twimg.com/media/Day3AvBXkAA2EcG.jpg", "http://pbs.twimg.com/media/Day3AvBXkAA2EcG.jpg")</f>
        <v/>
      </c>
      <c r="G2945" t="s"/>
      <c r="H2945" t="s"/>
      <c r="I2945" t="s"/>
      <c r="J2945" t="n">
        <v>0.1511</v>
      </c>
      <c r="K2945" t="n">
        <v>0.08799999999999999</v>
      </c>
      <c r="L2945" t="n">
        <v>0.799</v>
      </c>
      <c r="M2945" t="n">
        <v>0.113</v>
      </c>
    </row>
    <row r="2946" spans="1:13">
      <c r="A2946" s="1">
        <f>HYPERLINK("http://www.twitter.com/NathanBLawrence/status/985501560137486336", "985501560137486336")</f>
        <v/>
      </c>
      <c r="B2946" s="2" t="n">
        <v>43205.53768518518</v>
      </c>
      <c r="C2946" t="n">
        <v>0</v>
      </c>
      <c r="D2946" t="n">
        <v>7</v>
      </c>
      <c r="E2946" t="s">
        <v>2926</v>
      </c>
      <c r="F2946" t="s"/>
      <c r="G2946" t="s"/>
      <c r="H2946" t="s"/>
      <c r="I2946" t="s"/>
      <c r="J2946" t="n">
        <v>0.6157</v>
      </c>
      <c r="K2946" t="n">
        <v>0.105</v>
      </c>
      <c r="L2946" t="n">
        <v>0.601</v>
      </c>
      <c r="M2946" t="n">
        <v>0.294</v>
      </c>
    </row>
    <row r="2947" spans="1:13">
      <c r="A2947" s="1">
        <f>HYPERLINK("http://www.twitter.com/NathanBLawrence/status/985501542936662016", "985501542936662016")</f>
        <v/>
      </c>
      <c r="B2947" s="2" t="n">
        <v>43205.53763888889</v>
      </c>
      <c r="C2947" t="n">
        <v>0</v>
      </c>
      <c r="D2947" t="n">
        <v>5</v>
      </c>
      <c r="E2947" t="s">
        <v>2927</v>
      </c>
      <c r="F2947" t="s"/>
      <c r="G2947" t="s"/>
      <c r="H2947" t="s"/>
      <c r="I2947" t="s"/>
      <c r="J2947" t="n">
        <v>0</v>
      </c>
      <c r="K2947" t="n">
        <v>0</v>
      </c>
      <c r="L2947" t="n">
        <v>1</v>
      </c>
      <c r="M2947" t="n">
        <v>0</v>
      </c>
    </row>
    <row r="2948" spans="1:13">
      <c r="A2948" s="1">
        <f>HYPERLINK("http://www.twitter.com/NathanBLawrence/status/985501506421043202", "985501506421043202")</f>
        <v/>
      </c>
      <c r="B2948" s="2" t="n">
        <v>43205.53753472222</v>
      </c>
      <c r="C2948" t="n">
        <v>0</v>
      </c>
      <c r="D2948" t="n">
        <v>8</v>
      </c>
      <c r="E2948" t="s">
        <v>2928</v>
      </c>
      <c r="F2948" t="s"/>
      <c r="G2948" t="s"/>
      <c r="H2948" t="s"/>
      <c r="I2948" t="s"/>
      <c r="J2948" t="n">
        <v>0</v>
      </c>
      <c r="K2948" t="n">
        <v>0</v>
      </c>
      <c r="L2948" t="n">
        <v>1</v>
      </c>
      <c r="M2948" t="n">
        <v>0</v>
      </c>
    </row>
    <row r="2949" spans="1:13">
      <c r="A2949" s="1">
        <f>HYPERLINK("http://www.twitter.com/NathanBLawrence/status/985501485583732738", "985501485583732738")</f>
        <v/>
      </c>
      <c r="B2949" s="2" t="n">
        <v>43205.53747685185</v>
      </c>
      <c r="C2949" t="n">
        <v>0</v>
      </c>
      <c r="D2949" t="n">
        <v>7</v>
      </c>
      <c r="E2949" t="s">
        <v>2929</v>
      </c>
      <c r="F2949" t="s"/>
      <c r="G2949" t="s"/>
      <c r="H2949" t="s"/>
      <c r="I2949" t="s"/>
      <c r="J2949" t="n">
        <v>-0.8316</v>
      </c>
      <c r="K2949" t="n">
        <v>0.291</v>
      </c>
      <c r="L2949" t="n">
        <v>0.709</v>
      </c>
      <c r="M2949" t="n">
        <v>0</v>
      </c>
    </row>
    <row r="2950" spans="1:13">
      <c r="A2950" s="1">
        <f>HYPERLINK("http://www.twitter.com/NathanBLawrence/status/985501476268199936", "985501476268199936")</f>
        <v/>
      </c>
      <c r="B2950" s="2" t="n">
        <v>43205.53745370371</v>
      </c>
      <c r="C2950" t="n">
        <v>0</v>
      </c>
      <c r="D2950" t="n">
        <v>5</v>
      </c>
      <c r="E2950" t="s">
        <v>2930</v>
      </c>
      <c r="F2950">
        <f>HYPERLINK("http://pbs.twimg.com/media/DaxIzMzX0AAF5zR.jpg", "http://pbs.twimg.com/media/DaxIzMzX0AAF5zR.jpg")</f>
        <v/>
      </c>
      <c r="G2950" t="s"/>
      <c r="H2950" t="s"/>
      <c r="I2950" t="s"/>
      <c r="J2950" t="n">
        <v>-0.296</v>
      </c>
      <c r="K2950" t="n">
        <v>0.099</v>
      </c>
      <c r="L2950" t="n">
        <v>0.901</v>
      </c>
      <c r="M2950" t="n">
        <v>0</v>
      </c>
    </row>
    <row r="2951" spans="1:13">
      <c r="A2951" s="1">
        <f>HYPERLINK("http://www.twitter.com/NathanBLawrence/status/985501463978872832", "985501463978872832")</f>
        <v/>
      </c>
      <c r="B2951" s="2" t="n">
        <v>43205.53741898148</v>
      </c>
      <c r="C2951" t="n">
        <v>0</v>
      </c>
      <c r="D2951" t="n">
        <v>9</v>
      </c>
      <c r="E2951" t="s">
        <v>2931</v>
      </c>
      <c r="F2951">
        <f>HYPERLINK("http://pbs.twimg.com/media/Dayu35QUQAA1F3w.jpg", "http://pbs.twimg.com/media/Dayu35QUQAA1F3w.jpg")</f>
        <v/>
      </c>
      <c r="G2951" t="s"/>
      <c r="H2951" t="s"/>
      <c r="I2951" t="s"/>
      <c r="J2951" t="n">
        <v>0</v>
      </c>
      <c r="K2951" t="n">
        <v>0</v>
      </c>
      <c r="L2951" t="n">
        <v>1</v>
      </c>
      <c r="M2951" t="n">
        <v>0</v>
      </c>
    </row>
    <row r="2952" spans="1:13">
      <c r="A2952" s="1">
        <f>HYPERLINK("http://www.twitter.com/NathanBLawrence/status/985501450586509312", "985501450586509312")</f>
        <v/>
      </c>
      <c r="B2952" s="2" t="n">
        <v>43205.53738425926</v>
      </c>
      <c r="C2952" t="n">
        <v>0</v>
      </c>
      <c r="D2952" t="n">
        <v>8</v>
      </c>
      <c r="E2952" t="s">
        <v>2932</v>
      </c>
      <c r="F2952">
        <f>HYPERLINK("http://pbs.twimg.com/media/DaxM0HgXcAE4UV9.jpg", "http://pbs.twimg.com/media/DaxM0HgXcAE4UV9.jpg")</f>
        <v/>
      </c>
      <c r="G2952">
        <f>HYPERLINK("http://pbs.twimg.com/media/DaxM0HdX0AEX3X6.jpg", "http://pbs.twimg.com/media/DaxM0HdX0AEX3X6.jpg")</f>
        <v/>
      </c>
      <c r="H2952" t="s"/>
      <c r="I2952" t="s"/>
      <c r="J2952" t="n">
        <v>0</v>
      </c>
      <c r="K2952" t="n">
        <v>0</v>
      </c>
      <c r="L2952" t="n">
        <v>1</v>
      </c>
      <c r="M2952" t="n">
        <v>0</v>
      </c>
    </row>
    <row r="2953" spans="1:13">
      <c r="A2953" s="1">
        <f>HYPERLINK("http://www.twitter.com/NathanBLawrence/status/985501424141455366", "985501424141455366")</f>
        <v/>
      </c>
      <c r="B2953" s="2" t="n">
        <v>43205.53730324074</v>
      </c>
      <c r="C2953" t="n">
        <v>0</v>
      </c>
      <c r="D2953" t="n">
        <v>0</v>
      </c>
      <c r="E2953" t="s">
        <v>2933</v>
      </c>
      <c r="F2953" t="s"/>
      <c r="G2953" t="s"/>
      <c r="H2953" t="s"/>
      <c r="I2953" t="s"/>
      <c r="J2953" t="n">
        <v>-0.1779</v>
      </c>
      <c r="K2953" t="n">
        <v>0.248</v>
      </c>
      <c r="L2953" t="n">
        <v>0.5600000000000001</v>
      </c>
      <c r="M2953" t="n">
        <v>0.192</v>
      </c>
    </row>
    <row r="2954" spans="1:13">
      <c r="A2954" s="1">
        <f>HYPERLINK("http://www.twitter.com/NathanBLawrence/status/985501303970385920", "985501303970385920")</f>
        <v/>
      </c>
      <c r="B2954" s="2" t="n">
        <v>43205.53697916667</v>
      </c>
      <c r="C2954" t="n">
        <v>0</v>
      </c>
      <c r="D2954" t="n">
        <v>7</v>
      </c>
      <c r="E2954" t="s">
        <v>2934</v>
      </c>
      <c r="F2954" t="s"/>
      <c r="G2954" t="s"/>
      <c r="H2954" t="s"/>
      <c r="I2954" t="s"/>
      <c r="J2954" t="n">
        <v>-0.2732</v>
      </c>
      <c r="K2954" t="n">
        <v>0.1</v>
      </c>
      <c r="L2954" t="n">
        <v>0.9</v>
      </c>
      <c r="M2954" t="n">
        <v>0</v>
      </c>
    </row>
    <row r="2955" spans="1:13">
      <c r="A2955" s="1">
        <f>HYPERLINK("http://www.twitter.com/NathanBLawrence/status/985501284806660096", "985501284806660096")</f>
        <v/>
      </c>
      <c r="B2955" s="2" t="n">
        <v>43205.5369212963</v>
      </c>
      <c r="C2955" t="n">
        <v>0</v>
      </c>
      <c r="D2955" t="n">
        <v>8</v>
      </c>
      <c r="E2955" t="s">
        <v>2935</v>
      </c>
      <c r="F2955">
        <f>HYPERLINK("http://pbs.twimg.com/media/DaxCDZmXkAAw0yD.jpg", "http://pbs.twimg.com/media/DaxCDZmXkAAw0yD.jpg")</f>
        <v/>
      </c>
      <c r="G2955" t="s"/>
      <c r="H2955" t="s"/>
      <c r="I2955" t="s"/>
      <c r="J2955" t="n">
        <v>-0.4995</v>
      </c>
      <c r="K2955" t="n">
        <v>0.227</v>
      </c>
      <c r="L2955" t="n">
        <v>0.773</v>
      </c>
      <c r="M2955" t="n">
        <v>0</v>
      </c>
    </row>
    <row r="2956" spans="1:13">
      <c r="A2956" s="1">
        <f>HYPERLINK("http://www.twitter.com/NathanBLawrence/status/985501267186339846", "985501267186339846")</f>
        <v/>
      </c>
      <c r="B2956" s="2" t="n">
        <v>43205.536875</v>
      </c>
      <c r="C2956" t="n">
        <v>0</v>
      </c>
      <c r="D2956" t="n">
        <v>11</v>
      </c>
      <c r="E2956" t="s">
        <v>2936</v>
      </c>
      <c r="F2956" t="s"/>
      <c r="G2956" t="s"/>
      <c r="H2956" t="s"/>
      <c r="I2956" t="s"/>
      <c r="J2956" t="n">
        <v>0</v>
      </c>
      <c r="K2956" t="n">
        <v>0</v>
      </c>
      <c r="L2956" t="n">
        <v>1</v>
      </c>
      <c r="M2956" t="n">
        <v>0</v>
      </c>
    </row>
    <row r="2957" spans="1:13">
      <c r="A2957" s="1">
        <f>HYPERLINK("http://www.twitter.com/NathanBLawrence/status/985501238044356608", "985501238044356608")</f>
        <v/>
      </c>
      <c r="B2957" s="2" t="n">
        <v>43205.53679398148</v>
      </c>
      <c r="C2957" t="n">
        <v>0</v>
      </c>
      <c r="D2957" t="n">
        <v>5</v>
      </c>
      <c r="E2957" t="s">
        <v>2937</v>
      </c>
      <c r="F2957" t="s"/>
      <c r="G2957" t="s"/>
      <c r="H2957" t="s"/>
      <c r="I2957" t="s"/>
      <c r="J2957" t="n">
        <v>-0.4084</v>
      </c>
      <c r="K2957" t="n">
        <v>0.229</v>
      </c>
      <c r="L2957" t="n">
        <v>0.675</v>
      </c>
      <c r="M2957" t="n">
        <v>0.096</v>
      </c>
    </row>
    <row r="2958" spans="1:13">
      <c r="A2958" s="1">
        <f>HYPERLINK("http://www.twitter.com/NathanBLawrence/status/985501227126489094", "985501227126489094")</f>
        <v/>
      </c>
      <c r="B2958" s="2" t="n">
        <v>43205.53675925926</v>
      </c>
      <c r="C2958" t="n">
        <v>0</v>
      </c>
      <c r="D2958" t="n">
        <v>9</v>
      </c>
      <c r="E2958" t="s">
        <v>2938</v>
      </c>
      <c r="F2958" t="s"/>
      <c r="G2958" t="s"/>
      <c r="H2958" t="s"/>
      <c r="I2958" t="s"/>
      <c r="J2958" t="n">
        <v>-0.0936</v>
      </c>
      <c r="K2958" t="n">
        <v>0.202</v>
      </c>
      <c r="L2958" t="n">
        <v>0.61</v>
      </c>
      <c r="M2958" t="n">
        <v>0.188</v>
      </c>
    </row>
    <row r="2959" spans="1:13">
      <c r="A2959" s="1">
        <f>HYPERLINK("http://www.twitter.com/NathanBLawrence/status/985501211360153600", "985501211360153600")</f>
        <v/>
      </c>
      <c r="B2959" s="2" t="n">
        <v>43205.53672453704</v>
      </c>
      <c r="C2959" t="n">
        <v>0</v>
      </c>
      <c r="D2959" t="n">
        <v>10</v>
      </c>
      <c r="E2959" t="s">
        <v>2939</v>
      </c>
      <c r="F2959">
        <f>HYPERLINK("http://pbs.twimg.com/media/DayWRs6WAAAB_Fq.jpg", "http://pbs.twimg.com/media/DayWRs6WAAAB_Fq.jpg")</f>
        <v/>
      </c>
      <c r="G2959" t="s"/>
      <c r="H2959" t="s"/>
      <c r="I2959" t="s"/>
      <c r="J2959" t="n">
        <v>-0.3612</v>
      </c>
      <c r="K2959" t="n">
        <v>0.128</v>
      </c>
      <c r="L2959" t="n">
        <v>0.872</v>
      </c>
      <c r="M2959" t="n">
        <v>0</v>
      </c>
    </row>
    <row r="2960" spans="1:13">
      <c r="A2960" s="1">
        <f>HYPERLINK("http://www.twitter.com/NathanBLawrence/status/985501192808812545", "985501192808812545")</f>
        <v/>
      </c>
      <c r="B2960" s="2" t="n">
        <v>43205.53666666667</v>
      </c>
      <c r="C2960" t="n">
        <v>0</v>
      </c>
      <c r="D2960" t="n">
        <v>11</v>
      </c>
      <c r="E2960" t="s">
        <v>2909</v>
      </c>
      <c r="F2960">
        <f>HYPERLINK("http://pbs.twimg.com/media/DawlNOsUQAAjSNH.jpg", "http://pbs.twimg.com/media/DawlNOsUQAAjSNH.jpg")</f>
        <v/>
      </c>
      <c r="G2960" t="s"/>
      <c r="H2960" t="s"/>
      <c r="I2960" t="s"/>
      <c r="J2960" t="n">
        <v>0.4466</v>
      </c>
      <c r="K2960" t="n">
        <v>0</v>
      </c>
      <c r="L2960" t="n">
        <v>0.86</v>
      </c>
      <c r="M2960" t="n">
        <v>0.14</v>
      </c>
    </row>
    <row r="2961" spans="1:13">
      <c r="A2961" s="1">
        <f>HYPERLINK("http://www.twitter.com/NathanBLawrence/status/985501179244437506", "985501179244437506")</f>
        <v/>
      </c>
      <c r="B2961" s="2" t="n">
        <v>43205.53663194444</v>
      </c>
      <c r="C2961" t="n">
        <v>0</v>
      </c>
      <c r="D2961" t="n">
        <v>14</v>
      </c>
      <c r="E2961" t="s">
        <v>2940</v>
      </c>
      <c r="F2961">
        <f>HYPERLINK("http://pbs.twimg.com/media/Davv9rQW4AAJZ-t.jpg", "http://pbs.twimg.com/media/Davv9rQW4AAJZ-t.jpg")</f>
        <v/>
      </c>
      <c r="G2961">
        <f>HYPERLINK("http://pbs.twimg.com/media/Davv-soXcAIBJc8.jpg", "http://pbs.twimg.com/media/Davv-soXcAIBJc8.jpg")</f>
        <v/>
      </c>
      <c r="H2961">
        <f>HYPERLINK("http://pbs.twimg.com/media/Davv_p4X0AAG7fX.jpg", "http://pbs.twimg.com/media/Davv_p4X0AAG7fX.jpg")</f>
        <v/>
      </c>
      <c r="I2961" t="s"/>
      <c r="J2961" t="n">
        <v>-0.6107</v>
      </c>
      <c r="K2961" t="n">
        <v>0.172</v>
      </c>
      <c r="L2961" t="n">
        <v>0.828</v>
      </c>
      <c r="M2961" t="n">
        <v>0</v>
      </c>
    </row>
    <row r="2962" spans="1:13">
      <c r="A2962" s="1">
        <f>HYPERLINK("http://www.twitter.com/NathanBLawrence/status/985501165981962240", "985501165981962240")</f>
        <v/>
      </c>
      <c r="B2962" s="2" t="n">
        <v>43205.53659722222</v>
      </c>
      <c r="C2962" t="n">
        <v>0</v>
      </c>
      <c r="D2962" t="n">
        <v>3</v>
      </c>
      <c r="E2962" t="s">
        <v>2941</v>
      </c>
      <c r="F2962" t="s"/>
      <c r="G2962" t="s"/>
      <c r="H2962" t="s"/>
      <c r="I2962" t="s"/>
      <c r="J2962" t="n">
        <v>-0.6908</v>
      </c>
      <c r="K2962" t="n">
        <v>0.222</v>
      </c>
      <c r="L2962" t="n">
        <v>0.778</v>
      </c>
      <c r="M2962" t="n">
        <v>0</v>
      </c>
    </row>
    <row r="2963" spans="1:13">
      <c r="A2963" s="1">
        <f>HYPERLINK("http://www.twitter.com/NathanBLawrence/status/985501151943708673", "985501151943708673")</f>
        <v/>
      </c>
      <c r="B2963" s="2" t="n">
        <v>43205.5365625</v>
      </c>
      <c r="C2963" t="n">
        <v>0</v>
      </c>
      <c r="D2963" t="n">
        <v>10</v>
      </c>
      <c r="E2963" t="s">
        <v>2942</v>
      </c>
      <c r="F2963" t="s"/>
      <c r="G2963" t="s"/>
      <c r="H2963" t="s"/>
      <c r="I2963" t="s"/>
      <c r="J2963" t="n">
        <v>0</v>
      </c>
      <c r="K2963" t="n">
        <v>0</v>
      </c>
      <c r="L2963" t="n">
        <v>1</v>
      </c>
      <c r="M2963" t="n">
        <v>0</v>
      </c>
    </row>
    <row r="2964" spans="1:13">
      <c r="A2964" s="1">
        <f>HYPERLINK("http://www.twitter.com/NathanBLawrence/status/985501125163053056", "985501125163053056")</f>
        <v/>
      </c>
      <c r="B2964" s="2" t="n">
        <v>43205.53648148148</v>
      </c>
      <c r="C2964" t="n">
        <v>0</v>
      </c>
      <c r="D2964" t="n">
        <v>78</v>
      </c>
      <c r="E2964" t="s">
        <v>2943</v>
      </c>
      <c r="F2964">
        <f>HYPERLINK("http://pbs.twimg.com/media/DayDMPFW4AABK_k.jpg", "http://pbs.twimg.com/media/DayDMPFW4AABK_k.jpg")</f>
        <v/>
      </c>
      <c r="G2964" t="s"/>
      <c r="H2964" t="s"/>
      <c r="I2964" t="s"/>
      <c r="J2964" t="n">
        <v>-0.5106000000000001</v>
      </c>
      <c r="K2964" t="n">
        <v>0.134</v>
      </c>
      <c r="L2964" t="n">
        <v>0.8179999999999999</v>
      </c>
      <c r="M2964" t="n">
        <v>0.048</v>
      </c>
    </row>
    <row r="2965" spans="1:13">
      <c r="A2965" s="1">
        <f>HYPERLINK("http://www.twitter.com/NathanBLawrence/status/985501102551568384", "985501102551568384")</f>
        <v/>
      </c>
      <c r="B2965" s="2" t="n">
        <v>43205.53642361111</v>
      </c>
      <c r="C2965" t="n">
        <v>0</v>
      </c>
      <c r="D2965" t="n">
        <v>9</v>
      </c>
      <c r="E2965" t="s">
        <v>2944</v>
      </c>
      <c r="F2965" t="s"/>
      <c r="G2965" t="s"/>
      <c r="H2965" t="s"/>
      <c r="I2965" t="s"/>
      <c r="J2965" t="n">
        <v>-0.7125</v>
      </c>
      <c r="K2965" t="n">
        <v>0.307</v>
      </c>
      <c r="L2965" t="n">
        <v>0.592</v>
      </c>
      <c r="M2965" t="n">
        <v>0.101</v>
      </c>
    </row>
    <row r="2966" spans="1:13">
      <c r="A2966" s="1">
        <f>HYPERLINK("http://www.twitter.com/NathanBLawrence/status/985501076379045888", "985501076379045888")</f>
        <v/>
      </c>
      <c r="B2966" s="2" t="n">
        <v>43205.53634259259</v>
      </c>
      <c r="C2966" t="n">
        <v>0</v>
      </c>
      <c r="D2966" t="n">
        <v>8</v>
      </c>
      <c r="E2966" t="s">
        <v>2945</v>
      </c>
      <c r="F2966" t="s"/>
      <c r="G2966" t="s"/>
      <c r="H2966" t="s"/>
      <c r="I2966" t="s"/>
      <c r="J2966" t="n">
        <v>-0.9337</v>
      </c>
      <c r="K2966" t="n">
        <v>0.487</v>
      </c>
      <c r="L2966" t="n">
        <v>0.44</v>
      </c>
      <c r="M2966" t="n">
        <v>0.073</v>
      </c>
    </row>
    <row r="2967" spans="1:13">
      <c r="A2967" s="1">
        <f>HYPERLINK("http://www.twitter.com/NathanBLawrence/status/985501017876979712", "985501017876979712")</f>
        <v/>
      </c>
      <c r="B2967" s="2" t="n">
        <v>43205.53619212963</v>
      </c>
      <c r="C2967" t="n">
        <v>0</v>
      </c>
      <c r="D2967" t="n">
        <v>10</v>
      </c>
      <c r="E2967" t="s">
        <v>2946</v>
      </c>
      <c r="F2967" t="s"/>
      <c r="G2967" t="s"/>
      <c r="H2967" t="s"/>
      <c r="I2967" t="s"/>
      <c r="J2967" t="n">
        <v>0.6369</v>
      </c>
      <c r="K2967" t="n">
        <v>0</v>
      </c>
      <c r="L2967" t="n">
        <v>0.828</v>
      </c>
      <c r="M2967" t="n">
        <v>0.172</v>
      </c>
    </row>
    <row r="2968" spans="1:13">
      <c r="A2968" s="1">
        <f>HYPERLINK("http://www.twitter.com/NathanBLawrence/status/985485515297353730", "985485515297353730")</f>
        <v/>
      </c>
      <c r="B2968" s="2" t="n">
        <v>43205.49340277778</v>
      </c>
      <c r="C2968" t="n">
        <v>0</v>
      </c>
      <c r="D2968" t="n">
        <v>15</v>
      </c>
      <c r="E2968" t="s">
        <v>2947</v>
      </c>
      <c r="F2968">
        <f>HYPERLINK("http://pbs.twimg.com/media/Daw08CRV4AA8fzd.jpg", "http://pbs.twimg.com/media/Daw08CRV4AA8fzd.jpg")</f>
        <v/>
      </c>
      <c r="G2968" t="s"/>
      <c r="H2968" t="s"/>
      <c r="I2968" t="s"/>
      <c r="J2968" t="n">
        <v>0.4084</v>
      </c>
      <c r="K2968" t="n">
        <v>0.054</v>
      </c>
      <c r="L2968" t="n">
        <v>0.8129999999999999</v>
      </c>
      <c r="M2968" t="n">
        <v>0.133</v>
      </c>
    </row>
    <row r="2969" spans="1:13">
      <c r="A2969" s="1">
        <f>HYPERLINK("http://www.twitter.com/NathanBLawrence/status/985343805695119360", "985343805695119360")</f>
        <v/>
      </c>
      <c r="B2969" s="2" t="n">
        <v>43205.10236111111</v>
      </c>
      <c r="C2969" t="n">
        <v>0</v>
      </c>
      <c r="D2969" t="n">
        <v>251</v>
      </c>
      <c r="E2969" t="s">
        <v>2948</v>
      </c>
      <c r="F2969">
        <f>HYPERLINK("http://pbs.twimg.com/media/DaD6-N9WsAIn8uA.jpg", "http://pbs.twimg.com/media/DaD6-N9WsAIn8uA.jpg")</f>
        <v/>
      </c>
      <c r="G2969" t="s"/>
      <c r="H2969" t="s"/>
      <c r="I2969" t="s"/>
      <c r="J2969" t="n">
        <v>0</v>
      </c>
      <c r="K2969" t="n">
        <v>0</v>
      </c>
      <c r="L2969" t="n">
        <v>1</v>
      </c>
      <c r="M2969" t="n">
        <v>0</v>
      </c>
    </row>
    <row r="2970" spans="1:13">
      <c r="A2970" s="1">
        <f>HYPERLINK("http://www.twitter.com/NathanBLawrence/status/985340866746339329", "985340866746339329")</f>
        <v/>
      </c>
      <c r="B2970" s="2" t="n">
        <v>43205.09425925926</v>
      </c>
      <c r="C2970" t="n">
        <v>0</v>
      </c>
      <c r="D2970" t="n">
        <v>12679</v>
      </c>
      <c r="E2970" t="s">
        <v>2949</v>
      </c>
      <c r="F2970" t="s"/>
      <c r="G2970" t="s"/>
      <c r="H2970" t="s"/>
      <c r="I2970" t="s"/>
      <c r="J2970" t="n">
        <v>-0.7955</v>
      </c>
      <c r="K2970" t="n">
        <v>0.364</v>
      </c>
      <c r="L2970" t="n">
        <v>0.516</v>
      </c>
      <c r="M2970" t="n">
        <v>0.12</v>
      </c>
    </row>
    <row r="2971" spans="1:13">
      <c r="A2971" s="1">
        <f>HYPERLINK("http://www.twitter.com/NathanBLawrence/status/985340837046489088", "985340837046489088")</f>
        <v/>
      </c>
      <c r="B2971" s="2" t="n">
        <v>43205.09416666667</v>
      </c>
      <c r="C2971" t="n">
        <v>1</v>
      </c>
      <c r="D2971" t="n">
        <v>0</v>
      </c>
      <c r="E2971" t="s">
        <v>2950</v>
      </c>
      <c r="F2971" t="s"/>
      <c r="G2971" t="s"/>
      <c r="H2971" t="s"/>
      <c r="I2971" t="s"/>
      <c r="J2971" t="n">
        <v>-0.1258</v>
      </c>
      <c r="K2971" t="n">
        <v>0.222</v>
      </c>
      <c r="L2971" t="n">
        <v>0.585</v>
      </c>
      <c r="M2971" t="n">
        <v>0.193</v>
      </c>
    </row>
    <row r="2972" spans="1:13">
      <c r="A2972" s="1">
        <f>HYPERLINK("http://www.twitter.com/NathanBLawrence/status/985340760634609664", "985340760634609664")</f>
        <v/>
      </c>
      <c r="B2972" s="2" t="n">
        <v>43205.09395833333</v>
      </c>
      <c r="C2972" t="n">
        <v>0</v>
      </c>
      <c r="D2972" t="n">
        <v>3</v>
      </c>
      <c r="E2972" t="s">
        <v>2951</v>
      </c>
      <c r="F2972" t="s"/>
      <c r="G2972" t="s"/>
      <c r="H2972" t="s"/>
      <c r="I2972" t="s"/>
      <c r="J2972" t="n">
        <v>0.126</v>
      </c>
      <c r="K2972" t="n">
        <v>0.103</v>
      </c>
      <c r="L2972" t="n">
        <v>0.738</v>
      </c>
      <c r="M2972" t="n">
        <v>0.158</v>
      </c>
    </row>
    <row r="2973" spans="1:13">
      <c r="A2973" s="1">
        <f>HYPERLINK("http://www.twitter.com/NathanBLawrence/status/985340745291911169", "985340745291911169")</f>
        <v/>
      </c>
      <c r="B2973" s="2" t="n">
        <v>43205.09392361111</v>
      </c>
      <c r="C2973" t="n">
        <v>0</v>
      </c>
      <c r="D2973" t="n">
        <v>6</v>
      </c>
      <c r="E2973" t="s">
        <v>2952</v>
      </c>
      <c r="F2973" t="s"/>
      <c r="G2973" t="s"/>
      <c r="H2973" t="s"/>
      <c r="I2973" t="s"/>
      <c r="J2973" t="n">
        <v>0.5994</v>
      </c>
      <c r="K2973" t="n">
        <v>0.108</v>
      </c>
      <c r="L2973" t="n">
        <v>0.581</v>
      </c>
      <c r="M2973" t="n">
        <v>0.311</v>
      </c>
    </row>
    <row r="2974" spans="1:13">
      <c r="A2974" s="1">
        <f>HYPERLINK("http://www.twitter.com/NathanBLawrence/status/985340730876022784", "985340730876022784")</f>
        <v/>
      </c>
      <c r="B2974" s="2" t="n">
        <v>43205.09387731482</v>
      </c>
      <c r="C2974" t="n">
        <v>0</v>
      </c>
      <c r="D2974" t="n">
        <v>5</v>
      </c>
      <c r="E2974" t="s">
        <v>2953</v>
      </c>
      <c r="F2974" t="s"/>
      <c r="G2974" t="s"/>
      <c r="H2974" t="s"/>
      <c r="I2974" t="s"/>
      <c r="J2974" t="n">
        <v>0</v>
      </c>
      <c r="K2974" t="n">
        <v>0</v>
      </c>
      <c r="L2974" t="n">
        <v>1</v>
      </c>
      <c r="M2974" t="n">
        <v>0</v>
      </c>
    </row>
    <row r="2975" spans="1:13">
      <c r="A2975" s="1">
        <f>HYPERLINK("http://www.twitter.com/NathanBLawrence/status/985340716497981441", "985340716497981441")</f>
        <v/>
      </c>
      <c r="B2975" s="2" t="n">
        <v>43205.09384259259</v>
      </c>
      <c r="C2975" t="n">
        <v>0</v>
      </c>
      <c r="D2975" t="n">
        <v>5</v>
      </c>
      <c r="E2975" t="s">
        <v>2954</v>
      </c>
      <c r="F2975" t="s"/>
      <c r="G2975" t="s"/>
      <c r="H2975" t="s"/>
      <c r="I2975" t="s"/>
      <c r="J2975" t="n">
        <v>-0.3851</v>
      </c>
      <c r="K2975" t="n">
        <v>0.229</v>
      </c>
      <c r="L2975" t="n">
        <v>0.667</v>
      </c>
      <c r="M2975" t="n">
        <v>0.104</v>
      </c>
    </row>
    <row r="2976" spans="1:13">
      <c r="A2976" s="1">
        <f>HYPERLINK("http://www.twitter.com/NathanBLawrence/status/985340701637521409", "985340701637521409")</f>
        <v/>
      </c>
      <c r="B2976" s="2" t="n">
        <v>43205.0937962963</v>
      </c>
      <c r="C2976" t="n">
        <v>0</v>
      </c>
      <c r="D2976" t="n">
        <v>2441</v>
      </c>
      <c r="E2976" t="s">
        <v>2955</v>
      </c>
      <c r="F2976" t="s"/>
      <c r="G2976" t="s"/>
      <c r="H2976" t="s"/>
      <c r="I2976" t="s"/>
      <c r="J2976" t="n">
        <v>0</v>
      </c>
      <c r="K2976" t="n">
        <v>0</v>
      </c>
      <c r="L2976" t="n">
        <v>1</v>
      </c>
      <c r="M2976" t="n">
        <v>0</v>
      </c>
    </row>
    <row r="2977" spans="1:13">
      <c r="A2977" s="1">
        <f>HYPERLINK("http://www.twitter.com/NathanBLawrence/status/985221053340438528", "985221053340438528")</f>
        <v/>
      </c>
      <c r="B2977" s="2" t="n">
        <v>43204.76363425926</v>
      </c>
      <c r="C2977" t="n">
        <v>0</v>
      </c>
      <c r="D2977" t="n">
        <v>0</v>
      </c>
      <c r="E2977" t="s">
        <v>2956</v>
      </c>
      <c r="F2977" t="s"/>
      <c r="G2977" t="s"/>
      <c r="H2977" t="s"/>
      <c r="I2977" t="s"/>
      <c r="J2977" t="n">
        <v>0</v>
      </c>
      <c r="K2977" t="n">
        <v>0</v>
      </c>
      <c r="L2977" t="n">
        <v>1</v>
      </c>
      <c r="M2977" t="n">
        <v>0</v>
      </c>
    </row>
    <row r="2978" spans="1:13">
      <c r="A2978" s="1">
        <f>HYPERLINK("http://www.twitter.com/NathanBLawrence/status/985220605535510529", "985220605535510529")</f>
        <v/>
      </c>
      <c r="B2978" s="2" t="n">
        <v>43204.76239583334</v>
      </c>
      <c r="C2978" t="n">
        <v>0</v>
      </c>
      <c r="D2978" t="n">
        <v>1</v>
      </c>
      <c r="E2978" t="s">
        <v>2957</v>
      </c>
      <c r="F2978" t="s"/>
      <c r="G2978" t="s"/>
      <c r="H2978" t="s"/>
      <c r="I2978" t="s"/>
      <c r="J2978" t="n">
        <v>0</v>
      </c>
      <c r="K2978" t="n">
        <v>0</v>
      </c>
      <c r="L2978" t="n">
        <v>1</v>
      </c>
      <c r="M2978" t="n">
        <v>0</v>
      </c>
    </row>
    <row r="2979" spans="1:13">
      <c r="A2979" s="1">
        <f>HYPERLINK("http://www.twitter.com/NathanBLawrence/status/985220558261452803", "985220558261452803")</f>
        <v/>
      </c>
      <c r="B2979" s="2" t="n">
        <v>43204.76226851852</v>
      </c>
      <c r="C2979" t="n">
        <v>0</v>
      </c>
      <c r="D2979" t="n">
        <v>11</v>
      </c>
      <c r="E2979" t="s">
        <v>2958</v>
      </c>
      <c r="F2979" t="s"/>
      <c r="G2979" t="s"/>
      <c r="H2979" t="s"/>
      <c r="I2979" t="s"/>
      <c r="J2979" t="n">
        <v>0.25</v>
      </c>
      <c r="K2979" t="n">
        <v>0.049</v>
      </c>
      <c r="L2979" t="n">
        <v>0.868</v>
      </c>
      <c r="M2979" t="n">
        <v>0.083</v>
      </c>
    </row>
    <row r="2980" spans="1:13">
      <c r="A2980" s="1">
        <f>HYPERLINK("http://www.twitter.com/NathanBLawrence/status/985220523952148482", "985220523952148482")</f>
        <v/>
      </c>
      <c r="B2980" s="2" t="n">
        <v>43204.76217592593</v>
      </c>
      <c r="C2980" t="n">
        <v>0</v>
      </c>
      <c r="D2980" t="n">
        <v>441</v>
      </c>
      <c r="E2980" t="s">
        <v>2959</v>
      </c>
      <c r="F2980" t="s"/>
      <c r="G2980" t="s"/>
      <c r="H2980" t="s"/>
      <c r="I2980" t="s"/>
      <c r="J2980" t="n">
        <v>0</v>
      </c>
      <c r="K2980" t="n">
        <v>0</v>
      </c>
      <c r="L2980" t="n">
        <v>1</v>
      </c>
      <c r="M2980" t="n">
        <v>0</v>
      </c>
    </row>
    <row r="2981" spans="1:13">
      <c r="A2981" s="1">
        <f>HYPERLINK("http://www.twitter.com/NathanBLawrence/status/985220343726997504", "985220343726997504")</f>
        <v/>
      </c>
      <c r="B2981" s="2" t="n">
        <v>43204.76167824074</v>
      </c>
      <c r="C2981" t="n">
        <v>0</v>
      </c>
      <c r="D2981" t="n">
        <v>4</v>
      </c>
      <c r="E2981" t="s">
        <v>2960</v>
      </c>
      <c r="F2981" t="s"/>
      <c r="G2981" t="s"/>
      <c r="H2981" t="s"/>
      <c r="I2981" t="s"/>
      <c r="J2981" t="n">
        <v>-0.4023</v>
      </c>
      <c r="K2981" t="n">
        <v>0.119</v>
      </c>
      <c r="L2981" t="n">
        <v>0.881</v>
      </c>
      <c r="M2981" t="n">
        <v>0</v>
      </c>
    </row>
    <row r="2982" spans="1:13">
      <c r="A2982" s="1">
        <f>HYPERLINK("http://www.twitter.com/NathanBLawrence/status/985220119013019648", "985220119013019648")</f>
        <v/>
      </c>
      <c r="B2982" s="2" t="n">
        <v>43204.76105324074</v>
      </c>
      <c r="C2982" t="n">
        <v>0</v>
      </c>
      <c r="D2982" t="n">
        <v>9</v>
      </c>
      <c r="E2982" t="s">
        <v>2961</v>
      </c>
      <c r="F2982" t="s"/>
      <c r="G2982" t="s"/>
      <c r="H2982" t="s"/>
      <c r="I2982" t="s"/>
      <c r="J2982" t="n">
        <v>-0.0387</v>
      </c>
      <c r="K2982" t="n">
        <v>0.05</v>
      </c>
      <c r="L2982" t="n">
        <v>0.95</v>
      </c>
      <c r="M2982" t="n">
        <v>0</v>
      </c>
    </row>
    <row r="2983" spans="1:13">
      <c r="A2983" s="1">
        <f>HYPERLINK("http://www.twitter.com/NathanBLawrence/status/985220052633956352", "985220052633956352")</f>
        <v/>
      </c>
      <c r="B2983" s="2" t="n">
        <v>43204.76086805556</v>
      </c>
      <c r="C2983" t="n">
        <v>0</v>
      </c>
      <c r="D2983" t="n">
        <v>5249</v>
      </c>
      <c r="E2983" t="s">
        <v>2962</v>
      </c>
      <c r="F2983" t="s"/>
      <c r="G2983" t="s"/>
      <c r="H2983" t="s"/>
      <c r="I2983" t="s"/>
      <c r="J2983" t="n">
        <v>0.8401999999999999</v>
      </c>
      <c r="K2983" t="n">
        <v>0.074</v>
      </c>
      <c r="L2983" t="n">
        <v>0.5590000000000001</v>
      </c>
      <c r="M2983" t="n">
        <v>0.368</v>
      </c>
    </row>
    <row r="2984" spans="1:13">
      <c r="A2984" s="1">
        <f>HYPERLINK("http://www.twitter.com/NathanBLawrence/status/985220016076238848", "985220016076238848")</f>
        <v/>
      </c>
      <c r="B2984" s="2" t="n">
        <v>43204.76076388889</v>
      </c>
      <c r="C2984" t="n">
        <v>0</v>
      </c>
      <c r="D2984" t="n">
        <v>9</v>
      </c>
      <c r="E2984" t="s">
        <v>2963</v>
      </c>
      <c r="F2984">
        <f>HYPERLINK("http://pbs.twimg.com/media/DatXLeGWAAAKi-6.jpg", "http://pbs.twimg.com/media/DatXLeGWAAAKi-6.jpg")</f>
        <v/>
      </c>
      <c r="G2984" t="s"/>
      <c r="H2984" t="s"/>
      <c r="I2984" t="s"/>
      <c r="J2984" t="n">
        <v>0</v>
      </c>
      <c r="K2984" t="n">
        <v>0</v>
      </c>
      <c r="L2984" t="n">
        <v>1</v>
      </c>
      <c r="M2984" t="n">
        <v>0</v>
      </c>
    </row>
    <row r="2985" spans="1:13">
      <c r="A2985" s="1">
        <f>HYPERLINK("http://www.twitter.com/NathanBLawrence/status/985219968940806145", "985219968940806145")</f>
        <v/>
      </c>
      <c r="B2985" s="2" t="n">
        <v>43204.76063657407</v>
      </c>
      <c r="C2985" t="n">
        <v>0</v>
      </c>
      <c r="D2985" t="n">
        <v>8</v>
      </c>
      <c r="E2985" t="s">
        <v>2964</v>
      </c>
      <c r="F2985" t="s"/>
      <c r="G2985" t="s"/>
      <c r="H2985" t="s"/>
      <c r="I2985" t="s"/>
      <c r="J2985" t="n">
        <v>-0.3868</v>
      </c>
      <c r="K2985" t="n">
        <v>0.157</v>
      </c>
      <c r="L2985" t="n">
        <v>0.783</v>
      </c>
      <c r="M2985" t="n">
        <v>0.059</v>
      </c>
    </row>
    <row r="2986" spans="1:13">
      <c r="A2986" s="1">
        <f>HYPERLINK("http://www.twitter.com/NathanBLawrence/status/985219095762173953", "985219095762173953")</f>
        <v/>
      </c>
      <c r="B2986" s="2" t="n">
        <v>43204.75822916667</v>
      </c>
      <c r="C2986" t="n">
        <v>0</v>
      </c>
      <c r="D2986" t="n">
        <v>0</v>
      </c>
      <c r="E2986" t="s">
        <v>2965</v>
      </c>
      <c r="F2986" t="s"/>
      <c r="G2986" t="s"/>
      <c r="H2986" t="s"/>
      <c r="I2986" t="s"/>
      <c r="J2986" t="n">
        <v>0.4767</v>
      </c>
      <c r="K2986" t="n">
        <v>0</v>
      </c>
      <c r="L2986" t="n">
        <v>0.617</v>
      </c>
      <c r="M2986" t="n">
        <v>0.383</v>
      </c>
    </row>
    <row r="2987" spans="1:13">
      <c r="A2987" s="1">
        <f>HYPERLINK("http://www.twitter.com/NathanBLawrence/status/985218849409785856", "985218849409785856")</f>
        <v/>
      </c>
      <c r="B2987" s="2" t="n">
        <v>43204.7575462963</v>
      </c>
      <c r="C2987" t="n">
        <v>0</v>
      </c>
      <c r="D2987" t="n">
        <v>2</v>
      </c>
      <c r="E2987" t="s">
        <v>2966</v>
      </c>
      <c r="F2987" t="s"/>
      <c r="G2987" t="s"/>
      <c r="H2987" t="s"/>
      <c r="I2987" t="s"/>
      <c r="J2987" t="n">
        <v>0</v>
      </c>
      <c r="K2987" t="n">
        <v>0</v>
      </c>
      <c r="L2987" t="n">
        <v>1</v>
      </c>
      <c r="M2987" t="n">
        <v>0</v>
      </c>
    </row>
    <row r="2988" spans="1:13">
      <c r="A2988" s="1">
        <f>HYPERLINK("http://www.twitter.com/NathanBLawrence/status/985218817314971648", "985218817314971648")</f>
        <v/>
      </c>
      <c r="B2988" s="2" t="n">
        <v>43204.75746527778</v>
      </c>
      <c r="C2988" t="n">
        <v>0</v>
      </c>
      <c r="D2988" t="n">
        <v>2468</v>
      </c>
      <c r="E2988" t="s">
        <v>2967</v>
      </c>
      <c r="F2988" t="s"/>
      <c r="G2988" t="s"/>
      <c r="H2988" t="s"/>
      <c r="I2988" t="s"/>
      <c r="J2988" t="n">
        <v>0.5266999999999999</v>
      </c>
      <c r="K2988" t="n">
        <v>0.096</v>
      </c>
      <c r="L2988" t="n">
        <v>0.662</v>
      </c>
      <c r="M2988" t="n">
        <v>0.242</v>
      </c>
    </row>
    <row r="2989" spans="1:13">
      <c r="A2989" s="1">
        <f>HYPERLINK("http://www.twitter.com/NathanBLawrence/status/985218609562742785", "985218609562742785")</f>
        <v/>
      </c>
      <c r="B2989" s="2" t="n">
        <v>43204.75688657408</v>
      </c>
      <c r="C2989" t="n">
        <v>0</v>
      </c>
      <c r="D2989" t="n">
        <v>2</v>
      </c>
      <c r="E2989" t="s">
        <v>2968</v>
      </c>
      <c r="F2989" t="s"/>
      <c r="G2989" t="s"/>
      <c r="H2989" t="s"/>
      <c r="I2989" t="s"/>
      <c r="J2989" t="n">
        <v>-0.2263</v>
      </c>
      <c r="K2989" t="n">
        <v>0.123</v>
      </c>
      <c r="L2989" t="n">
        <v>0.793</v>
      </c>
      <c r="M2989" t="n">
        <v>0.08400000000000001</v>
      </c>
    </row>
    <row r="2990" spans="1:13">
      <c r="A2990" s="1">
        <f>HYPERLINK("http://www.twitter.com/NathanBLawrence/status/985218586502459392", "985218586502459392")</f>
        <v/>
      </c>
      <c r="B2990" s="2" t="n">
        <v>43204.75682870371</v>
      </c>
      <c r="C2990" t="n">
        <v>3</v>
      </c>
      <c r="D2990" t="n">
        <v>1</v>
      </c>
      <c r="E2990" t="s">
        <v>2969</v>
      </c>
      <c r="F2990" t="s"/>
      <c r="G2990" t="s"/>
      <c r="H2990" t="s"/>
      <c r="I2990" t="s"/>
      <c r="J2990" t="n">
        <v>0.2359</v>
      </c>
      <c r="K2990" t="n">
        <v>0.08400000000000001</v>
      </c>
      <c r="L2990" t="n">
        <v>0.797</v>
      </c>
      <c r="M2990" t="n">
        <v>0.119</v>
      </c>
    </row>
    <row r="2991" spans="1:13">
      <c r="A2991" s="1">
        <f>HYPERLINK("http://www.twitter.com/NathanBLawrence/status/985217729908105217", "985217729908105217")</f>
        <v/>
      </c>
      <c r="B2991" s="2" t="n">
        <v>43204.75445601852</v>
      </c>
      <c r="C2991" t="n">
        <v>0</v>
      </c>
      <c r="D2991" t="n">
        <v>0</v>
      </c>
      <c r="E2991" t="s">
        <v>2970</v>
      </c>
      <c r="F2991" t="s"/>
      <c r="G2991" t="s"/>
      <c r="H2991" t="s"/>
      <c r="I2991" t="s"/>
      <c r="J2991" t="n">
        <v>-0.5719</v>
      </c>
      <c r="K2991" t="n">
        <v>0.481</v>
      </c>
      <c r="L2991" t="n">
        <v>0.519</v>
      </c>
      <c r="M2991" t="n">
        <v>0</v>
      </c>
    </row>
    <row r="2992" spans="1:13">
      <c r="A2992" s="1">
        <f>HYPERLINK("http://www.twitter.com/NathanBLawrence/status/985217633611141120", "985217633611141120")</f>
        <v/>
      </c>
      <c r="B2992" s="2" t="n">
        <v>43204.75418981481</v>
      </c>
      <c r="C2992" t="n">
        <v>0</v>
      </c>
      <c r="D2992" t="n">
        <v>10</v>
      </c>
      <c r="E2992" t="s">
        <v>2971</v>
      </c>
      <c r="F2992">
        <f>HYPERLINK("http://pbs.twimg.com/media/DatceCzVwAAgrV3.jpg", "http://pbs.twimg.com/media/DatceCzVwAAgrV3.jpg")</f>
        <v/>
      </c>
      <c r="G2992" t="s"/>
      <c r="H2992" t="s"/>
      <c r="I2992" t="s"/>
      <c r="J2992" t="n">
        <v>-0.5994</v>
      </c>
      <c r="K2992" t="n">
        <v>0.218</v>
      </c>
      <c r="L2992" t="n">
        <v>0.782</v>
      </c>
      <c r="M2992" t="n">
        <v>0</v>
      </c>
    </row>
    <row r="2993" spans="1:13">
      <c r="A2993" s="1">
        <f>HYPERLINK("http://www.twitter.com/NathanBLawrence/status/985215251640737792", "985215251640737792")</f>
        <v/>
      </c>
      <c r="B2993" s="2" t="n">
        <v>43204.74762731481</v>
      </c>
      <c r="C2993" t="n">
        <v>0</v>
      </c>
      <c r="D2993" t="n">
        <v>0</v>
      </c>
      <c r="E2993" t="s">
        <v>2972</v>
      </c>
      <c r="F2993" t="s"/>
      <c r="G2993" t="s"/>
      <c r="H2993" t="s"/>
      <c r="I2993" t="s"/>
      <c r="J2993" t="n">
        <v>-0.4199</v>
      </c>
      <c r="K2993" t="n">
        <v>0.482</v>
      </c>
      <c r="L2993" t="n">
        <v>0.518</v>
      </c>
      <c r="M2993" t="n">
        <v>0</v>
      </c>
    </row>
    <row r="2994" spans="1:13">
      <c r="A2994" s="1">
        <f>HYPERLINK("http://www.twitter.com/NathanBLawrence/status/985215097403510784", "985215097403510784")</f>
        <v/>
      </c>
      <c r="B2994" s="2" t="n">
        <v>43204.74719907407</v>
      </c>
      <c r="C2994" t="n">
        <v>0</v>
      </c>
      <c r="D2994" t="n">
        <v>615</v>
      </c>
      <c r="E2994" t="s">
        <v>2973</v>
      </c>
      <c r="F2994" t="s"/>
      <c r="G2994" t="s"/>
      <c r="H2994" t="s"/>
      <c r="I2994" t="s"/>
      <c r="J2994" t="n">
        <v>0.6908</v>
      </c>
      <c r="K2994" t="n">
        <v>0</v>
      </c>
      <c r="L2994" t="n">
        <v>0.759</v>
      </c>
      <c r="M2994" t="n">
        <v>0.241</v>
      </c>
    </row>
    <row r="2995" spans="1:13">
      <c r="A2995" s="1">
        <f>HYPERLINK("http://www.twitter.com/NathanBLawrence/status/985213225066205185", "985213225066205185")</f>
        <v/>
      </c>
      <c r="B2995" s="2" t="n">
        <v>43204.74202546296</v>
      </c>
      <c r="C2995" t="n">
        <v>0</v>
      </c>
      <c r="D2995" t="n">
        <v>2</v>
      </c>
      <c r="E2995" t="s">
        <v>2974</v>
      </c>
      <c r="F2995" t="s"/>
      <c r="G2995" t="s"/>
      <c r="H2995" t="s"/>
      <c r="I2995" t="s"/>
      <c r="J2995" t="n">
        <v>-0.5696</v>
      </c>
      <c r="K2995" t="n">
        <v>0.149</v>
      </c>
      <c r="L2995" t="n">
        <v>0.851</v>
      </c>
      <c r="M2995" t="n">
        <v>0</v>
      </c>
    </row>
    <row r="2996" spans="1:13">
      <c r="A2996" s="1">
        <f>HYPERLINK("http://www.twitter.com/NathanBLawrence/status/985212867120123904", "985212867120123904")</f>
        <v/>
      </c>
      <c r="B2996" s="2" t="n">
        <v>43204.74104166667</v>
      </c>
      <c r="C2996" t="n">
        <v>4</v>
      </c>
      <c r="D2996" t="n">
        <v>2</v>
      </c>
      <c r="E2996" t="s">
        <v>2975</v>
      </c>
      <c r="F2996" t="s"/>
      <c r="G2996" t="s"/>
      <c r="H2996" t="s"/>
      <c r="I2996" t="s"/>
      <c r="J2996" t="n">
        <v>-0.5696</v>
      </c>
      <c r="K2996" t="n">
        <v>0.149</v>
      </c>
      <c r="L2996" t="n">
        <v>0.851</v>
      </c>
      <c r="M2996" t="n">
        <v>0</v>
      </c>
    </row>
    <row r="2997" spans="1:13">
      <c r="A2997" s="1">
        <f>HYPERLINK("http://www.twitter.com/NathanBLawrence/status/985210283999326208", "985210283999326208")</f>
        <v/>
      </c>
      <c r="B2997" s="2" t="n">
        <v>43204.73391203704</v>
      </c>
      <c r="C2997" t="n">
        <v>0</v>
      </c>
      <c r="D2997" t="n">
        <v>14</v>
      </c>
      <c r="E2997" t="s">
        <v>2924</v>
      </c>
      <c r="F2997" t="s"/>
      <c r="G2997" t="s"/>
      <c r="H2997" t="s"/>
      <c r="I2997" t="s"/>
      <c r="J2997" t="n">
        <v>0.0772</v>
      </c>
      <c r="K2997" t="n">
        <v>0</v>
      </c>
      <c r="L2997" t="n">
        <v>0.9330000000000001</v>
      </c>
      <c r="M2997" t="n">
        <v>0.067</v>
      </c>
    </row>
    <row r="2998" spans="1:13">
      <c r="A2998" s="1">
        <f>HYPERLINK("http://www.twitter.com/NathanBLawrence/status/985210271957385217", "985210271957385217")</f>
        <v/>
      </c>
      <c r="B2998" s="2" t="n">
        <v>43204.73387731481</v>
      </c>
      <c r="C2998" t="n">
        <v>0</v>
      </c>
      <c r="D2998" t="n">
        <v>7</v>
      </c>
      <c r="E2998" t="s">
        <v>2976</v>
      </c>
      <c r="F2998" t="s"/>
      <c r="G2998" t="s"/>
      <c r="H2998" t="s"/>
      <c r="I2998" t="s"/>
      <c r="J2998" t="n">
        <v>-0.1134</v>
      </c>
      <c r="K2998" t="n">
        <v>0.074</v>
      </c>
      <c r="L2998" t="n">
        <v>0.926</v>
      </c>
      <c r="M2998" t="n">
        <v>0</v>
      </c>
    </row>
    <row r="2999" spans="1:13">
      <c r="A2999" s="1">
        <f>HYPERLINK("http://www.twitter.com/NathanBLawrence/status/985210189220597761", "985210189220597761")</f>
        <v/>
      </c>
      <c r="B2999" s="2" t="n">
        <v>43204.73365740741</v>
      </c>
      <c r="C2999" t="n">
        <v>0</v>
      </c>
      <c r="D2999" t="n">
        <v>10</v>
      </c>
      <c r="E2999" t="s">
        <v>2977</v>
      </c>
      <c r="F2999" t="s"/>
      <c r="G2999" t="s"/>
      <c r="H2999" t="s"/>
      <c r="I2999" t="s"/>
      <c r="J2999" t="n">
        <v>-0.3818</v>
      </c>
      <c r="K2999" t="n">
        <v>0.098</v>
      </c>
      <c r="L2999" t="n">
        <v>0.902</v>
      </c>
      <c r="M2999" t="n">
        <v>0</v>
      </c>
    </row>
    <row r="3000" spans="1:13">
      <c r="A3000" s="1">
        <f>HYPERLINK("http://www.twitter.com/NathanBLawrence/status/985210015844888580", "985210015844888580")</f>
        <v/>
      </c>
      <c r="B3000" s="2" t="n">
        <v>43204.7331712963</v>
      </c>
      <c r="C3000" t="n">
        <v>0</v>
      </c>
      <c r="D3000" t="n">
        <v>613</v>
      </c>
      <c r="E3000" t="s">
        <v>2978</v>
      </c>
      <c r="F3000" t="s"/>
      <c r="G3000" t="s"/>
      <c r="H3000" t="s"/>
      <c r="I3000" t="s"/>
      <c r="J3000" t="n">
        <v>-0.7845</v>
      </c>
      <c r="K3000" t="n">
        <v>0.296</v>
      </c>
      <c r="L3000" t="n">
        <v>0.58</v>
      </c>
      <c r="M3000" t="n">
        <v>0.125</v>
      </c>
    </row>
    <row r="3001" spans="1:13">
      <c r="A3001" s="1">
        <f>HYPERLINK("http://www.twitter.com/NathanBLawrence/status/985208919164407808", "985208919164407808")</f>
        <v/>
      </c>
      <c r="B3001" s="2" t="n">
        <v>43204.73015046296</v>
      </c>
      <c r="C3001" t="n">
        <v>11</v>
      </c>
      <c r="D3001" t="n">
        <v>10</v>
      </c>
      <c r="E3001" t="s">
        <v>2979</v>
      </c>
      <c r="F3001" t="s"/>
      <c r="G3001" t="s"/>
      <c r="H3001" t="s"/>
      <c r="I3001" t="s"/>
      <c r="J3001" t="n">
        <v>-0.1845</v>
      </c>
      <c r="K3001" t="n">
        <v>0.117</v>
      </c>
      <c r="L3001" t="n">
        <v>0.739</v>
      </c>
      <c r="M3001" t="n">
        <v>0.144</v>
      </c>
    </row>
    <row r="3002" spans="1:13">
      <c r="A3002" s="1">
        <f>HYPERLINK("http://www.twitter.com/NathanBLawrence/status/985020077367021568", "985020077367021568")</f>
        <v/>
      </c>
      <c r="B3002" s="2" t="n">
        <v>43204.20903935185</v>
      </c>
      <c r="C3002" t="n">
        <v>0</v>
      </c>
      <c r="D3002" t="n">
        <v>6</v>
      </c>
      <c r="E3002" t="s">
        <v>2980</v>
      </c>
      <c r="F3002" t="s"/>
      <c r="G3002" t="s"/>
      <c r="H3002" t="s"/>
      <c r="I3002" t="s"/>
      <c r="J3002" t="n">
        <v>0.34</v>
      </c>
      <c r="K3002" t="n">
        <v>0</v>
      </c>
      <c r="L3002" t="n">
        <v>0.906</v>
      </c>
      <c r="M3002" t="n">
        <v>0.094</v>
      </c>
    </row>
    <row r="3003" spans="1:13">
      <c r="A3003" s="1">
        <f>HYPERLINK("http://www.twitter.com/NathanBLawrence/status/985020040243220481", "985020040243220481")</f>
        <v/>
      </c>
      <c r="B3003" s="2" t="n">
        <v>43204.20894675926</v>
      </c>
      <c r="C3003" t="n">
        <v>0</v>
      </c>
      <c r="D3003" t="n">
        <v>4</v>
      </c>
      <c r="E3003" t="s">
        <v>2981</v>
      </c>
      <c r="F3003" t="s"/>
      <c r="G3003" t="s"/>
      <c r="H3003" t="s"/>
      <c r="I3003" t="s"/>
      <c r="J3003" t="n">
        <v>0.8449</v>
      </c>
      <c r="K3003" t="n">
        <v>0</v>
      </c>
      <c r="L3003" t="n">
        <v>0.6870000000000001</v>
      </c>
      <c r="M3003" t="n">
        <v>0.313</v>
      </c>
    </row>
    <row r="3004" spans="1:13">
      <c r="A3004" s="1">
        <f>HYPERLINK("http://www.twitter.com/NathanBLawrence/status/984965077320249345", "984965077320249345")</f>
        <v/>
      </c>
      <c r="B3004" s="2" t="n">
        <v>43204.05726851852</v>
      </c>
      <c r="C3004" t="n">
        <v>1</v>
      </c>
      <c r="D3004" t="n">
        <v>0</v>
      </c>
      <c r="E3004" t="s">
        <v>2982</v>
      </c>
      <c r="F3004" t="s"/>
      <c r="G3004" t="s"/>
      <c r="H3004" t="s"/>
      <c r="I3004" t="s"/>
      <c r="J3004" t="n">
        <v>0</v>
      </c>
      <c r="K3004" t="n">
        <v>0</v>
      </c>
      <c r="L3004" t="n">
        <v>1</v>
      </c>
      <c r="M3004" t="n">
        <v>0</v>
      </c>
    </row>
    <row r="3005" spans="1:13">
      <c r="A3005" s="1">
        <f>HYPERLINK("http://www.twitter.com/NathanBLawrence/status/984964487760498690", "984964487760498690")</f>
        <v/>
      </c>
      <c r="B3005" s="2" t="n">
        <v>43204.05564814815</v>
      </c>
      <c r="C3005" t="n">
        <v>0</v>
      </c>
      <c r="D3005" t="n">
        <v>36</v>
      </c>
      <c r="E3005" t="s">
        <v>2983</v>
      </c>
      <c r="F3005" t="s"/>
      <c r="G3005" t="s"/>
      <c r="H3005" t="s"/>
      <c r="I3005" t="s"/>
      <c r="J3005" t="n">
        <v>0</v>
      </c>
      <c r="K3005" t="n">
        <v>0</v>
      </c>
      <c r="L3005" t="n">
        <v>1</v>
      </c>
      <c r="M3005" t="n">
        <v>0</v>
      </c>
    </row>
    <row r="3006" spans="1:13">
      <c r="A3006" s="1">
        <f>HYPERLINK("http://www.twitter.com/NathanBLawrence/status/984964376057835525", "984964376057835525")</f>
        <v/>
      </c>
      <c r="B3006" s="2" t="n">
        <v>43204.05533564815</v>
      </c>
      <c r="C3006" t="n">
        <v>0</v>
      </c>
      <c r="D3006" t="n">
        <v>822</v>
      </c>
      <c r="E3006" t="s">
        <v>2984</v>
      </c>
      <c r="F3006" t="s"/>
      <c r="G3006" t="s"/>
      <c r="H3006" t="s"/>
      <c r="I3006" t="s"/>
      <c r="J3006" t="n">
        <v>0.4588</v>
      </c>
      <c r="K3006" t="n">
        <v>0</v>
      </c>
      <c r="L3006" t="n">
        <v>0.826</v>
      </c>
      <c r="M3006" t="n">
        <v>0.174</v>
      </c>
    </row>
    <row r="3007" spans="1:13">
      <c r="A3007" s="1">
        <f>HYPERLINK("http://www.twitter.com/NathanBLawrence/status/984964334798467073", "984964334798467073")</f>
        <v/>
      </c>
      <c r="B3007" s="2" t="n">
        <v>43204.05521990741</v>
      </c>
      <c r="C3007" t="n">
        <v>0</v>
      </c>
      <c r="D3007" t="n">
        <v>14</v>
      </c>
      <c r="E3007" t="s">
        <v>2985</v>
      </c>
      <c r="F3007" t="s"/>
      <c r="G3007" t="s"/>
      <c r="H3007" t="s"/>
      <c r="I3007" t="s"/>
      <c r="J3007" t="n">
        <v>0.5266999999999999</v>
      </c>
      <c r="K3007" t="n">
        <v>0</v>
      </c>
      <c r="L3007" t="n">
        <v>0.833</v>
      </c>
      <c r="M3007" t="n">
        <v>0.167</v>
      </c>
    </row>
    <row r="3008" spans="1:13">
      <c r="A3008" s="1">
        <f>HYPERLINK("http://www.twitter.com/NathanBLawrence/status/984964305153089537", "984964305153089537")</f>
        <v/>
      </c>
      <c r="B3008" s="2" t="n">
        <v>43204.05513888889</v>
      </c>
      <c r="C3008" t="n">
        <v>0</v>
      </c>
      <c r="D3008" t="n">
        <v>7</v>
      </c>
      <c r="E3008" t="s">
        <v>2986</v>
      </c>
      <c r="F3008" t="s"/>
      <c r="G3008" t="s"/>
      <c r="H3008" t="s"/>
      <c r="I3008" t="s"/>
      <c r="J3008" t="n">
        <v>0.4767</v>
      </c>
      <c r="K3008" t="n">
        <v>0</v>
      </c>
      <c r="L3008" t="n">
        <v>0.846</v>
      </c>
      <c r="M3008" t="n">
        <v>0.154</v>
      </c>
    </row>
    <row r="3009" spans="1:13">
      <c r="A3009" s="1">
        <f>HYPERLINK("http://www.twitter.com/NathanBLawrence/status/984964286597431296", "984964286597431296")</f>
        <v/>
      </c>
      <c r="B3009" s="2" t="n">
        <v>43204.05509259259</v>
      </c>
      <c r="C3009" t="n">
        <v>0</v>
      </c>
      <c r="D3009" t="n">
        <v>413</v>
      </c>
      <c r="E3009" t="s">
        <v>2987</v>
      </c>
      <c r="F3009" t="s"/>
      <c r="G3009" t="s"/>
      <c r="H3009" t="s"/>
      <c r="I3009" t="s"/>
      <c r="J3009" t="n">
        <v>0</v>
      </c>
      <c r="K3009" t="n">
        <v>0</v>
      </c>
      <c r="L3009" t="n">
        <v>1</v>
      </c>
      <c r="M3009" t="n">
        <v>0</v>
      </c>
    </row>
    <row r="3010" spans="1:13">
      <c r="A3010" s="1">
        <f>HYPERLINK("http://www.twitter.com/NathanBLawrence/status/984964169723273216", "984964169723273216")</f>
        <v/>
      </c>
      <c r="B3010" s="2" t="n">
        <v>43204.05476851852</v>
      </c>
      <c r="C3010" t="n">
        <v>0</v>
      </c>
      <c r="D3010" t="n">
        <v>427</v>
      </c>
      <c r="E3010" t="s">
        <v>2988</v>
      </c>
      <c r="F3010">
        <f>HYPERLINK("http://pbs.twimg.com/media/Dar0wEzX0AAEGPM.jpg", "http://pbs.twimg.com/media/Dar0wEzX0AAEGPM.jpg")</f>
        <v/>
      </c>
      <c r="G3010" t="s"/>
      <c r="H3010" t="s"/>
      <c r="I3010" t="s"/>
      <c r="J3010" t="n">
        <v>0</v>
      </c>
      <c r="K3010" t="n">
        <v>0</v>
      </c>
      <c r="L3010" t="n">
        <v>1</v>
      </c>
      <c r="M3010" t="n">
        <v>0</v>
      </c>
    </row>
    <row r="3011" spans="1:13">
      <c r="A3011" s="1">
        <f>HYPERLINK("http://www.twitter.com/NathanBLawrence/status/984964135065735169", "984964135065735169")</f>
        <v/>
      </c>
      <c r="B3011" s="2" t="n">
        <v>43204.05467592592</v>
      </c>
      <c r="C3011" t="n">
        <v>0</v>
      </c>
      <c r="D3011" t="n">
        <v>1513</v>
      </c>
      <c r="E3011" t="s">
        <v>2989</v>
      </c>
      <c r="F3011" t="s"/>
      <c r="G3011" t="s"/>
      <c r="H3011" t="s"/>
      <c r="I3011" t="s"/>
      <c r="J3011" t="n">
        <v>-0.4404</v>
      </c>
      <c r="K3011" t="n">
        <v>0.185</v>
      </c>
      <c r="L3011" t="n">
        <v>0.738</v>
      </c>
      <c r="M3011" t="n">
        <v>0.077</v>
      </c>
    </row>
    <row r="3012" spans="1:13">
      <c r="A3012" s="1">
        <f>HYPERLINK("http://www.twitter.com/NathanBLawrence/status/984964101087612928", "984964101087612928")</f>
        <v/>
      </c>
      <c r="B3012" s="2" t="n">
        <v>43204.05458333333</v>
      </c>
      <c r="C3012" t="n">
        <v>0</v>
      </c>
      <c r="D3012" t="n">
        <v>672</v>
      </c>
      <c r="E3012" t="s">
        <v>2990</v>
      </c>
      <c r="F3012" t="s"/>
      <c r="G3012" t="s"/>
      <c r="H3012" t="s"/>
      <c r="I3012" t="s"/>
      <c r="J3012" t="n">
        <v>-0.7096</v>
      </c>
      <c r="K3012" t="n">
        <v>0.279</v>
      </c>
      <c r="L3012" t="n">
        <v>0.637</v>
      </c>
      <c r="M3012" t="n">
        <v>0.08400000000000001</v>
      </c>
    </row>
    <row r="3013" spans="1:13">
      <c r="A3013" s="1">
        <f>HYPERLINK("http://www.twitter.com/NathanBLawrence/status/984963983156314112", "984963983156314112")</f>
        <v/>
      </c>
      <c r="B3013" s="2" t="n">
        <v>43204.05424768518</v>
      </c>
      <c r="C3013" t="n">
        <v>1</v>
      </c>
      <c r="D3013" t="n">
        <v>0</v>
      </c>
      <c r="E3013" t="s">
        <v>2991</v>
      </c>
      <c r="F3013" t="s"/>
      <c r="G3013" t="s"/>
      <c r="H3013" t="s"/>
      <c r="I3013" t="s"/>
      <c r="J3013" t="n">
        <v>0</v>
      </c>
      <c r="K3013" t="n">
        <v>0</v>
      </c>
      <c r="L3013" t="n">
        <v>1</v>
      </c>
      <c r="M3013" t="n">
        <v>0</v>
      </c>
    </row>
    <row r="3014" spans="1:13">
      <c r="A3014" s="1">
        <f>HYPERLINK("http://www.twitter.com/NathanBLawrence/status/984963856303886336", "984963856303886336")</f>
        <v/>
      </c>
      <c r="B3014" s="2" t="n">
        <v>43204.05390046296</v>
      </c>
      <c r="C3014" t="n">
        <v>1</v>
      </c>
      <c r="D3014" t="n">
        <v>0</v>
      </c>
      <c r="E3014" t="s">
        <v>2992</v>
      </c>
      <c r="F3014" t="s"/>
      <c r="G3014" t="s"/>
      <c r="H3014" t="s"/>
      <c r="I3014" t="s"/>
      <c r="J3014" t="n">
        <v>0.2584</v>
      </c>
      <c r="K3014" t="n">
        <v>0</v>
      </c>
      <c r="L3014" t="n">
        <v>0.747</v>
      </c>
      <c r="M3014" t="n">
        <v>0.253</v>
      </c>
    </row>
    <row r="3015" spans="1:13">
      <c r="A3015" s="1">
        <f>HYPERLINK("http://www.twitter.com/NathanBLawrence/status/984963799064162305", "984963799064162305")</f>
        <v/>
      </c>
      <c r="B3015" s="2" t="n">
        <v>43204.05375</v>
      </c>
      <c r="C3015" t="n">
        <v>0</v>
      </c>
      <c r="D3015" t="n">
        <v>2</v>
      </c>
      <c r="E3015" t="s">
        <v>2993</v>
      </c>
      <c r="F3015" t="s"/>
      <c r="G3015" t="s"/>
      <c r="H3015" t="s"/>
      <c r="I3015" t="s"/>
      <c r="J3015" t="n">
        <v>-0.5106000000000001</v>
      </c>
      <c r="K3015" t="n">
        <v>0.125</v>
      </c>
      <c r="L3015" t="n">
        <v>0.875</v>
      </c>
      <c r="M3015" t="n">
        <v>0</v>
      </c>
    </row>
    <row r="3016" spans="1:13">
      <c r="A3016" s="1">
        <f>HYPERLINK("http://www.twitter.com/NathanBLawrence/status/984963784786808833", "984963784786808833")</f>
        <v/>
      </c>
      <c r="B3016" s="2" t="n">
        <v>43204.05370370371</v>
      </c>
      <c r="C3016" t="n">
        <v>1</v>
      </c>
      <c r="D3016" t="n">
        <v>1</v>
      </c>
      <c r="E3016" t="s">
        <v>2994</v>
      </c>
      <c r="F3016" t="s"/>
      <c r="G3016" t="s"/>
      <c r="H3016" t="s"/>
      <c r="I3016" t="s"/>
      <c r="J3016" t="n">
        <v>-0.3595</v>
      </c>
      <c r="K3016" t="n">
        <v>0.048</v>
      </c>
      <c r="L3016" t="n">
        <v>0.952</v>
      </c>
      <c r="M3016" t="n">
        <v>0</v>
      </c>
    </row>
    <row r="3017" spans="1:13">
      <c r="A3017" s="1">
        <f>HYPERLINK("http://www.twitter.com/NathanBLawrence/status/984963467349315585", "984963467349315585")</f>
        <v/>
      </c>
      <c r="B3017" s="2" t="n">
        <v>43204.05283564814</v>
      </c>
      <c r="C3017" t="n">
        <v>0</v>
      </c>
      <c r="D3017" t="n">
        <v>8</v>
      </c>
      <c r="E3017" t="s">
        <v>2995</v>
      </c>
      <c r="F3017" t="s"/>
      <c r="G3017" t="s"/>
      <c r="H3017" t="s"/>
      <c r="I3017" t="s"/>
      <c r="J3017" t="n">
        <v>0.1531</v>
      </c>
      <c r="K3017" t="n">
        <v>0.048</v>
      </c>
      <c r="L3017" t="n">
        <v>0.882</v>
      </c>
      <c r="M3017" t="n">
        <v>0.07000000000000001</v>
      </c>
    </row>
    <row r="3018" spans="1:13">
      <c r="A3018" s="1">
        <f>HYPERLINK("http://www.twitter.com/NathanBLawrence/status/984963399909101568", "984963399909101568")</f>
        <v/>
      </c>
      <c r="B3018" s="2" t="n">
        <v>43204.05263888889</v>
      </c>
      <c r="C3018" t="n">
        <v>0</v>
      </c>
      <c r="D3018" t="n">
        <v>6</v>
      </c>
      <c r="E3018" t="s">
        <v>2996</v>
      </c>
      <c r="F3018" t="s"/>
      <c r="G3018" t="s"/>
      <c r="H3018" t="s"/>
      <c r="I3018" t="s"/>
      <c r="J3018" t="n">
        <v>-0.3182</v>
      </c>
      <c r="K3018" t="n">
        <v>0.114</v>
      </c>
      <c r="L3018" t="n">
        <v>0.819</v>
      </c>
      <c r="M3018" t="n">
        <v>0.068</v>
      </c>
    </row>
    <row r="3019" spans="1:13">
      <c r="A3019" s="1">
        <f>HYPERLINK("http://www.twitter.com/NathanBLawrence/status/984963350495887371", "984963350495887371")</f>
        <v/>
      </c>
      <c r="B3019" s="2" t="n">
        <v>43204.05251157407</v>
      </c>
      <c r="C3019" t="n">
        <v>2</v>
      </c>
      <c r="D3019" t="n">
        <v>2</v>
      </c>
      <c r="E3019" t="s">
        <v>2997</v>
      </c>
      <c r="F3019" t="s"/>
      <c r="G3019" t="s"/>
      <c r="H3019" t="s"/>
      <c r="I3019" t="s"/>
      <c r="J3019" t="n">
        <v>0.7391</v>
      </c>
      <c r="K3019" t="n">
        <v>0.04</v>
      </c>
      <c r="L3019" t="n">
        <v>0.769</v>
      </c>
      <c r="M3019" t="n">
        <v>0.191</v>
      </c>
    </row>
    <row r="3020" spans="1:13">
      <c r="A3020" s="1">
        <f>HYPERLINK("http://www.twitter.com/NathanBLawrence/status/984962397474623488", "984962397474623488")</f>
        <v/>
      </c>
      <c r="B3020" s="2" t="n">
        <v>43204.04987268519</v>
      </c>
      <c r="C3020" t="n">
        <v>0</v>
      </c>
      <c r="D3020" t="n">
        <v>5150</v>
      </c>
      <c r="E3020" t="s">
        <v>2998</v>
      </c>
      <c r="F3020" t="s"/>
      <c r="G3020" t="s"/>
      <c r="H3020" t="s"/>
      <c r="I3020" t="s"/>
      <c r="J3020" t="n">
        <v>-0.5627</v>
      </c>
      <c r="K3020" t="n">
        <v>0.181</v>
      </c>
      <c r="L3020" t="n">
        <v>0.819</v>
      </c>
      <c r="M3020" t="n">
        <v>0</v>
      </c>
    </row>
    <row r="3021" spans="1:13">
      <c r="A3021" s="1">
        <f>HYPERLINK("http://www.twitter.com/NathanBLawrence/status/984962382106710017", "984962382106710017")</f>
        <v/>
      </c>
      <c r="B3021" s="2" t="n">
        <v>43204.04983796296</v>
      </c>
      <c r="C3021" t="n">
        <v>0</v>
      </c>
      <c r="D3021" t="n">
        <v>47</v>
      </c>
      <c r="E3021" t="s">
        <v>2999</v>
      </c>
      <c r="F3021" t="s"/>
      <c r="G3021" t="s"/>
      <c r="H3021" t="s"/>
      <c r="I3021" t="s"/>
      <c r="J3021" t="n">
        <v>0.0772</v>
      </c>
      <c r="K3021" t="n">
        <v>0.104</v>
      </c>
      <c r="L3021" t="n">
        <v>0.779</v>
      </c>
      <c r="M3021" t="n">
        <v>0.117</v>
      </c>
    </row>
    <row r="3022" spans="1:13">
      <c r="A3022" s="1">
        <f>HYPERLINK("http://www.twitter.com/NathanBLawrence/status/984959488968019970", "984959488968019970")</f>
        <v/>
      </c>
      <c r="B3022" s="2" t="n">
        <v>43204.04185185185</v>
      </c>
      <c r="C3022" t="n">
        <v>0</v>
      </c>
      <c r="D3022" t="n">
        <v>1</v>
      </c>
      <c r="E3022" t="s">
        <v>3000</v>
      </c>
      <c r="F3022" t="s"/>
      <c r="G3022" t="s"/>
      <c r="H3022" t="s"/>
      <c r="I3022" t="s"/>
      <c r="J3022" t="n">
        <v>0.4404</v>
      </c>
      <c r="K3022" t="n">
        <v>0</v>
      </c>
      <c r="L3022" t="n">
        <v>0.828</v>
      </c>
      <c r="M3022" t="n">
        <v>0.172</v>
      </c>
    </row>
    <row r="3023" spans="1:13">
      <c r="A3023" s="1">
        <f>HYPERLINK("http://www.twitter.com/NathanBLawrence/status/984959026436898817", "984959026436898817")</f>
        <v/>
      </c>
      <c r="B3023" s="2" t="n">
        <v>43204.0405787037</v>
      </c>
      <c r="C3023" t="n">
        <v>0</v>
      </c>
      <c r="D3023" t="n">
        <v>9</v>
      </c>
      <c r="E3023" t="s">
        <v>3001</v>
      </c>
      <c r="F3023" t="s"/>
      <c r="G3023" t="s"/>
      <c r="H3023" t="s"/>
      <c r="I3023" t="s"/>
      <c r="J3023" t="n">
        <v>0</v>
      </c>
      <c r="K3023" t="n">
        <v>0</v>
      </c>
      <c r="L3023" t="n">
        <v>1</v>
      </c>
      <c r="M3023" t="n">
        <v>0</v>
      </c>
    </row>
    <row r="3024" spans="1:13">
      <c r="A3024" s="1">
        <f>HYPERLINK("http://www.twitter.com/NathanBLawrence/status/984958997802508288", "984958997802508288")</f>
        <v/>
      </c>
      <c r="B3024" s="2" t="n">
        <v>43204.04049768519</v>
      </c>
      <c r="C3024" t="n">
        <v>0</v>
      </c>
      <c r="D3024" t="n">
        <v>12</v>
      </c>
      <c r="E3024" t="s">
        <v>3002</v>
      </c>
      <c r="F3024">
        <f>HYPERLINK("http://pbs.twimg.com/media/DasIk0dWAAsbhdG.jpg", "http://pbs.twimg.com/media/DasIk0dWAAsbhdG.jpg")</f>
        <v/>
      </c>
      <c r="G3024" t="s"/>
      <c r="H3024" t="s"/>
      <c r="I3024" t="s"/>
      <c r="J3024" t="n">
        <v>0.34</v>
      </c>
      <c r="K3024" t="n">
        <v>0</v>
      </c>
      <c r="L3024" t="n">
        <v>0.841</v>
      </c>
      <c r="M3024" t="n">
        <v>0.159</v>
      </c>
    </row>
    <row r="3025" spans="1:13">
      <c r="A3025" s="1">
        <f>HYPERLINK("http://www.twitter.com/NathanBLawrence/status/984956273358712832", "984956273358712832")</f>
        <v/>
      </c>
      <c r="B3025" s="2" t="n">
        <v>43204.03297453704</v>
      </c>
      <c r="C3025" t="n">
        <v>6</v>
      </c>
      <c r="D3025" t="n">
        <v>4</v>
      </c>
      <c r="E3025" t="s">
        <v>3003</v>
      </c>
      <c r="F3025" t="s"/>
      <c r="G3025" t="s"/>
      <c r="H3025" t="s"/>
      <c r="I3025" t="s"/>
      <c r="J3025" t="n">
        <v>0.8858</v>
      </c>
      <c r="K3025" t="n">
        <v>0</v>
      </c>
      <c r="L3025" t="n">
        <v>0.739</v>
      </c>
      <c r="M3025" t="n">
        <v>0.261</v>
      </c>
    </row>
    <row r="3026" spans="1:13">
      <c r="A3026" s="1">
        <f>HYPERLINK("http://www.twitter.com/NathanBLawrence/status/984955639926534144", "984955639926534144")</f>
        <v/>
      </c>
      <c r="B3026" s="2" t="n">
        <v>43204.03122685185</v>
      </c>
      <c r="C3026" t="n">
        <v>0</v>
      </c>
      <c r="D3026" t="n">
        <v>4</v>
      </c>
      <c r="E3026" t="s">
        <v>3004</v>
      </c>
      <c r="F3026" t="s"/>
      <c r="G3026" t="s"/>
      <c r="H3026" t="s"/>
      <c r="I3026" t="s"/>
      <c r="J3026" t="n">
        <v>-0.4995</v>
      </c>
      <c r="K3026" t="n">
        <v>0.168</v>
      </c>
      <c r="L3026" t="n">
        <v>0.832</v>
      </c>
      <c r="M3026" t="n">
        <v>0</v>
      </c>
    </row>
    <row r="3027" spans="1:13">
      <c r="A3027" s="1">
        <f>HYPERLINK("http://www.twitter.com/NathanBLawrence/status/984955489195909120", "984955489195909120")</f>
        <v/>
      </c>
      <c r="B3027" s="2" t="n">
        <v>43204.03081018518</v>
      </c>
      <c r="C3027" t="n">
        <v>0</v>
      </c>
      <c r="D3027" t="n">
        <v>1</v>
      </c>
      <c r="E3027" t="s">
        <v>3005</v>
      </c>
      <c r="F3027" t="s"/>
      <c r="G3027" t="s"/>
      <c r="H3027" t="s"/>
      <c r="I3027" t="s"/>
      <c r="J3027" t="n">
        <v>-0.4184</v>
      </c>
      <c r="K3027" t="n">
        <v>0.128</v>
      </c>
      <c r="L3027" t="n">
        <v>0.872</v>
      </c>
      <c r="M3027" t="n">
        <v>0</v>
      </c>
    </row>
    <row r="3028" spans="1:13">
      <c r="A3028" s="1">
        <f>HYPERLINK("http://www.twitter.com/NathanBLawrence/status/984955460196425729", "984955460196425729")</f>
        <v/>
      </c>
      <c r="B3028" s="2" t="n">
        <v>43204.03072916667</v>
      </c>
      <c r="C3028" t="n">
        <v>0</v>
      </c>
      <c r="D3028" t="n">
        <v>6</v>
      </c>
      <c r="E3028" t="s">
        <v>3006</v>
      </c>
      <c r="F3028" t="s"/>
      <c r="G3028" t="s"/>
      <c r="H3028" t="s"/>
      <c r="I3028" t="s"/>
      <c r="J3028" t="n">
        <v>0.6808</v>
      </c>
      <c r="K3028" t="n">
        <v>0</v>
      </c>
      <c r="L3028" t="n">
        <v>0.732</v>
      </c>
      <c r="M3028" t="n">
        <v>0.268</v>
      </c>
    </row>
    <row r="3029" spans="1:13">
      <c r="A3029" s="1">
        <f>HYPERLINK("http://www.twitter.com/NathanBLawrence/status/984955435382919173", "984955435382919173")</f>
        <v/>
      </c>
      <c r="B3029" s="2" t="n">
        <v>43204.0306712963</v>
      </c>
      <c r="C3029" t="n">
        <v>0</v>
      </c>
      <c r="D3029" t="n">
        <v>2</v>
      </c>
      <c r="E3029" t="s">
        <v>3007</v>
      </c>
      <c r="F3029" t="s"/>
      <c r="G3029" t="s"/>
      <c r="H3029" t="s"/>
      <c r="I3029" t="s"/>
      <c r="J3029" t="n">
        <v>0</v>
      </c>
      <c r="K3029" t="n">
        <v>0</v>
      </c>
      <c r="L3029" t="n">
        <v>1</v>
      </c>
      <c r="M3029" t="n">
        <v>0</v>
      </c>
    </row>
    <row r="3030" spans="1:13">
      <c r="A3030" s="1">
        <f>HYPERLINK("http://www.twitter.com/NathanBLawrence/status/984953877773672449", "984953877773672449")</f>
        <v/>
      </c>
      <c r="B3030" s="2" t="n">
        <v>43204.02636574074</v>
      </c>
      <c r="C3030" t="n">
        <v>1</v>
      </c>
      <c r="D3030" t="n">
        <v>0</v>
      </c>
      <c r="E3030" t="s">
        <v>3008</v>
      </c>
      <c r="F3030" t="s"/>
      <c r="G3030" t="s"/>
      <c r="H3030" t="s"/>
      <c r="I3030" t="s"/>
      <c r="J3030" t="n">
        <v>-0.6135</v>
      </c>
      <c r="K3030" t="n">
        <v>0.152</v>
      </c>
      <c r="L3030" t="n">
        <v>0.745</v>
      </c>
      <c r="M3030" t="n">
        <v>0.103</v>
      </c>
    </row>
    <row r="3031" spans="1:13">
      <c r="A3031" s="1">
        <f>HYPERLINK("http://www.twitter.com/NathanBLawrence/status/984953545324679168", "984953545324679168")</f>
        <v/>
      </c>
      <c r="B3031" s="2" t="n">
        <v>43204.02545138889</v>
      </c>
      <c r="C3031" t="n">
        <v>1</v>
      </c>
      <c r="D3031" t="n">
        <v>0</v>
      </c>
      <c r="E3031" t="s">
        <v>3009</v>
      </c>
      <c r="F3031" t="s"/>
      <c r="G3031" t="s"/>
      <c r="H3031" t="s"/>
      <c r="I3031" t="s"/>
      <c r="J3031" t="n">
        <v>0.3939</v>
      </c>
      <c r="K3031" t="n">
        <v>0.098</v>
      </c>
      <c r="L3031" t="n">
        <v>0.761</v>
      </c>
      <c r="M3031" t="n">
        <v>0.141</v>
      </c>
    </row>
    <row r="3032" spans="1:13">
      <c r="A3032" s="1">
        <f>HYPERLINK("http://www.twitter.com/NathanBLawrence/status/984952443237789697", "984952443237789697")</f>
        <v/>
      </c>
      <c r="B3032" s="2" t="n">
        <v>43204.02240740741</v>
      </c>
      <c r="C3032" t="n">
        <v>2</v>
      </c>
      <c r="D3032" t="n">
        <v>0</v>
      </c>
      <c r="E3032" t="s">
        <v>3010</v>
      </c>
      <c r="F3032" t="s"/>
      <c r="G3032" t="s"/>
      <c r="H3032" t="s"/>
      <c r="I3032" t="s"/>
      <c r="J3032" t="n">
        <v>0.4019</v>
      </c>
      <c r="K3032" t="n">
        <v>0</v>
      </c>
      <c r="L3032" t="n">
        <v>0.87</v>
      </c>
      <c r="M3032" t="n">
        <v>0.13</v>
      </c>
    </row>
    <row r="3033" spans="1:13">
      <c r="A3033" s="1">
        <f>HYPERLINK("http://www.twitter.com/NathanBLawrence/status/984952209988358144", "984952209988358144")</f>
        <v/>
      </c>
      <c r="B3033" s="2" t="n">
        <v>43204.02177083334</v>
      </c>
      <c r="C3033" t="n">
        <v>1</v>
      </c>
      <c r="D3033" t="n">
        <v>0</v>
      </c>
      <c r="E3033" t="s">
        <v>3011</v>
      </c>
      <c r="F3033" t="s"/>
      <c r="G3033" t="s"/>
      <c r="H3033" t="s"/>
      <c r="I3033" t="s"/>
      <c r="J3033" t="n">
        <v>-0.3612</v>
      </c>
      <c r="K3033" t="n">
        <v>0.333</v>
      </c>
      <c r="L3033" t="n">
        <v>0.667</v>
      </c>
      <c r="M3033" t="n">
        <v>0</v>
      </c>
    </row>
    <row r="3034" spans="1:13">
      <c r="A3034" s="1">
        <f>HYPERLINK("http://www.twitter.com/NathanBLawrence/status/984952180884066304", "984952180884066304")</f>
        <v/>
      </c>
      <c r="B3034" s="2" t="n">
        <v>43204.02168981481</v>
      </c>
      <c r="C3034" t="n">
        <v>0</v>
      </c>
      <c r="D3034" t="n">
        <v>1</v>
      </c>
      <c r="E3034" t="s">
        <v>3012</v>
      </c>
      <c r="F3034" t="s"/>
      <c r="G3034" t="s"/>
      <c r="H3034" t="s"/>
      <c r="I3034" t="s"/>
      <c r="J3034" t="n">
        <v>0</v>
      </c>
      <c r="K3034" t="n">
        <v>0.096</v>
      </c>
      <c r="L3034" t="n">
        <v>0.8080000000000001</v>
      </c>
      <c r="M3034" t="n">
        <v>0.096</v>
      </c>
    </row>
    <row r="3035" spans="1:13">
      <c r="A3035" s="1">
        <f>HYPERLINK("http://www.twitter.com/NathanBLawrence/status/984952129478676480", "984952129478676480")</f>
        <v/>
      </c>
      <c r="B3035" s="2" t="n">
        <v>43204.02153935185</v>
      </c>
      <c r="C3035" t="n">
        <v>0</v>
      </c>
      <c r="D3035" t="n">
        <v>0</v>
      </c>
      <c r="E3035" t="s">
        <v>3013</v>
      </c>
      <c r="F3035" t="s"/>
      <c r="G3035" t="s"/>
      <c r="H3035" t="s"/>
      <c r="I3035" t="s"/>
      <c r="J3035" t="n">
        <v>-0.8807</v>
      </c>
      <c r="K3035" t="n">
        <v>0.309</v>
      </c>
      <c r="L3035" t="n">
        <v>0.6909999999999999</v>
      </c>
      <c r="M3035" t="n">
        <v>0</v>
      </c>
    </row>
    <row r="3036" spans="1:13">
      <c r="A3036" s="1">
        <f>HYPERLINK("http://www.twitter.com/NathanBLawrence/status/984951981541388288", "984951981541388288")</f>
        <v/>
      </c>
      <c r="B3036" s="2" t="n">
        <v>43204.02113425926</v>
      </c>
      <c r="C3036" t="n">
        <v>0</v>
      </c>
      <c r="D3036" t="n">
        <v>0</v>
      </c>
      <c r="E3036" t="s">
        <v>3014</v>
      </c>
      <c r="F3036" t="s"/>
      <c r="G3036" t="s"/>
      <c r="H3036" t="s"/>
      <c r="I3036" t="s"/>
      <c r="J3036" t="n">
        <v>0.5514</v>
      </c>
      <c r="K3036" t="n">
        <v>0</v>
      </c>
      <c r="L3036" t="n">
        <v>0.6919999999999999</v>
      </c>
      <c r="M3036" t="n">
        <v>0.308</v>
      </c>
    </row>
    <row r="3037" spans="1:13">
      <c r="A3037" s="1">
        <f>HYPERLINK("http://www.twitter.com/NathanBLawrence/status/984951732949143552", "984951732949143552")</f>
        <v/>
      </c>
      <c r="B3037" s="2" t="n">
        <v>43204.02045138889</v>
      </c>
      <c r="C3037" t="n">
        <v>1</v>
      </c>
      <c r="D3037" t="n">
        <v>0</v>
      </c>
      <c r="E3037" t="s">
        <v>3015</v>
      </c>
      <c r="F3037" t="s"/>
      <c r="G3037" t="s"/>
      <c r="H3037" t="s"/>
      <c r="I3037" t="s"/>
      <c r="J3037" t="n">
        <v>0.1163</v>
      </c>
      <c r="K3037" t="n">
        <v>0.031</v>
      </c>
      <c r="L3037" t="n">
        <v>0.928</v>
      </c>
      <c r="M3037" t="n">
        <v>0.042</v>
      </c>
    </row>
    <row r="3038" spans="1:13">
      <c r="A3038" s="1">
        <f>HYPERLINK("http://www.twitter.com/NathanBLawrence/status/984951471216168960", "984951471216168960")</f>
        <v/>
      </c>
      <c r="B3038" s="2" t="n">
        <v>43204.01972222222</v>
      </c>
      <c r="C3038" t="n">
        <v>0</v>
      </c>
      <c r="D3038" t="n">
        <v>0</v>
      </c>
      <c r="E3038" t="s">
        <v>3016</v>
      </c>
      <c r="F3038" t="s"/>
      <c r="G3038" t="s"/>
      <c r="H3038" t="s"/>
      <c r="I3038" t="s"/>
      <c r="J3038" t="n">
        <v>-0.5719</v>
      </c>
      <c r="K3038" t="n">
        <v>0.147</v>
      </c>
      <c r="L3038" t="n">
        <v>0.751</v>
      </c>
      <c r="M3038" t="n">
        <v>0.102</v>
      </c>
    </row>
    <row r="3039" spans="1:13">
      <c r="A3039" s="1">
        <f>HYPERLINK("http://www.twitter.com/NathanBLawrence/status/984950559504519168", "984950559504519168")</f>
        <v/>
      </c>
      <c r="B3039" s="2" t="n">
        <v>43204.01721064815</v>
      </c>
      <c r="C3039" t="n">
        <v>1</v>
      </c>
      <c r="D3039" t="n">
        <v>0</v>
      </c>
      <c r="E3039" t="s">
        <v>3017</v>
      </c>
      <c r="F3039" t="s"/>
      <c r="G3039" t="s"/>
      <c r="H3039" t="s"/>
      <c r="I3039" t="s"/>
      <c r="J3039" t="n">
        <v>-0.9451000000000001</v>
      </c>
      <c r="K3039" t="n">
        <v>0.265</v>
      </c>
      <c r="L3039" t="n">
        <v>0.735</v>
      </c>
      <c r="M3039" t="n">
        <v>0</v>
      </c>
    </row>
    <row r="3040" spans="1:13">
      <c r="A3040" s="1">
        <f>HYPERLINK("http://www.twitter.com/NathanBLawrence/status/984950156431896576", "984950156431896576")</f>
        <v/>
      </c>
      <c r="B3040" s="2" t="n">
        <v>43204.01609953704</v>
      </c>
      <c r="C3040" t="n">
        <v>2</v>
      </c>
      <c r="D3040" t="n">
        <v>0</v>
      </c>
      <c r="E3040" t="s">
        <v>3018</v>
      </c>
      <c r="F3040" t="s"/>
      <c r="G3040" t="s"/>
      <c r="H3040" t="s"/>
      <c r="I3040" t="s"/>
      <c r="J3040" t="n">
        <v>-0.5508</v>
      </c>
      <c r="K3040" t="n">
        <v>0.138</v>
      </c>
      <c r="L3040" t="n">
        <v>0.786</v>
      </c>
      <c r="M3040" t="n">
        <v>0.076</v>
      </c>
    </row>
    <row r="3041" spans="1:13">
      <c r="A3041" s="1">
        <f>HYPERLINK("http://www.twitter.com/NathanBLawrence/status/984949676993544193", "984949676993544193")</f>
        <v/>
      </c>
      <c r="B3041" s="2" t="n">
        <v>43204.01478009259</v>
      </c>
      <c r="C3041" t="n">
        <v>8</v>
      </c>
      <c r="D3041" t="n">
        <v>6</v>
      </c>
      <c r="E3041" t="s">
        <v>3019</v>
      </c>
      <c r="F3041" t="s"/>
      <c r="G3041" t="s"/>
      <c r="H3041" t="s"/>
      <c r="I3041" t="s"/>
      <c r="J3041" t="n">
        <v>-0.1354</v>
      </c>
      <c r="K3041" t="n">
        <v>0.081</v>
      </c>
      <c r="L3041" t="n">
        <v>0.848</v>
      </c>
      <c r="M3041" t="n">
        <v>0.07000000000000001</v>
      </c>
    </row>
    <row r="3042" spans="1:13">
      <c r="A3042" s="1">
        <f>HYPERLINK("http://www.twitter.com/NathanBLawrence/status/984949169528897536", "984949169528897536")</f>
        <v/>
      </c>
      <c r="B3042" s="2" t="n">
        <v>43204.01337962963</v>
      </c>
      <c r="C3042" t="n">
        <v>0</v>
      </c>
      <c r="D3042" t="n">
        <v>23</v>
      </c>
      <c r="E3042" t="s">
        <v>3020</v>
      </c>
      <c r="F3042">
        <f>HYPERLINK("http://pbs.twimg.com/media/DasutJIWsAAhbq7.jpg", "http://pbs.twimg.com/media/DasutJIWsAAhbq7.jpg")</f>
        <v/>
      </c>
      <c r="G3042" t="s"/>
      <c r="H3042" t="s"/>
      <c r="I3042" t="s"/>
      <c r="J3042" t="n">
        <v>-0.8777</v>
      </c>
      <c r="K3042" t="n">
        <v>0.371</v>
      </c>
      <c r="L3042" t="n">
        <v>0.586</v>
      </c>
      <c r="M3042" t="n">
        <v>0.042</v>
      </c>
    </row>
    <row r="3043" spans="1:13">
      <c r="A3043" s="1">
        <f>HYPERLINK("http://www.twitter.com/NathanBLawrence/status/984948956412203008", "984948956412203008")</f>
        <v/>
      </c>
      <c r="B3043" s="2" t="n">
        <v>43204.01278935185</v>
      </c>
      <c r="C3043" t="n">
        <v>2</v>
      </c>
      <c r="D3043" t="n">
        <v>0</v>
      </c>
      <c r="E3043" t="s">
        <v>3021</v>
      </c>
      <c r="F3043" t="s"/>
      <c r="G3043" t="s"/>
      <c r="H3043" t="s"/>
      <c r="I3043" t="s"/>
      <c r="J3043" t="n">
        <v>0.3818</v>
      </c>
      <c r="K3043" t="n">
        <v>0.104</v>
      </c>
      <c r="L3043" t="n">
        <v>0.735</v>
      </c>
      <c r="M3043" t="n">
        <v>0.161</v>
      </c>
    </row>
    <row r="3044" spans="1:13">
      <c r="A3044" s="1">
        <f>HYPERLINK("http://www.twitter.com/NathanBLawrence/status/984948631160741888", "984948631160741888")</f>
        <v/>
      </c>
      <c r="B3044" s="2" t="n">
        <v>43204.01188657407</v>
      </c>
      <c r="C3044" t="n">
        <v>3</v>
      </c>
      <c r="D3044" t="n">
        <v>0</v>
      </c>
      <c r="E3044" t="s">
        <v>3022</v>
      </c>
      <c r="F3044" t="s"/>
      <c r="G3044" t="s"/>
      <c r="H3044" t="s"/>
      <c r="I3044" t="s"/>
      <c r="J3044" t="n">
        <v>-0.5927</v>
      </c>
      <c r="K3044" t="n">
        <v>0.23</v>
      </c>
      <c r="L3044" t="n">
        <v>0.611</v>
      </c>
      <c r="M3044" t="n">
        <v>0.158</v>
      </c>
    </row>
    <row r="3045" spans="1:13">
      <c r="A3045" s="1">
        <f>HYPERLINK("http://www.twitter.com/NathanBLawrence/status/984948151734996994", "984948151734996994")</f>
        <v/>
      </c>
      <c r="B3045" s="2" t="n">
        <v>43204.01056712963</v>
      </c>
      <c r="C3045" t="n">
        <v>7</v>
      </c>
      <c r="D3045" t="n">
        <v>1</v>
      </c>
      <c r="E3045" t="s">
        <v>3023</v>
      </c>
      <c r="F3045" t="s"/>
      <c r="G3045" t="s"/>
      <c r="H3045" t="s"/>
      <c r="I3045" t="s"/>
      <c r="J3045" t="n">
        <v>-0.5903</v>
      </c>
      <c r="K3045" t="n">
        <v>0.122</v>
      </c>
      <c r="L3045" t="n">
        <v>0.8120000000000001</v>
      </c>
      <c r="M3045" t="n">
        <v>0.066</v>
      </c>
    </row>
    <row r="3046" spans="1:13">
      <c r="A3046" s="1">
        <f>HYPERLINK("http://www.twitter.com/NathanBLawrence/status/984947568043024384", "984947568043024384")</f>
        <v/>
      </c>
      <c r="B3046" s="2" t="n">
        <v>43204.00895833333</v>
      </c>
      <c r="C3046" t="n">
        <v>0</v>
      </c>
      <c r="D3046" t="n">
        <v>2</v>
      </c>
      <c r="E3046" t="s">
        <v>3024</v>
      </c>
      <c r="F3046" t="s"/>
      <c r="G3046" t="s"/>
      <c r="H3046" t="s"/>
      <c r="I3046" t="s"/>
      <c r="J3046" t="n">
        <v>-0.3595</v>
      </c>
      <c r="K3046" t="n">
        <v>0.185</v>
      </c>
      <c r="L3046" t="n">
        <v>0.8149999999999999</v>
      </c>
      <c r="M3046" t="n">
        <v>0</v>
      </c>
    </row>
    <row r="3047" spans="1:13">
      <c r="A3047" s="1">
        <f>HYPERLINK("http://www.twitter.com/NathanBLawrence/status/984947552545107968", "984947552545107968")</f>
        <v/>
      </c>
      <c r="B3047" s="2" t="n">
        <v>43204.00891203704</v>
      </c>
      <c r="C3047" t="n">
        <v>0</v>
      </c>
      <c r="D3047" t="n">
        <v>1</v>
      </c>
      <c r="E3047" t="s">
        <v>3025</v>
      </c>
      <c r="F3047" t="s"/>
      <c r="G3047" t="s"/>
      <c r="H3047" t="s"/>
      <c r="I3047" t="s"/>
      <c r="J3047" t="n">
        <v>0.1531</v>
      </c>
      <c r="K3047" t="n">
        <v>0</v>
      </c>
      <c r="L3047" t="n">
        <v>0.922</v>
      </c>
      <c r="M3047" t="n">
        <v>0.078</v>
      </c>
    </row>
    <row r="3048" spans="1:13">
      <c r="A3048" s="1">
        <f>HYPERLINK("http://www.twitter.com/NathanBLawrence/status/984947444302733312", "984947444302733312")</f>
        <v/>
      </c>
      <c r="B3048" s="2" t="n">
        <v>43204.00861111111</v>
      </c>
      <c r="C3048" t="n">
        <v>6</v>
      </c>
      <c r="D3048" t="n">
        <v>2</v>
      </c>
      <c r="E3048" t="s">
        <v>3026</v>
      </c>
      <c r="F3048" t="s"/>
      <c r="G3048" t="s"/>
      <c r="H3048" t="s"/>
      <c r="I3048" t="s"/>
      <c r="J3048" t="n">
        <v>-0.6486</v>
      </c>
      <c r="K3048" t="n">
        <v>0.099</v>
      </c>
      <c r="L3048" t="n">
        <v>0.901</v>
      </c>
      <c r="M3048" t="n">
        <v>0</v>
      </c>
    </row>
    <row r="3049" spans="1:13">
      <c r="A3049" s="1">
        <f>HYPERLINK("http://www.twitter.com/NathanBLawrence/status/984946983961092096", "984946983961092096")</f>
        <v/>
      </c>
      <c r="B3049" s="2" t="n">
        <v>43204.00734953704</v>
      </c>
      <c r="C3049" t="n">
        <v>8</v>
      </c>
      <c r="D3049" t="n">
        <v>6</v>
      </c>
      <c r="E3049" t="s">
        <v>3027</v>
      </c>
      <c r="F3049" t="s"/>
      <c r="G3049" t="s"/>
      <c r="H3049" t="s"/>
      <c r="I3049" t="s"/>
      <c r="J3049" t="n">
        <v>-0.2732</v>
      </c>
      <c r="K3049" t="n">
        <v>0.15</v>
      </c>
      <c r="L3049" t="n">
        <v>0.702</v>
      </c>
      <c r="M3049" t="n">
        <v>0.148</v>
      </c>
    </row>
    <row r="3050" spans="1:13">
      <c r="A3050" s="1">
        <f>HYPERLINK("http://www.twitter.com/NathanBLawrence/status/984946816599896064", "984946816599896064")</f>
        <v/>
      </c>
      <c r="B3050" s="2" t="n">
        <v>43204.00688657408</v>
      </c>
      <c r="C3050" t="n">
        <v>1</v>
      </c>
      <c r="D3050" t="n">
        <v>0</v>
      </c>
      <c r="E3050" t="s">
        <v>3028</v>
      </c>
      <c r="F3050" t="s"/>
      <c r="G3050" t="s"/>
      <c r="H3050" t="s"/>
      <c r="I3050" t="s"/>
      <c r="J3050" t="n">
        <v>-0.2732</v>
      </c>
      <c r="K3050" t="n">
        <v>0.15</v>
      </c>
      <c r="L3050" t="n">
        <v>0.702</v>
      </c>
      <c r="M3050" t="n">
        <v>0.148</v>
      </c>
    </row>
    <row r="3051" spans="1:13">
      <c r="A3051" s="1">
        <f>HYPERLINK("http://www.twitter.com/NathanBLawrence/status/984945446371151872", "984945446371151872")</f>
        <v/>
      </c>
      <c r="B3051" s="2" t="n">
        <v>43204.00310185185</v>
      </c>
      <c r="C3051" t="n">
        <v>0</v>
      </c>
      <c r="D3051" t="n">
        <v>5</v>
      </c>
      <c r="E3051" t="s">
        <v>3029</v>
      </c>
      <c r="F3051" t="s"/>
      <c r="G3051" t="s"/>
      <c r="H3051" t="s"/>
      <c r="I3051" t="s"/>
      <c r="J3051" t="n">
        <v>0</v>
      </c>
      <c r="K3051" t="n">
        <v>0</v>
      </c>
      <c r="L3051" t="n">
        <v>1</v>
      </c>
      <c r="M3051" t="n">
        <v>0</v>
      </c>
    </row>
    <row r="3052" spans="1:13">
      <c r="A3052" s="1">
        <f>HYPERLINK("http://www.twitter.com/NathanBLawrence/status/984945432429244416", "984945432429244416")</f>
        <v/>
      </c>
      <c r="B3052" s="2" t="n">
        <v>43204.00306712963</v>
      </c>
      <c r="C3052" t="n">
        <v>3</v>
      </c>
      <c r="D3052" t="n">
        <v>1</v>
      </c>
      <c r="E3052" t="s">
        <v>3030</v>
      </c>
      <c r="F3052" t="s"/>
      <c r="G3052" t="s"/>
      <c r="H3052" t="s"/>
      <c r="I3052" t="s"/>
      <c r="J3052" t="n">
        <v>-0.2177</v>
      </c>
      <c r="K3052" t="n">
        <v>0.1</v>
      </c>
      <c r="L3052" t="n">
        <v>0.82</v>
      </c>
      <c r="M3052" t="n">
        <v>0.081</v>
      </c>
    </row>
    <row r="3053" spans="1:13">
      <c r="A3053" s="1">
        <f>HYPERLINK("http://www.twitter.com/NathanBLawrence/status/984944874901385217", "984944874901385217")</f>
        <v/>
      </c>
      <c r="B3053" s="2" t="n">
        <v>43204.00152777778</v>
      </c>
      <c r="C3053" t="n">
        <v>0</v>
      </c>
      <c r="D3053" t="n">
        <v>11</v>
      </c>
      <c r="E3053" t="s">
        <v>3031</v>
      </c>
      <c r="F3053">
        <f>HYPERLINK("http://pbs.twimg.com/media/DasLqm_WsAIwK7o.jpg", "http://pbs.twimg.com/media/DasLqm_WsAIwK7o.jpg")</f>
        <v/>
      </c>
      <c r="G3053" t="s"/>
      <c r="H3053" t="s"/>
      <c r="I3053" t="s"/>
      <c r="J3053" t="n">
        <v>0.6114000000000001</v>
      </c>
      <c r="K3053" t="n">
        <v>0</v>
      </c>
      <c r="L3053" t="n">
        <v>0.84</v>
      </c>
      <c r="M3053" t="n">
        <v>0.16</v>
      </c>
    </row>
    <row r="3054" spans="1:13">
      <c r="A3054" s="1">
        <f>HYPERLINK("http://www.twitter.com/NathanBLawrence/status/984808993443995648", "984808993443995648")</f>
        <v/>
      </c>
      <c r="B3054" s="2" t="n">
        <v>43203.6265625</v>
      </c>
      <c r="C3054" t="n">
        <v>1</v>
      </c>
      <c r="D3054" t="n">
        <v>1</v>
      </c>
      <c r="E3054" t="s">
        <v>3032</v>
      </c>
      <c r="F3054" t="s"/>
      <c r="G3054" t="s"/>
      <c r="H3054" t="s"/>
      <c r="I3054" t="s"/>
      <c r="J3054" t="n">
        <v>-0.296</v>
      </c>
      <c r="K3054" t="n">
        <v>0.113</v>
      </c>
      <c r="L3054" t="n">
        <v>0.822</v>
      </c>
      <c r="M3054" t="n">
        <v>0.064</v>
      </c>
    </row>
    <row r="3055" spans="1:13">
      <c r="A3055" s="1">
        <f>HYPERLINK("http://www.twitter.com/NathanBLawrence/status/984797063325081600", "984797063325081600")</f>
        <v/>
      </c>
      <c r="B3055" s="2" t="n">
        <v>43203.59364583333</v>
      </c>
      <c r="C3055" t="n">
        <v>0</v>
      </c>
      <c r="D3055" t="n">
        <v>1204</v>
      </c>
      <c r="E3055" t="s">
        <v>3033</v>
      </c>
      <c r="F3055" t="s"/>
      <c r="G3055" t="s"/>
      <c r="H3055" t="s"/>
      <c r="I3055" t="s"/>
      <c r="J3055" t="n">
        <v>-0.1027</v>
      </c>
      <c r="K3055" t="n">
        <v>0.08</v>
      </c>
      <c r="L3055" t="n">
        <v>0.92</v>
      </c>
      <c r="M3055" t="n">
        <v>0</v>
      </c>
    </row>
    <row r="3056" spans="1:13">
      <c r="A3056" s="1">
        <f>HYPERLINK("http://www.twitter.com/NathanBLawrence/status/984797047206408192", "984797047206408192")</f>
        <v/>
      </c>
      <c r="B3056" s="2" t="n">
        <v>43203.59359953704</v>
      </c>
      <c r="C3056" t="n">
        <v>0</v>
      </c>
      <c r="D3056" t="n">
        <v>1917</v>
      </c>
      <c r="E3056" t="s">
        <v>3034</v>
      </c>
      <c r="F3056">
        <f>HYPERLINK("https://video.twimg.com/amplify_video/984615371595534336/vid/1280x720/nS2mCeHsEaw7XkRw.mp4?tag=2", "https://video.twimg.com/amplify_video/984615371595534336/vid/1280x720/nS2mCeHsEaw7XkRw.mp4?tag=2")</f>
        <v/>
      </c>
      <c r="G3056" t="s"/>
      <c r="H3056" t="s"/>
      <c r="I3056" t="s"/>
      <c r="J3056" t="n">
        <v>0</v>
      </c>
      <c r="K3056" t="n">
        <v>0</v>
      </c>
      <c r="L3056" t="n">
        <v>1</v>
      </c>
      <c r="M3056" t="n">
        <v>0</v>
      </c>
    </row>
    <row r="3057" spans="1:13">
      <c r="A3057" s="1">
        <f>HYPERLINK("http://www.twitter.com/NathanBLawrence/status/984797000414752768", "984797000414752768")</f>
        <v/>
      </c>
      <c r="B3057" s="2" t="n">
        <v>43203.59347222222</v>
      </c>
      <c r="C3057" t="n">
        <v>0</v>
      </c>
      <c r="D3057" t="n">
        <v>4059</v>
      </c>
      <c r="E3057" t="s">
        <v>3035</v>
      </c>
      <c r="F3057" t="s"/>
      <c r="G3057" t="s"/>
      <c r="H3057" t="s"/>
      <c r="I3057" t="s"/>
      <c r="J3057" t="n">
        <v>0</v>
      </c>
      <c r="K3057" t="n">
        <v>0</v>
      </c>
      <c r="L3057" t="n">
        <v>1</v>
      </c>
      <c r="M3057" t="n">
        <v>0</v>
      </c>
    </row>
    <row r="3058" spans="1:13">
      <c r="A3058" s="1">
        <f>HYPERLINK("http://www.twitter.com/NathanBLawrence/status/984796955263062018", "984796955263062018")</f>
        <v/>
      </c>
      <c r="B3058" s="2" t="n">
        <v>43203.59334490741</v>
      </c>
      <c r="C3058" t="n">
        <v>0</v>
      </c>
      <c r="D3058" t="n">
        <v>0</v>
      </c>
      <c r="E3058" t="s">
        <v>3036</v>
      </c>
      <c r="F3058" t="s"/>
      <c r="G3058" t="s"/>
      <c r="H3058" t="s"/>
      <c r="I3058" t="s"/>
      <c r="J3058" t="n">
        <v>0.5374</v>
      </c>
      <c r="K3058" t="n">
        <v>0</v>
      </c>
      <c r="L3058" t="n">
        <v>0.801</v>
      </c>
      <c r="M3058" t="n">
        <v>0.199</v>
      </c>
    </row>
    <row r="3059" spans="1:13">
      <c r="A3059" s="1">
        <f>HYPERLINK("http://www.twitter.com/NathanBLawrence/status/984796755635122178", "984796755635122178")</f>
        <v/>
      </c>
      <c r="B3059" s="2" t="n">
        <v>43203.59278935185</v>
      </c>
      <c r="C3059" t="n">
        <v>0</v>
      </c>
      <c r="D3059" t="n">
        <v>2824</v>
      </c>
      <c r="E3059" t="s">
        <v>3037</v>
      </c>
      <c r="F3059">
        <f>HYPERLINK("http://pbs.twimg.com/media/DaoqcZ-W4AAxAm0.jpg", "http://pbs.twimg.com/media/DaoqcZ-W4AAxAm0.jpg")</f>
        <v/>
      </c>
      <c r="G3059" t="s"/>
      <c r="H3059" t="s"/>
      <c r="I3059" t="s"/>
      <c r="J3059" t="n">
        <v>-0.2732</v>
      </c>
      <c r="K3059" t="n">
        <v>0.08699999999999999</v>
      </c>
      <c r="L3059" t="n">
        <v>0.87</v>
      </c>
      <c r="M3059" t="n">
        <v>0.043</v>
      </c>
    </row>
    <row r="3060" spans="1:13">
      <c r="A3060" s="1">
        <f>HYPERLINK("http://www.twitter.com/NathanBLawrence/status/984796741051539459", "984796741051539459")</f>
        <v/>
      </c>
      <c r="B3060" s="2" t="n">
        <v>43203.59275462963</v>
      </c>
      <c r="C3060" t="n">
        <v>0</v>
      </c>
      <c r="D3060" t="n">
        <v>0</v>
      </c>
      <c r="E3060" t="s">
        <v>3038</v>
      </c>
      <c r="F3060" t="s"/>
      <c r="G3060" t="s"/>
      <c r="H3060" t="s"/>
      <c r="I3060" t="s"/>
      <c r="J3060" t="n">
        <v>-0.7215</v>
      </c>
      <c r="K3060" t="n">
        <v>0.288</v>
      </c>
      <c r="L3060" t="n">
        <v>0.619</v>
      </c>
      <c r="M3060" t="n">
        <v>0.093</v>
      </c>
    </row>
    <row r="3061" spans="1:13">
      <c r="A3061" s="1">
        <f>HYPERLINK("http://www.twitter.com/NathanBLawrence/status/984796527599194113", "984796527599194113")</f>
        <v/>
      </c>
      <c r="B3061" s="2" t="n">
        <v>43203.59216435185</v>
      </c>
      <c r="C3061" t="n">
        <v>0</v>
      </c>
      <c r="D3061" t="n">
        <v>21449</v>
      </c>
      <c r="E3061" t="s">
        <v>3039</v>
      </c>
      <c r="F3061" t="s"/>
      <c r="G3061" t="s"/>
      <c r="H3061" t="s"/>
      <c r="I3061" t="s"/>
      <c r="J3061" t="n">
        <v>0.1451</v>
      </c>
      <c r="K3061" t="n">
        <v>0.096</v>
      </c>
      <c r="L3061" t="n">
        <v>0.784</v>
      </c>
      <c r="M3061" t="n">
        <v>0.12</v>
      </c>
    </row>
    <row r="3062" spans="1:13">
      <c r="A3062" s="1">
        <f>HYPERLINK("http://www.twitter.com/NathanBLawrence/status/984796064309006337", "984796064309006337")</f>
        <v/>
      </c>
      <c r="B3062" s="2" t="n">
        <v>43203.5908912037</v>
      </c>
      <c r="C3062" t="n">
        <v>0</v>
      </c>
      <c r="D3062" t="n">
        <v>1</v>
      </c>
      <c r="E3062" t="s">
        <v>3040</v>
      </c>
      <c r="F3062" t="s"/>
      <c r="G3062" t="s"/>
      <c r="H3062" t="s"/>
      <c r="I3062" t="s"/>
      <c r="J3062" t="n">
        <v>0.7906</v>
      </c>
      <c r="K3062" t="n">
        <v>0</v>
      </c>
      <c r="L3062" t="n">
        <v>0.8179999999999999</v>
      </c>
      <c r="M3062" t="n">
        <v>0.182</v>
      </c>
    </row>
    <row r="3063" spans="1:13">
      <c r="A3063" s="1">
        <f>HYPERLINK("http://www.twitter.com/NathanBLawrence/status/984794038363742208", "984794038363742208")</f>
        <v/>
      </c>
      <c r="B3063" s="2" t="n">
        <v>43203.58528935185</v>
      </c>
      <c r="C3063" t="n">
        <v>0</v>
      </c>
      <c r="D3063" t="n">
        <v>10</v>
      </c>
      <c r="E3063" t="s">
        <v>3041</v>
      </c>
      <c r="F3063">
        <f>HYPERLINK("http://pbs.twimg.com/media/DaqI_4jVAAA-cd7.jpg", "http://pbs.twimg.com/media/DaqI_4jVAAA-cd7.jpg")</f>
        <v/>
      </c>
      <c r="G3063">
        <f>HYPERLINK("http://pbs.twimg.com/media/DaqI_4mVwAEf4A0.jpg", "http://pbs.twimg.com/media/DaqI_4mVwAEf4A0.jpg")</f>
        <v/>
      </c>
      <c r="H3063" t="s"/>
      <c r="I3063" t="s"/>
      <c r="J3063" t="n">
        <v>0.7213000000000001</v>
      </c>
      <c r="K3063" t="n">
        <v>0.06</v>
      </c>
      <c r="L3063" t="n">
        <v>0.737</v>
      </c>
      <c r="M3063" t="n">
        <v>0.203</v>
      </c>
    </row>
    <row r="3064" spans="1:13">
      <c r="A3064" s="1">
        <f>HYPERLINK("http://www.twitter.com/NathanBLawrence/status/984794021582266369", "984794021582266369")</f>
        <v/>
      </c>
      <c r="B3064" s="2" t="n">
        <v>43203.58524305555</v>
      </c>
      <c r="C3064" t="n">
        <v>0</v>
      </c>
      <c r="D3064" t="n">
        <v>9</v>
      </c>
      <c r="E3064" t="s">
        <v>3042</v>
      </c>
      <c r="F3064" t="s"/>
      <c r="G3064" t="s"/>
      <c r="H3064" t="s"/>
      <c r="I3064" t="s"/>
      <c r="J3064" t="n">
        <v>0.5574</v>
      </c>
      <c r="K3064" t="n">
        <v>0</v>
      </c>
      <c r="L3064" t="n">
        <v>0.82</v>
      </c>
      <c r="M3064" t="n">
        <v>0.18</v>
      </c>
    </row>
    <row r="3065" spans="1:13">
      <c r="A3065" s="1">
        <f>HYPERLINK("http://www.twitter.com/NathanBLawrence/status/984794004947701760", "984794004947701760")</f>
        <v/>
      </c>
      <c r="B3065" s="2" t="n">
        <v>43203.58520833333</v>
      </c>
      <c r="C3065" t="n">
        <v>0</v>
      </c>
      <c r="D3065" t="n">
        <v>9</v>
      </c>
      <c r="E3065" t="s">
        <v>3043</v>
      </c>
      <c r="F3065">
        <f>HYPERLINK("http://pbs.twimg.com/media/Dap1RiiXkAA5EUJ.jpg", "http://pbs.twimg.com/media/Dap1RiiXkAA5EUJ.jpg")</f>
        <v/>
      </c>
      <c r="G3065" t="s"/>
      <c r="H3065" t="s"/>
      <c r="I3065" t="s"/>
      <c r="J3065" t="n">
        <v>0.3182</v>
      </c>
      <c r="K3065" t="n">
        <v>0</v>
      </c>
      <c r="L3065" t="n">
        <v>0.919</v>
      </c>
      <c r="M3065" t="n">
        <v>0.081</v>
      </c>
    </row>
    <row r="3066" spans="1:13">
      <c r="A3066" s="1">
        <f>HYPERLINK("http://www.twitter.com/NathanBLawrence/status/984793987256119296", "984793987256119296")</f>
        <v/>
      </c>
      <c r="B3066" s="2" t="n">
        <v>43203.58515046296</v>
      </c>
      <c r="C3066" t="n">
        <v>0</v>
      </c>
      <c r="D3066" t="n">
        <v>5</v>
      </c>
      <c r="E3066" t="s">
        <v>3044</v>
      </c>
      <c r="F3066" t="s"/>
      <c r="G3066" t="s"/>
      <c r="H3066" t="s"/>
      <c r="I3066" t="s"/>
      <c r="J3066" t="n">
        <v>-0.5707</v>
      </c>
      <c r="K3066" t="n">
        <v>0.17</v>
      </c>
      <c r="L3066" t="n">
        <v>0.83</v>
      </c>
      <c r="M3066" t="n">
        <v>0</v>
      </c>
    </row>
    <row r="3067" spans="1:13">
      <c r="A3067" s="1">
        <f>HYPERLINK("http://www.twitter.com/NathanBLawrence/status/984793957539483648", "984793957539483648")</f>
        <v/>
      </c>
      <c r="B3067" s="2" t="n">
        <v>43203.58506944445</v>
      </c>
      <c r="C3067" t="n">
        <v>0</v>
      </c>
      <c r="D3067" t="n">
        <v>0</v>
      </c>
      <c r="E3067" t="s">
        <v>3045</v>
      </c>
      <c r="F3067" t="s"/>
      <c r="G3067" t="s"/>
      <c r="H3067" t="s"/>
      <c r="I3067" t="s"/>
      <c r="J3067" t="n">
        <v>0.163</v>
      </c>
      <c r="K3067" t="n">
        <v>0.11</v>
      </c>
      <c r="L3067" t="n">
        <v>0.769</v>
      </c>
      <c r="M3067" t="n">
        <v>0.122</v>
      </c>
    </row>
    <row r="3068" spans="1:13">
      <c r="A3068" s="1">
        <f>HYPERLINK("http://www.twitter.com/NathanBLawrence/status/984793418126721024", "984793418126721024")</f>
        <v/>
      </c>
      <c r="B3068" s="2" t="n">
        <v>43203.58358796296</v>
      </c>
      <c r="C3068" t="n">
        <v>0</v>
      </c>
      <c r="D3068" t="n">
        <v>6</v>
      </c>
      <c r="E3068" t="s">
        <v>3046</v>
      </c>
      <c r="F3068" t="s"/>
      <c r="G3068" t="s"/>
      <c r="H3068" t="s"/>
      <c r="I3068" t="s"/>
      <c r="J3068" t="n">
        <v>-0.722</v>
      </c>
      <c r="K3068" t="n">
        <v>0.287</v>
      </c>
      <c r="L3068" t="n">
        <v>0.713</v>
      </c>
      <c r="M3068" t="n">
        <v>0</v>
      </c>
    </row>
    <row r="3069" spans="1:13">
      <c r="A3069" s="1">
        <f>HYPERLINK("http://www.twitter.com/NathanBLawrence/status/984793376607350786", "984793376607350786")</f>
        <v/>
      </c>
      <c r="B3069" s="2" t="n">
        <v>43203.58347222222</v>
      </c>
      <c r="C3069" t="n">
        <v>0</v>
      </c>
      <c r="D3069" t="n">
        <v>5</v>
      </c>
      <c r="E3069" t="s">
        <v>3047</v>
      </c>
      <c r="F3069" t="s"/>
      <c r="G3069" t="s"/>
      <c r="H3069" t="s"/>
      <c r="I3069" t="s"/>
      <c r="J3069" t="n">
        <v>-0.2168</v>
      </c>
      <c r="K3069" t="n">
        <v>0.177</v>
      </c>
      <c r="L3069" t="n">
        <v>0.677</v>
      </c>
      <c r="M3069" t="n">
        <v>0.146</v>
      </c>
    </row>
    <row r="3070" spans="1:13">
      <c r="A3070" s="1">
        <f>HYPERLINK("http://www.twitter.com/NathanBLawrence/status/984793312203870208", "984793312203870208")</f>
        <v/>
      </c>
      <c r="B3070" s="2" t="n">
        <v>43203.58328703704</v>
      </c>
      <c r="C3070" t="n">
        <v>0</v>
      </c>
      <c r="D3070" t="n">
        <v>0</v>
      </c>
      <c r="E3070" t="s">
        <v>3048</v>
      </c>
      <c r="F3070" t="s"/>
      <c r="G3070" t="s"/>
      <c r="H3070" t="s"/>
      <c r="I3070" t="s"/>
      <c r="J3070" t="n">
        <v>0.6209</v>
      </c>
      <c r="K3070" t="n">
        <v>0.129</v>
      </c>
      <c r="L3070" t="n">
        <v>0.554</v>
      </c>
      <c r="M3070" t="n">
        <v>0.317</v>
      </c>
    </row>
    <row r="3071" spans="1:13">
      <c r="A3071" s="1">
        <f>HYPERLINK("http://www.twitter.com/NathanBLawrence/status/984793079973662720", "984793079973662720")</f>
        <v/>
      </c>
      <c r="B3071" s="2" t="n">
        <v>43203.58265046297</v>
      </c>
      <c r="C3071" t="n">
        <v>0</v>
      </c>
      <c r="D3071" t="n">
        <v>7</v>
      </c>
      <c r="E3071" t="s">
        <v>3049</v>
      </c>
      <c r="F3071" t="s"/>
      <c r="G3071" t="s"/>
      <c r="H3071" t="s"/>
      <c r="I3071" t="s"/>
      <c r="J3071" t="n">
        <v>-0.0389</v>
      </c>
      <c r="K3071" t="n">
        <v>0.145</v>
      </c>
      <c r="L3071" t="n">
        <v>0.755</v>
      </c>
      <c r="M3071" t="n">
        <v>0.1</v>
      </c>
    </row>
    <row r="3072" spans="1:13">
      <c r="A3072" s="1">
        <f>HYPERLINK("http://www.twitter.com/NathanBLawrence/status/984793061971693569", "984793061971693569")</f>
        <v/>
      </c>
      <c r="B3072" s="2" t="n">
        <v>43203.58260416667</v>
      </c>
      <c r="C3072" t="n">
        <v>0</v>
      </c>
      <c r="D3072" t="n">
        <v>7</v>
      </c>
      <c r="E3072" t="s">
        <v>3050</v>
      </c>
      <c r="F3072">
        <f>HYPERLINK("http://pbs.twimg.com/media/Dap8tW_WsAAdNbV.jpg", "http://pbs.twimg.com/media/Dap8tW_WsAAdNbV.jpg")</f>
        <v/>
      </c>
      <c r="G3072" t="s"/>
      <c r="H3072" t="s"/>
      <c r="I3072" t="s"/>
      <c r="J3072" t="n">
        <v>-0.717</v>
      </c>
      <c r="K3072" t="n">
        <v>0.269</v>
      </c>
      <c r="L3072" t="n">
        <v>0.731</v>
      </c>
      <c r="M3072" t="n">
        <v>0</v>
      </c>
    </row>
    <row r="3073" spans="1:13">
      <c r="A3073" s="1">
        <f>HYPERLINK("http://www.twitter.com/NathanBLawrence/status/984793022520070144", "984793022520070144")</f>
        <v/>
      </c>
      <c r="B3073" s="2" t="n">
        <v>43203.58248842593</v>
      </c>
      <c r="C3073" t="n">
        <v>0</v>
      </c>
      <c r="D3073" t="n">
        <v>8</v>
      </c>
      <c r="E3073" t="s">
        <v>3051</v>
      </c>
      <c r="F3073" t="s"/>
      <c r="G3073" t="s"/>
      <c r="H3073" t="s"/>
      <c r="I3073" t="s"/>
      <c r="J3073" t="n">
        <v>-0.7264</v>
      </c>
      <c r="K3073" t="n">
        <v>0.234</v>
      </c>
      <c r="L3073" t="n">
        <v>0.766</v>
      </c>
      <c r="M3073" t="n">
        <v>0</v>
      </c>
    </row>
    <row r="3074" spans="1:13">
      <c r="A3074" s="1">
        <f>HYPERLINK("http://www.twitter.com/NathanBLawrence/status/984793004618797056", "984793004618797056")</f>
        <v/>
      </c>
      <c r="B3074" s="2" t="n">
        <v>43203.58244212963</v>
      </c>
      <c r="C3074" t="n">
        <v>0</v>
      </c>
      <c r="D3074" t="n">
        <v>3</v>
      </c>
      <c r="E3074" t="s">
        <v>3052</v>
      </c>
      <c r="F3074" t="s"/>
      <c r="G3074" t="s"/>
      <c r="H3074" t="s"/>
      <c r="I3074" t="s"/>
      <c r="J3074" t="n">
        <v>0.3382</v>
      </c>
      <c r="K3074" t="n">
        <v>0</v>
      </c>
      <c r="L3074" t="n">
        <v>0.676</v>
      </c>
      <c r="M3074" t="n">
        <v>0.324</v>
      </c>
    </row>
    <row r="3075" spans="1:13">
      <c r="A3075" s="1">
        <f>HYPERLINK("http://www.twitter.com/NathanBLawrence/status/984792993587712000", "984792993587712000")</f>
        <v/>
      </c>
      <c r="B3075" s="2" t="n">
        <v>43203.5824074074</v>
      </c>
      <c r="C3075" t="n">
        <v>0</v>
      </c>
      <c r="D3075" t="n">
        <v>3</v>
      </c>
      <c r="E3075" t="s">
        <v>3053</v>
      </c>
      <c r="F3075" t="s"/>
      <c r="G3075" t="s"/>
      <c r="H3075" t="s"/>
      <c r="I3075" t="s"/>
      <c r="J3075" t="n">
        <v>0.1531</v>
      </c>
      <c r="K3075" t="n">
        <v>0.206</v>
      </c>
      <c r="L3075" t="n">
        <v>0.645</v>
      </c>
      <c r="M3075" t="n">
        <v>0.149</v>
      </c>
    </row>
    <row r="3076" spans="1:13">
      <c r="A3076" s="1">
        <f>HYPERLINK("http://www.twitter.com/NathanBLawrence/status/984792907398991873", "984792907398991873")</f>
        <v/>
      </c>
      <c r="B3076" s="2" t="n">
        <v>43203.58217592593</v>
      </c>
      <c r="C3076" t="n">
        <v>1</v>
      </c>
      <c r="D3076" t="n">
        <v>0</v>
      </c>
      <c r="E3076" t="s">
        <v>3054</v>
      </c>
      <c r="F3076" t="s"/>
      <c r="G3076" t="s"/>
      <c r="H3076" t="s"/>
      <c r="I3076" t="s"/>
      <c r="J3076" t="n">
        <v>0.4404</v>
      </c>
      <c r="K3076" t="n">
        <v>0</v>
      </c>
      <c r="L3076" t="n">
        <v>0.508</v>
      </c>
      <c r="M3076" t="n">
        <v>0.492</v>
      </c>
    </row>
    <row r="3077" spans="1:13">
      <c r="A3077" s="1">
        <f>HYPERLINK("http://www.twitter.com/NathanBLawrence/status/984792779883794432", "984792779883794432")</f>
        <v/>
      </c>
      <c r="B3077" s="2" t="n">
        <v>43203.58181712963</v>
      </c>
      <c r="C3077" t="n">
        <v>0</v>
      </c>
      <c r="D3077" t="n">
        <v>6</v>
      </c>
      <c r="E3077" t="s">
        <v>3055</v>
      </c>
      <c r="F3077">
        <f>HYPERLINK("http://pbs.twimg.com/media/DaqTsZgWkAInKN7.jpg", "http://pbs.twimg.com/media/DaqTsZgWkAInKN7.jpg")</f>
        <v/>
      </c>
      <c r="G3077" t="s"/>
      <c r="H3077" t="s"/>
      <c r="I3077" t="s"/>
      <c r="J3077" t="n">
        <v>-0.4199</v>
      </c>
      <c r="K3077" t="n">
        <v>0.134</v>
      </c>
      <c r="L3077" t="n">
        <v>0.866</v>
      </c>
      <c r="M3077" t="n">
        <v>0</v>
      </c>
    </row>
    <row r="3078" spans="1:13">
      <c r="A3078" s="1">
        <f>HYPERLINK("http://www.twitter.com/NathanBLawrence/status/984792730290327552", "984792730290327552")</f>
        <v/>
      </c>
      <c r="B3078" s="2" t="n">
        <v>43203.58168981481</v>
      </c>
      <c r="C3078" t="n">
        <v>0</v>
      </c>
      <c r="D3078" t="n">
        <v>16</v>
      </c>
      <c r="E3078" t="s">
        <v>3056</v>
      </c>
      <c r="F3078" t="s"/>
      <c r="G3078" t="s"/>
      <c r="H3078" t="s"/>
      <c r="I3078" t="s"/>
      <c r="J3078" t="n">
        <v>0</v>
      </c>
      <c r="K3078" t="n">
        <v>0</v>
      </c>
      <c r="L3078" t="n">
        <v>1</v>
      </c>
      <c r="M3078" t="n">
        <v>0</v>
      </c>
    </row>
    <row r="3079" spans="1:13">
      <c r="A3079" s="1">
        <f>HYPERLINK("http://www.twitter.com/NathanBLawrence/status/984792717715701761", "984792717715701761")</f>
        <v/>
      </c>
      <c r="B3079" s="2" t="n">
        <v>43203.5816550926</v>
      </c>
      <c r="C3079" t="n">
        <v>0</v>
      </c>
      <c r="D3079" t="n">
        <v>8</v>
      </c>
      <c r="E3079" t="s">
        <v>3057</v>
      </c>
      <c r="F3079">
        <f>HYPERLINK("http://pbs.twimg.com/media/DaqibrBVQAA5Vfz.jpg", "http://pbs.twimg.com/media/DaqibrBVQAA5Vfz.jpg")</f>
        <v/>
      </c>
      <c r="G3079" t="s"/>
      <c r="H3079" t="s"/>
      <c r="I3079" t="s"/>
      <c r="J3079" t="n">
        <v>0.6071</v>
      </c>
      <c r="K3079" t="n">
        <v>0.103</v>
      </c>
      <c r="L3079" t="n">
        <v>0.575</v>
      </c>
      <c r="M3079" t="n">
        <v>0.322</v>
      </c>
    </row>
    <row r="3080" spans="1:13">
      <c r="A3080" s="1">
        <f>HYPERLINK("http://www.twitter.com/NathanBLawrence/status/984792685990105088", "984792685990105088")</f>
        <v/>
      </c>
      <c r="B3080" s="2" t="n">
        <v>43203.5815625</v>
      </c>
      <c r="C3080" t="n">
        <v>0</v>
      </c>
      <c r="D3080" t="n">
        <v>0</v>
      </c>
      <c r="E3080" t="s">
        <v>3058</v>
      </c>
      <c r="F3080" t="s"/>
      <c r="G3080" t="s"/>
      <c r="H3080" t="s"/>
      <c r="I3080" t="s"/>
      <c r="J3080" t="n">
        <v>-0.7096</v>
      </c>
      <c r="K3080" t="n">
        <v>0.211</v>
      </c>
      <c r="L3080" t="n">
        <v>0.789</v>
      </c>
      <c r="M3080" t="n">
        <v>0</v>
      </c>
    </row>
    <row r="3081" spans="1:13">
      <c r="A3081" s="1">
        <f>HYPERLINK("http://www.twitter.com/NathanBLawrence/status/984792524698071040", "984792524698071040")</f>
        <v/>
      </c>
      <c r="B3081" s="2" t="n">
        <v>43203.58112268519</v>
      </c>
      <c r="C3081" t="n">
        <v>0</v>
      </c>
      <c r="D3081" t="n">
        <v>2</v>
      </c>
      <c r="E3081" t="s">
        <v>3059</v>
      </c>
      <c r="F3081" t="s"/>
      <c r="G3081" t="s"/>
      <c r="H3081" t="s"/>
      <c r="I3081" t="s"/>
      <c r="J3081" t="n">
        <v>0.1154</v>
      </c>
      <c r="K3081" t="n">
        <v>0</v>
      </c>
      <c r="L3081" t="n">
        <v>0.921</v>
      </c>
      <c r="M3081" t="n">
        <v>0.079</v>
      </c>
    </row>
    <row r="3082" spans="1:13">
      <c r="A3082" s="1">
        <f>HYPERLINK("http://www.twitter.com/NathanBLawrence/status/984792279612383232", "984792279612383232")</f>
        <v/>
      </c>
      <c r="B3082" s="2" t="n">
        <v>43203.58043981482</v>
      </c>
      <c r="C3082" t="n">
        <v>0</v>
      </c>
      <c r="D3082" t="n">
        <v>3</v>
      </c>
      <c r="E3082" t="s">
        <v>3060</v>
      </c>
      <c r="F3082" t="s"/>
      <c r="G3082" t="s"/>
      <c r="H3082" t="s"/>
      <c r="I3082" t="s"/>
      <c r="J3082" t="n">
        <v>0</v>
      </c>
      <c r="K3082" t="n">
        <v>0</v>
      </c>
      <c r="L3082" t="n">
        <v>1</v>
      </c>
      <c r="M3082" t="n">
        <v>0</v>
      </c>
    </row>
    <row r="3083" spans="1:13">
      <c r="A3083" s="1">
        <f>HYPERLINK("http://www.twitter.com/NathanBLawrence/status/984792231679754241", "984792231679754241")</f>
        <v/>
      </c>
      <c r="B3083" s="2" t="n">
        <v>43203.5803125</v>
      </c>
      <c r="C3083" t="n">
        <v>0</v>
      </c>
      <c r="D3083" t="n">
        <v>5</v>
      </c>
      <c r="E3083" t="s">
        <v>3061</v>
      </c>
      <c r="F3083" t="s"/>
      <c r="G3083" t="s"/>
      <c r="H3083" t="s"/>
      <c r="I3083" t="s"/>
      <c r="J3083" t="n">
        <v>0.0772</v>
      </c>
      <c r="K3083" t="n">
        <v>0.102</v>
      </c>
      <c r="L3083" t="n">
        <v>0.784</v>
      </c>
      <c r="M3083" t="n">
        <v>0.114</v>
      </c>
    </row>
    <row r="3084" spans="1:13">
      <c r="A3084" s="1">
        <f>HYPERLINK("http://www.twitter.com/NathanBLawrence/status/984792190256930818", "984792190256930818")</f>
        <v/>
      </c>
      <c r="B3084" s="2" t="n">
        <v>43203.58019675926</v>
      </c>
      <c r="C3084" t="n">
        <v>0</v>
      </c>
      <c r="D3084" t="n">
        <v>10</v>
      </c>
      <c r="E3084" t="s">
        <v>3062</v>
      </c>
      <c r="F3084" t="s"/>
      <c r="G3084" t="s"/>
      <c r="H3084" t="s"/>
      <c r="I3084" t="s"/>
      <c r="J3084" t="n">
        <v>0.2732</v>
      </c>
      <c r="K3084" t="n">
        <v>0.09</v>
      </c>
      <c r="L3084" t="n">
        <v>0.773</v>
      </c>
      <c r="M3084" t="n">
        <v>0.137</v>
      </c>
    </row>
    <row r="3085" spans="1:13">
      <c r="A3085" s="1">
        <f>HYPERLINK("http://www.twitter.com/NathanBLawrence/status/984792173085380608", "984792173085380608")</f>
        <v/>
      </c>
      <c r="B3085" s="2" t="n">
        <v>43203.58015046296</v>
      </c>
      <c r="C3085" t="n">
        <v>0</v>
      </c>
      <c r="D3085" t="n">
        <v>6</v>
      </c>
      <c r="E3085" t="s">
        <v>3063</v>
      </c>
      <c r="F3085" t="s"/>
      <c r="G3085" t="s"/>
      <c r="H3085" t="s"/>
      <c r="I3085" t="s"/>
      <c r="J3085" t="n">
        <v>-0.3919</v>
      </c>
      <c r="K3085" t="n">
        <v>0.161</v>
      </c>
      <c r="L3085" t="n">
        <v>0.839</v>
      </c>
      <c r="M3085" t="n">
        <v>0</v>
      </c>
    </row>
    <row r="3086" spans="1:13">
      <c r="A3086" s="1">
        <f>HYPERLINK("http://www.twitter.com/NathanBLawrence/status/984792157436416001", "984792157436416001")</f>
        <v/>
      </c>
      <c r="B3086" s="2" t="n">
        <v>43203.58010416666</v>
      </c>
      <c r="C3086" t="n">
        <v>0</v>
      </c>
      <c r="D3086" t="n">
        <v>8</v>
      </c>
      <c r="E3086" t="s">
        <v>3064</v>
      </c>
      <c r="F3086" t="s"/>
      <c r="G3086" t="s"/>
      <c r="H3086" t="s"/>
      <c r="I3086" t="s"/>
      <c r="J3086" t="n">
        <v>0</v>
      </c>
      <c r="K3086" t="n">
        <v>0</v>
      </c>
      <c r="L3086" t="n">
        <v>1</v>
      </c>
      <c r="M3086" t="n">
        <v>0</v>
      </c>
    </row>
    <row r="3087" spans="1:13">
      <c r="A3087" s="1">
        <f>HYPERLINK("http://www.twitter.com/NathanBLawrence/status/984792131410808834", "984792131410808834")</f>
        <v/>
      </c>
      <c r="B3087" s="2" t="n">
        <v>43203.58003472222</v>
      </c>
      <c r="C3087" t="n">
        <v>0</v>
      </c>
      <c r="D3087" t="n">
        <v>54</v>
      </c>
      <c r="E3087" t="s">
        <v>3065</v>
      </c>
      <c r="F3087">
        <f>HYPERLINK("http://pbs.twimg.com/media/DaqOcEsWkAAugsX.jpg", "http://pbs.twimg.com/media/DaqOcEsWkAAugsX.jpg")</f>
        <v/>
      </c>
      <c r="G3087" t="s"/>
      <c r="H3087" t="s"/>
      <c r="I3087" t="s"/>
      <c r="J3087" t="n">
        <v>0</v>
      </c>
      <c r="K3087" t="n">
        <v>0</v>
      </c>
      <c r="L3087" t="n">
        <v>1</v>
      </c>
      <c r="M3087" t="n">
        <v>0</v>
      </c>
    </row>
    <row r="3088" spans="1:13">
      <c r="A3088" s="1">
        <f>HYPERLINK("http://www.twitter.com/NathanBLawrence/status/984792110929981441", "984792110929981441")</f>
        <v/>
      </c>
      <c r="B3088" s="2" t="n">
        <v>43203.57997685186</v>
      </c>
      <c r="C3088" t="n">
        <v>0</v>
      </c>
      <c r="D3088" t="n">
        <v>48</v>
      </c>
      <c r="E3088" t="s">
        <v>3066</v>
      </c>
      <c r="F3088">
        <f>HYPERLINK("http://pbs.twimg.com/media/DamZNw0WAAIm8Kv.jpg", "http://pbs.twimg.com/media/DamZNw0WAAIm8Kv.jpg")</f>
        <v/>
      </c>
      <c r="G3088" t="s"/>
      <c r="H3088" t="s"/>
      <c r="I3088" t="s"/>
      <c r="J3088" t="n">
        <v>-0.7717000000000001</v>
      </c>
      <c r="K3088" t="n">
        <v>0.325</v>
      </c>
      <c r="L3088" t="n">
        <v>0.675</v>
      </c>
      <c r="M3088" t="n">
        <v>0</v>
      </c>
    </row>
    <row r="3089" spans="1:13">
      <c r="A3089" s="1">
        <f>HYPERLINK("http://www.twitter.com/NathanBLawrence/status/984792003065073665", "984792003065073665")</f>
        <v/>
      </c>
      <c r="B3089" s="2" t="n">
        <v>43203.57967592592</v>
      </c>
      <c r="C3089" t="n">
        <v>0</v>
      </c>
      <c r="D3089" t="n">
        <v>0</v>
      </c>
      <c r="E3089" t="s">
        <v>3067</v>
      </c>
      <c r="F3089" t="s"/>
      <c r="G3089" t="s"/>
      <c r="H3089" t="s"/>
      <c r="I3089" t="s"/>
      <c r="J3089" t="n">
        <v>-0.128</v>
      </c>
      <c r="K3089" t="n">
        <v>0.077</v>
      </c>
      <c r="L3089" t="n">
        <v>0.923</v>
      </c>
      <c r="M3089" t="n">
        <v>0</v>
      </c>
    </row>
    <row r="3090" spans="1:13">
      <c r="A3090" s="1">
        <f>HYPERLINK("http://www.twitter.com/NathanBLawrence/status/984791778388791298", "984791778388791298")</f>
        <v/>
      </c>
      <c r="B3090" s="2" t="n">
        <v>43203.5790625</v>
      </c>
      <c r="C3090" t="n">
        <v>0</v>
      </c>
      <c r="D3090" t="n">
        <v>223</v>
      </c>
      <c r="E3090" t="s">
        <v>3068</v>
      </c>
      <c r="F3090" t="s"/>
      <c r="G3090" t="s"/>
      <c r="H3090" t="s"/>
      <c r="I3090" t="s"/>
      <c r="J3090" t="n">
        <v>-0.0516</v>
      </c>
      <c r="K3090" t="n">
        <v>0.116</v>
      </c>
      <c r="L3090" t="n">
        <v>0.776</v>
      </c>
      <c r="M3090" t="n">
        <v>0.108</v>
      </c>
    </row>
    <row r="3091" spans="1:13">
      <c r="A3091" s="1">
        <f>HYPERLINK("http://www.twitter.com/NathanBLawrence/status/984791753738858496", "984791753738858496")</f>
        <v/>
      </c>
      <c r="B3091" s="2" t="n">
        <v>43203.57899305555</v>
      </c>
      <c r="C3091" t="n">
        <v>0</v>
      </c>
      <c r="D3091" t="n">
        <v>8</v>
      </c>
      <c r="E3091" t="s">
        <v>3069</v>
      </c>
      <c r="F3091" t="s"/>
      <c r="G3091" t="s"/>
      <c r="H3091" t="s"/>
      <c r="I3091" t="s"/>
      <c r="J3091" t="n">
        <v>0.296</v>
      </c>
      <c r="K3091" t="n">
        <v>0</v>
      </c>
      <c r="L3091" t="n">
        <v>0.909</v>
      </c>
      <c r="M3091" t="n">
        <v>0.091</v>
      </c>
    </row>
    <row r="3092" spans="1:13">
      <c r="A3092" s="1">
        <f>HYPERLINK("http://www.twitter.com/NathanBLawrence/status/984791668531580928", "984791668531580928")</f>
        <v/>
      </c>
      <c r="B3092" s="2" t="n">
        <v>43203.57875</v>
      </c>
      <c r="C3092" t="n">
        <v>0</v>
      </c>
      <c r="D3092" t="n">
        <v>5920</v>
      </c>
      <c r="E3092" t="s">
        <v>3070</v>
      </c>
      <c r="F3092" t="s"/>
      <c r="G3092" t="s"/>
      <c r="H3092" t="s"/>
      <c r="I3092" t="s"/>
      <c r="J3092" t="n">
        <v>-0.5106000000000001</v>
      </c>
      <c r="K3092" t="n">
        <v>0.139</v>
      </c>
      <c r="L3092" t="n">
        <v>0.8110000000000001</v>
      </c>
      <c r="M3092" t="n">
        <v>0.05</v>
      </c>
    </row>
    <row r="3093" spans="1:13">
      <c r="A3093" s="1">
        <f>HYPERLINK("http://www.twitter.com/NathanBLawrence/status/984791603872260096", "984791603872260096")</f>
        <v/>
      </c>
      <c r="B3093" s="2" t="n">
        <v>43203.57857638889</v>
      </c>
      <c r="C3093" t="n">
        <v>0</v>
      </c>
      <c r="D3093" t="n">
        <v>16480</v>
      </c>
      <c r="E3093" t="s">
        <v>3071</v>
      </c>
      <c r="F3093" t="s"/>
      <c r="G3093" t="s"/>
      <c r="H3093" t="s"/>
      <c r="I3093" t="s"/>
      <c r="J3093" t="n">
        <v>0.5859</v>
      </c>
      <c r="K3093" t="n">
        <v>0</v>
      </c>
      <c r="L3093" t="n">
        <v>0.78</v>
      </c>
      <c r="M3093" t="n">
        <v>0.22</v>
      </c>
    </row>
    <row r="3094" spans="1:13">
      <c r="A3094" s="1">
        <f>HYPERLINK("http://www.twitter.com/NathanBLawrence/status/984653936702427136", "984653936702427136")</f>
        <v/>
      </c>
      <c r="B3094" s="2" t="n">
        <v>43203.19869212963</v>
      </c>
      <c r="C3094" t="n">
        <v>0</v>
      </c>
      <c r="D3094" t="n">
        <v>14</v>
      </c>
      <c r="E3094" t="s">
        <v>3072</v>
      </c>
      <c r="F3094">
        <f>HYPERLINK("http://pbs.twimg.com/media/DamGtUyVwAAqC8f.jpg", "http://pbs.twimg.com/media/DamGtUyVwAAqC8f.jpg")</f>
        <v/>
      </c>
      <c r="G3094" t="s"/>
      <c r="H3094" t="s"/>
      <c r="I3094" t="s"/>
      <c r="J3094" t="n">
        <v>0.128</v>
      </c>
      <c r="K3094" t="n">
        <v>0</v>
      </c>
      <c r="L3094" t="n">
        <v>0.9330000000000001</v>
      </c>
      <c r="M3094" t="n">
        <v>0.067</v>
      </c>
    </row>
    <row r="3095" spans="1:13">
      <c r="A3095" s="1">
        <f>HYPERLINK("http://www.twitter.com/NathanBLawrence/status/984653917748432896", "984653917748432896")</f>
        <v/>
      </c>
      <c r="B3095" s="2" t="n">
        <v>43203.19863425926</v>
      </c>
      <c r="C3095" t="n">
        <v>0</v>
      </c>
      <c r="D3095" t="n">
        <v>23</v>
      </c>
      <c r="E3095" t="s">
        <v>3073</v>
      </c>
      <c r="F3095">
        <f>HYPERLINK("http://pbs.twimg.com/media/DamaWz0VAAAWVLo.jpg", "http://pbs.twimg.com/media/DamaWz0VAAAWVLo.jpg")</f>
        <v/>
      </c>
      <c r="G3095" t="s"/>
      <c r="H3095" t="s"/>
      <c r="I3095" t="s"/>
      <c r="J3095" t="n">
        <v>0</v>
      </c>
      <c r="K3095" t="n">
        <v>0</v>
      </c>
      <c r="L3095" t="n">
        <v>1</v>
      </c>
      <c r="M3095"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