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<sst xmlns="http://schemas.openxmlformats.org/spreadsheetml/2006/main" uniqueCount="3130">
  <si>
    <t>id</t>
  </si>
  <si>
    <t>created_at</t>
  </si>
  <si>
    <t>fav</t>
  </si>
  <si>
    <t>rt</t>
  </si>
  <si>
    <t>text</t>
  </si>
  <si>
    <t>media1</t>
  </si>
  <si>
    <t>media2</t>
  </si>
  <si>
    <t>media3</t>
  </si>
  <si>
    <t>media4</t>
  </si>
  <si>
    <t>compound</t>
  </si>
  <si>
    <t>neg</t>
  </si>
  <si>
    <t>neu</t>
  </si>
  <si>
    <t>pos</t>
  </si>
  <si>
    <t>@AlabamaPopulist @Hope4Hopeless1 @LylaRTurner @EricGreitens @POTUS @realDonaldTrump @POTUS_Schedule @GovGreitensMO @SykesforSenate It's called righteous indignation which you know nothing about.</t>
  </si>
  <si>
    <t>RT @Hope4Hopeless1: @LylaRTurner @EricGreitens @POTUS @realDonaldTrump @POTUS_Schedule @GovGreitensMO Nope! I'm one PISSED OFF real FLESH &amp;amp;…</t>
  </si>
  <si>
    <t>@bigricanman @womensmarch Mandatory death penalty for cop killers.</t>
  </si>
  <si>
    <t>RT @bigricanman: @womensmarch Are you going to demand justice for the murderer of #DebraClayton who was a black, female police officer exec…</t>
  </si>
  <si>
    <t>RT @SykesforSenate: You're a fool. Democrats have grown so accustomed to their corrupted "police state" justice system that they no longer…</t>
  </si>
  <si>
    <t>RT @Nov2018election: @BigLeague2020 @TracyJordan4GA #JORDAN4GA https://t.co/fKxsVyJ5Xp</t>
  </si>
  <si>
    <t>RT @BigLeague2020: #DrainTheSwamp is not just a Hashtag, it’s a movement.
#GAPOL today is your day to #DrainTheSwamp.
VOTE @TracyJordan4G…</t>
  </si>
  <si>
    <t>Mandatory death penalty for cop killers.
https://t.co/hDVLGqnYgI</t>
  </si>
  <si>
    <t>RT @LuannKeller: @Nov2018election @VFL2013 Please Don't JUST vote.  Know the issues..not just the headlines.  Know the campaign promises.…</t>
  </si>
  <si>
    <t>RT @940_Lady_H: @Nov2018election YOUR VOICE. ASK FOR PAPER BALLOT! 🇺🇸 VOTE RED!!
🛑#RedWaveRising2018 https://t.co/uNEwseODQp</t>
  </si>
  <si>
    <t>RT @HDowning113: @Nov2018election Please VOTE TODAY🇺🇸🇺🇸 https://t.co/1H4lgxYdLX</t>
  </si>
  <si>
    <t>RT @Nov2018election: VOTE IN YOUR PRIMARY TODAY!
✔️ GEORGIA 
✔️ARKANSAS 
✔️KENTUCKY 
✔️TEXAS RUNOFFS 
#JUSTVOTE #PRIMARYDAY https://t.co/…</t>
  </si>
  <si>
    <t>@SiddonsDan @NancyPelosi @OliverMcGee @realDonaldTrump Is it me? Nancy, calls them "illegals" then says they don't break the law.</t>
  </si>
  <si>
    <t>Really? Equal time. How bout we hire Patricia Heaton to make a movie portraying Monica Lewinsky?
https://t.co/dJF6ImLdj3</t>
  </si>
  <si>
    <t>RT @CHIZMAGA: Carlsbad, CA votes 4-1 OPPOSING Governor Brown’s Sanctuary State Laws!
Congrats Citizens of Carlsbad!</t>
  </si>
  <si>
    <t>RT @JW1057: @RealTravisCook @blackwidow07 @Markknight45 @magathemaga1 @VisioDeiFromLA @Avenge_mypeople @grcfay @EricGreitens @TeamGreitens…</t>
  </si>
  <si>
    <t>RT @magathemaga1: The problem is the house lied. 
They can’t establish credibility as THEY NEVER EVEN CROSS EXAMINED THE WITNESS 
House t…</t>
  </si>
  <si>
    <t>RT @Avenge_mypeople: Look, this special prosecutor is so biased, she would be good with convicting men by using anonymous women. That works…</t>
  </si>
  <si>
    <t>RT @blackwidow07: @VisioDeiFromLA @RealTravisCook @Markknight45 @magathemaga1 @Avenge_mypeople @grcfay @EricGreitens @TeamGreitens @Rep_TRi…</t>
  </si>
  <si>
    <t>RT @RealTravisCook: @blackwidow07 @Markknight45 @magathemaga1 @VisioDeiFromLA @Avenge_mypeople @grcfay @EricGreitens @TeamGreitens @Rep_TRi…</t>
  </si>
  <si>
    <t>RT @VisioDeiFromLA: @RealTravisCook @blackwidow07 @Markknight45 @magathemaga1 @Avenge_mypeople @grcfay @EricGreitens @TeamGreitens @Rep_TRi…</t>
  </si>
  <si>
    <t>RT @Hope4Hopeless1: @RealTravisCook @blackwidow07 @Markknight45 @magathemaga1 @VisioDeiFromLA @Avenge_mypeople @grcfay @EricGreitens @TeamG…</t>
  </si>
  <si>
    <t>RT @magathemaga1: @Avenge_mypeople @grcfay @EricGreitens #moleg #greitens #mogov
The woman already prejudged the case!
hope @TeamGreitens…</t>
  </si>
  <si>
    <t>@USANEWS007 My mother's white.
Swear on a stack of Qur'ans I'm not lying.</t>
  </si>
  <si>
    <t>@David_Hogg16 @davidhogg111 You're an American hero yourself David. You held your head high, weathered a terrible storm, and any veteran would be proud to have a young man like you as a friend.</t>
  </si>
  <si>
    <t>RT @David_Hogg16: Our veterans are our heroes! Young people, like me, need to give back. RT &amp;amp; help me find that special veteran in need in…</t>
  </si>
  <si>
    <t>RT @joel_capizzi: @AlexFreiheit2 @SykesforSenate @brannumpants @smart_hillbilly @Change If by "neo-con" you mean Sykes is a Navy veteran wh…</t>
  </si>
  <si>
    <t>RT @smart_hillbilly: @Hope4Hopeless1 @AlexFreiheit2 @joel_capizzi @SykesforSenate @brannumpants @Change @AP4Liberty Lol, we don't want a "s…</t>
  </si>
  <si>
    <t>@MsAvaArmstrong @EOLeinberger @realDonaldTrump That was the plan. Have Trump testify, "catch" him on some fabricated "evidence" and impeach him. One must remember facts nor the rule of law mean zip to the deep state. Fortunately, Rudy is Trump's lawyer now. Jeff Sessions is useless.</t>
  </si>
  <si>
    <t>RT @Thomas1774Paine: Rod Rosenstein just left White House. Popcorn.</t>
  </si>
  <si>
    <t>RT @TamaHinckley: Demanding Help and Protection for Persecuted and Dying Christians in Pakistan at the U.N. Human Rights Council https://t.…</t>
  </si>
  <si>
    <t>RT @irshroz: Love this... https://t.co/5kBktu1B7O</t>
  </si>
  <si>
    <t>RT @thecjpearson: Conservatives will disagree with you and hit you with the facts. 
Liberals will disagree with and hit you with the name-…</t>
  </si>
  <si>
    <t>RT @EntheosShines: @PrisonPlanet These demons unknowingly get it right.  
Communism is nearly the exact same thing as Nazism
Just like th…</t>
  </si>
  <si>
    <t>RT @gbroh10: GOP LAWMAKERS VOW TO DROP HAMMER IN NEXT 24 HOURS 
ON FBI-DOJ CORRUPTION 
#TickTock
#FBICorruption 
#DOJStonewalling
"On Tue…</t>
  </si>
  <si>
    <t>@BigLeague2020 @Hope4Hopeless1 @AlexFreiheit2 @SykesforSenate @brannumpants @smart_hillbilly @Change @AP4Liberty Thank you.</t>
  </si>
  <si>
    <t>RT @BigLeague2020: @joel_capizzi @Hope4Hopeless1 @AlexFreiheit2 @SykesforSenate @brannumpants @smart_hillbilly @Change @AP4Liberty Your ver…</t>
  </si>
  <si>
    <t>@LovesRemo @WilkowMajority @SykesforSenate I honestly don't know what more Missouri could want in a Senate candidate. I really don't.</t>
  </si>
  <si>
    <t>RT @joel_capizzi: @LovesRemo @WilkowMajority @SykesforSenate @SykesforSenate 2018 https://t.co/zf8YQdSlm2</t>
  </si>
  <si>
    <t>RT @RaisedbyTexans2: @Nov2018election We must support POTUS by voting in MAGA candidates in every race in every state! Our Nation's surviva…</t>
  </si>
  <si>
    <t>RT @BigLeague2020: @Nov2018election “Make sure you are doing what God wants you to do then do it with all your strength.” George Washington…</t>
  </si>
  <si>
    <t>RT @mpringlemn: @Nov2018election #DrainTheSwamp... https://t.co/KRCDE3x0aG</t>
  </si>
  <si>
    <t>RT @mayrasons2: @Nov2018election PLS keep Retweeting!</t>
  </si>
  <si>
    <t>RT @purplemeatballs: @Nov2018election Vote the Democrat Jerks Out that Will Raise Your Taxes https://t.co/hgc8LIR1QK</t>
  </si>
  <si>
    <t>RT @ra_changing: @Nov2018election @Chris11962  https://t.co/qBSPznxOCd</t>
  </si>
  <si>
    <t>RT @Nov2018election: @CricketBe1  https://t.co/gpsqlGxDl3</t>
  </si>
  <si>
    <t>RT @Nov2018election: @ArlenWms Why you turning this against him🤔He has never been a politician. My point is vote out all career politicians.</t>
  </si>
  <si>
    <t>RT @Nov2018election: @ArlenWms That’s what makes America great. We can vote and have our own opinions. I believe they’re all corrupt! They…</t>
  </si>
  <si>
    <t>RT @Nov2018election: @ArlenWms If you don’t believe they’re all corrupt then vote them out for our own imposed term limits. It’s a public s…</t>
  </si>
  <si>
    <t>@LovesRemo @WilkowMajority @SykesforSenate @SykesforSenate 2018 https://t.co/zf8YQdSlm2</t>
  </si>
  <si>
    <t>RT @Nov2018election: Don’t forget to vote out state and local swamp🐍🐍 Get a sample ballot to look over before you vote!</t>
  </si>
  <si>
    <t>RT @Nov2018election: GA HUNTER HILL FOR GOVERNOR ✔️ https://t.co/kjBu5oWymL</t>
  </si>
  <si>
    <t>RT @Nov2018election: GA DISTRICT 10 BRADLEY GRIFFIN FOR CONGRESS https://t.co/3SwGnjtVkJ</t>
  </si>
  <si>
    <t>RT @Nov2018election: GEORGIA VOTE TOMORROW 5/22 https://t.co/5ezI3ZcUT9</t>
  </si>
  <si>
    <t>RT @BackThePolice: BUSTED:
BOMBSHELL: Trump Campaign Spy Paid $400K, Guess What Foundation Employed Him https://t.co/rQJttMdtxR</t>
  </si>
  <si>
    <t>RT @Pickles0201: @LovesRemo @WilkowMajority @SykesforSenate #MOSEN
#SykesForSenate 
#SykesMissouri2018 
@SykesforSenate 🇺🇸 REAL #MAGA candi…</t>
  </si>
  <si>
    <t>RT @LovesRemo: @WilkowMajority I enjoyed your interview with Erin Cruz today. Please take a look at @SykesforSenate a full on MAGA Candidat…</t>
  </si>
  <si>
    <t>RT @Nov2018election: GA GEOFF DUNCAN FOR LT GOVERNOR 🇺🇸 https://t.co/rnadZ41cCa</t>
  </si>
  <si>
    <t>RT @777rada50023: @freedom_moates @helendoggett4 Rep. House, Senate, next 20 yrs.</t>
  </si>
  <si>
    <t>@ScottPresler #VoteRED2018
#MAGA2018 
#DrainTheSwamp 
#DitchMitch 
#NoMoreRINOS https://t.co/eABs5BpWOr</t>
  </si>
  <si>
    <t>RT @ScottPresler: I'm On Twitter For One Reason:
To keep our Republican majorities in the House/Senate, to reelect President Trump in 2020…</t>
  </si>
  <si>
    <t>RT @Nov2018election: 🇺🇸 GEORGIA BIG DAY MAY 22ND 
I WANT TO WISH THESE GREAT CANDIDATES THE VERY BEST IN TOMORROWS PRIMARY! 
@TracyJordan…</t>
  </si>
  <si>
    <t>RT @Nov2018election: GA TRACY JORDAN 4 INSURANCE COMMISSIONER 🇺🇸 https://t.co/ljCgqBPNnF</t>
  </si>
  <si>
    <t>RT @TT45Pac: Had enough yet California???
You MUST unseat Maxine and Gov Brown in November!
California proposes bill to offer health care…</t>
  </si>
  <si>
    <t>@RagingGayCons Thanks.</t>
  </si>
  <si>
    <t>RT @joel_capizzi: @777rada50023 @cajungirl4good @JDugudichi @unkiewood @Craigsmiffysmif @Johnpdca @JohnCooper0610 @Trumpfan1995 @JohnMcGeev…</t>
  </si>
  <si>
    <t>@777rada50023 @cajungirl4good @JDugudichi @unkiewood @Craigsmiffysmif @Johnpdca @JohnCooper0610 @Trumpfan1995 @JohnMcGeever70 @JoanneTirado09 @Tattoobear @bob_pruett @JohnHeide2 @IcyQueenBee @_LCMB_ @DrMartyFox @dr_palazzolo @FedupWithSwamp @luvnewinfo All hinges on Nov 6 now John. We're trying. 
#MAGA2018
#DrainTheSwamp
#DitchMitch 
#LockThemAllUp 
#2A https://t.co/5k8UJMZqRC</t>
  </si>
  <si>
    <t>RT @777rada50023: @cajungirl4good @JDugudichi @unkiewood @Craigsmiffysmif @Johnpdca @JohnCooper0610 @Trumpfan1995 @JohnMcGeever70 @JoanneTi…</t>
  </si>
  <si>
    <t>RT @777rada50023: @joel_capizzi @cajungirl4good @JDugudichi @unkiewood @Craigsmiffysmif @Johnpdca @JohnCooper0610 @Trumpfan1995 @JohnMcGeev…</t>
  </si>
  <si>
    <t>@USAgaggy63 @Fuctupmind @FoxNews Thought maybe the wedding inspired him to elope with Anderson and we were finally rid of him.
If something seems to good to be true it's because it is.</t>
  </si>
  <si>
    <t>RT @USANEWS007: #DeclassifyTheDocuments</t>
  </si>
  <si>
    <t>RT @USANEWS007: BOOM BOOM KABOOM !!
BREAKING: MUELLER WAS IN ON THE SPYING !!!
Obama had all hands on deck in the very broad spying opera…</t>
  </si>
  <si>
    <t>RT @chicksonright: "Time to cancel!" https://t.co/dt3gOMM8l7</t>
  </si>
  <si>
    <t>@USANEWS007 Yes, yes, and yes.</t>
  </si>
  <si>
    <t>RT @USANEWS007: Rosenstein and Wray should both be tarred and feathered. They are almost as corrupt and useless as Jeff Sessions. Leaders o…</t>
  </si>
  <si>
    <t>RT @USANEWS007: 🚨RETWEET if u support opening a criminal investigation into 
July 2016 murder of DNC staffer &amp;amp; leaker Seth Rich. #saturdaym…</t>
  </si>
  <si>
    <t>RT @SecPompeo: We support the #Iranian people who are demonstrating against an oppressive government.  3 deaths &amp;amp; internet interruption sho…</t>
  </si>
  <si>
    <t>RT @JoinTravisAllen: ***STATEWIDE COMMERCIAL*** @JoinTravisAllen is the ONLY candidate that VOTED for President @realDonaldTrump​, supports…</t>
  </si>
  <si>
    <t>@VisioDeiFromLA Jeff? Are you there?</t>
  </si>
  <si>
    <t>RT @VisioDeiFromLA: Is it the norm to weaponize the IC and justice system to target political opponents?
Oh yeah we know they spied on tru…</t>
  </si>
  <si>
    <t>RT @CharlotteGran1: Mr. President, send the troops after him, you have to make an example out of him!!! https://t.co/3id0Q8VoMx</t>
  </si>
  <si>
    <t>RT @Fuctupmind: Shepard Smith is NOT on @FoxNews now.
It's safe to watch.</t>
  </si>
  <si>
    <t>@Fuctupmind @USAgaggy63 @FoxNews What happened???</t>
  </si>
  <si>
    <t>RT @vannsmole: Hillary Clinton at Yale:
"I Am Still Triggered About Losing To Trump"
Also Hillary Oct. 2016:
"Failure to accept the electi…</t>
  </si>
  <si>
    <t>@777rada50023 @cajungirl4good @JDugudichi @unkiewood @Craigsmiffysmif @Johnpdca @JohnCooper0610 @Trumpfan1995 @JohnMcGeever70 @JoanneTirado09 @Tattoobear @bob_pruett @JohnHeide2 @IcyQueenBee @_LCMB_ @DrMartyFox @dr_palazzolo @FedupWithSwamp @luvnewinfo Thanks for including me John.</t>
  </si>
  <si>
    <t>@SecPompeo @CIA So much for Trump's war on women and BTW where are the "feminists" to weigh in? Meryl? 
https://t.co/HTUgORTxjW</t>
  </si>
  <si>
    <t>RT @SecPompeo: Great to stand by my friend #GinaHaspel – our new @CIA Director! I look forward to your leadership as your team continues to…</t>
  </si>
  <si>
    <t>RT @ScottPresler: I'm absolutely serious. The fact that President Trump won, despite all of the forces working against him, is miraculous.…</t>
  </si>
  <si>
    <t>@MSNBC The "conditions" are simple: an honest day's work for a day's pay. You don't like where you work? Leave.</t>
  </si>
  <si>
    <t>@erichmpratt @j_jrohde Never? Hell, we'd all be speaking German if that were the case. Really stupid thing to say, but then...</t>
  </si>
  <si>
    <t>RT @GryniiizRed: @RealJamesWoods Dear #DimwitDon &amp;amp; #Liberal #Progressive ppl... if all you can see in a person is #color, YOU are the #raci…</t>
  </si>
  <si>
    <t>RT @Pickles0201: MISSOURI❤ 
✔ VOTE 4 the #MAGA #MASA candidate who has Missourians &amp;amp; America in his heart &amp;amp; in his agenda
🇺🇸COURTLAND SYKE…</t>
  </si>
  <si>
    <t>@cajungirl4good @JDugudichi @unkiewood @Craigsmiffysmif @Johnpdca @JohnCooper0610 @Trumpfan1995 @JohnMcGeever70 @777rada50023 @JoanneTirado09 @Tattoobear @bob_pruett @JohnHeide2 @IcyQueenBee @_LCMB_ @DrMartyFox @dr_palazzolo @FedupWithSwamp @luvnewinfo Let's git 'er done. https://t.co/aSqJ6StNoO</t>
  </si>
  <si>
    <t>RT @cajungirl4good: @JDugudichi @unkiewood @Craigsmiffysmif @Johnpdca @JohnCooper0610 @Trumpfan1995 @JohnMcGeever70 @777rada50023 @JoanneTi…</t>
  </si>
  <si>
    <t>Still waiting for Josh Hawley to tell Missourians what he thinks about former Senator John Danforth's trash talk about President Trump. https://t.co/r1cBJUQqS3</t>
  </si>
  <si>
    <t>RT @TrumpChess: @realDonaldTrump @POTUS I know you'll read this -- please withdraw your support of JOSH HAWLEY - HE IS THE SWAMP backed by…</t>
  </si>
  <si>
    <t>@tracybeanz Yup.</t>
  </si>
  <si>
    <t>RT @tracybeanz: 7. In other words - the deep state is in big trouble, and it’s all because of Jeff Sessions decision to appoint a US Attorn…</t>
  </si>
  <si>
    <t>Hillary Clinton still 'not over' election.
Say something Bill. 
 https://t.co/cwMuK7PTPo</t>
  </si>
  <si>
    <t>RT @Sandman_HQ: Thank you so much to my amazing #MAGA friends for all the out pouring of support with thoughts and prayers for my mom. She…</t>
  </si>
  <si>
    <t>RT @LiveAction: Thank you, @RepHartzler, @RepChrisSmith, @RepDianeBlack, @RepRonEstes, and other pro-life lawmakers, for working to stop th…</t>
  </si>
  <si>
    <t>@David_Hogg16 @davidhogg111 @TraciMHogg Thanks for sharing David.
#PatriotHoggFamily</t>
  </si>
  <si>
    <t>RT @David_Hogg16: It's a "city girl" meets "country boy" love story.  Mama Hogg (NOT the mom of @davidhogg111 !)  learning to shoot (safety…</t>
  </si>
  <si>
    <t>@The2ndA @POTUS #MAGAveteran added to my bio.</t>
  </si>
  <si>
    <t>RT @The2ndA: #MAGAveteran - A US citizen who served honorably in uniform in service to their country and continues that service by supporti…</t>
  </si>
  <si>
    <t>RT @RealCandaceO: This was a great honor— a wonderful conversation with @RealBenCarson, a trailblazer for the black community. 
Tick-tock,…</t>
  </si>
  <si>
    <t>RT @joel_capizzi: @LovesRemo @AlexFreiheit2 @Hope4Hopeless1 @SykesforSenate @brannumpants @smart_hillbilly @Change @AP4Liberty Time won't c…</t>
  </si>
  <si>
    <t>RT @Lautergeist: @joel_capizzi @Str8DonLemon @RealTravisCook @Avenge_mypeople @JCPenknife @blackwidow07 @philip_saulter @HotPokerPrinces @T…</t>
  </si>
  <si>
    <t>@LovesRemo @AlexFreiheit2 @Hope4Hopeless1 @SykesforSenate @brannumpants @smart_hillbilly @Change @AP4Liberty Time won't change Austin Petersen because he's a self professed ideologue, and Ideologues are incapable of change.
Definition:
1: an impractical idealist : theorist
2: an often blindly partisan advocate or adherent of a particular ideology.
Mirriam Webster. https://t.co/mDXZ2A7yOa</t>
  </si>
  <si>
    <t>@BigLeague2020 @Hope4Hopeless1 @AlexFreiheit2 @SykesforSenate @brannumpants @smart_hillbilly @Change @AP4Liberty You humble me @BigLeague2020 and I cannot begin to tell you how much I appreciate your kind words. Thank you. 🇺🇸 https://t.co/KnPMAaob43</t>
  </si>
  <si>
    <t>RT @LovesRemo: @AlexFreiheit2 @joel_capizzi @Hope4Hopeless1 @SykesforSenate @brannumpants @smart_hillbilly @Change @AP4Liberty Doesn’t real…</t>
  </si>
  <si>
    <t>@charliekirk11 @Str8DonLemon Enough to fund 3 border walls with change left over.</t>
  </si>
  <si>
    <t>RT @charliekirk11: Annual cost of illegal immigration by state:
CA.. $21.8 Billion 
NY.. $9.5 Billion 
TX.. $8.9 Billion 
FL.. $5.5 Billio…</t>
  </si>
  <si>
    <t>@Str8DonLemon @RealTravisCook @Avenge_mypeople @JCPenknife @blackwidow07 @philip_saulter @HotPokerPrinces @TessonFerryGOP @Lautergeist @LarrySchweikart @smart_hillbilly Hawley is running it. Mark it down, if he's elected to the US Senate, he'll roll on the President in a heartbeat if it means feathering his own nest and moving up another rung on the political ladder.</t>
  </si>
  <si>
    <t>RT @Saphina77: @Str8DonLemon @RealTravisCook @Avenge_mypeople @JCPenknife @blackwidow07 @philip_saulter @HotPokerPrinces @TessonFerryGOP @L…</t>
  </si>
  <si>
    <t>RT @Str8DonLemon: INNOCENT MAN FIGHTS BACK
#Missouri Coup is on!
Are U against:
✔Witch Hunts?
✔Prosecutorial Misconduct?
✔Undoing electi…</t>
  </si>
  <si>
    <t>RT @Jamierodr10: We Completely Agree With You @AlanDersh! A special Counsel Was Definitely The Worst Way Of Getting To The Truth! There Was…</t>
  </si>
  <si>
    <t>@AlexFreiheit2 @Hope4Hopeless1 @SykesforSenate @brannumpants @smart_hillbilly @Change @AP4Liberty One last thing son, I could paper your walls with screenshots of his deleted anti-never-Trump tweets and run your devices out of memory with videos of his self-absorbed anti-Trump open borders rants and diatribes but I've wasted way to much time on you already.</t>
  </si>
  <si>
    <t>@AlexFreiheit2 @Hope4Hopeless1 @SykesforSenate @brannumpants @smart_hillbilly @Change @AP4Liberty If you can construe his shameful, foul mouthed, disgusting display of narcissistic, arrogant behavior as being anything other than what it is (I'm sure you'll try) you're the "sheep", not I, and you're as disgusting and pathetic as he is. Finito. https://t.co/MnTO5ogct9</t>
  </si>
  <si>
    <t>RT @joel_capizzi: @USAloveGOD @NeilStruharik @BigLeague2020 @LovesRemo @magathemaga1 @NoMoSocialism75 @realDonaldTrump @SykesforSenate @AP4…</t>
  </si>
  <si>
    <t>@USAloveGOD @NeilStruharik @BigLeague2020 @LovesRemo @magathemaga1 @NoMoSocialism75 @realDonaldTrump @SykesforSenate @AP4Liberty @POTUS His mouth.</t>
  </si>
  <si>
    <t>RT @joel_capizzi: @NeilStruharik @BigLeague2020 @LovesRemo @magathemaga1 @NoMoSocialism75 @realDonaldTrump @SykesforSenate @AP4Liberty @POT…</t>
  </si>
  <si>
    <t>RT @joel_capizzi: @Hope4Hopeless1 @AlexFreiheit2 @SykesforSenate @brannumpants @smart_hillbilly @Change @AP4Liberty Austin must have been j…</t>
  </si>
  <si>
    <t>@Hope4Hopeless1 @AlexFreiheit2 @SykesforSenate @brannumpants @smart_hillbilly @Change @AP4Liberty Austin must have been joshin when he said:
"I'm not a conservative." 
He must have been joshin when he said "Donald Trump doesn't represent conservative values whatsoever" too. https://t.co/FIs4eMA518</t>
  </si>
  <si>
    <t>RT @Hope4Hopeless1: @AlexFreiheit2 @joel_capizzi @SykesforSenate @brannumpants @smart_hillbilly @Change YOU NEED TO STOP TRYING TO PASS OFF…</t>
  </si>
  <si>
    <t>RT @magathemaga1: @joel_capizzi @NeilStruharik @LovesRemo @NoMoSocialism75 @BigLeague2020 @realDonaldTrump @SykesforSenate @AP4Liberty @POT…</t>
  </si>
  <si>
    <t>RT @smart_hillbilly: @joel_capizzi @AlexFreiheit2 @SykesforSenate @brannumpants @Change @AlexFreiheit2 Not only are you a sheep, but you're…</t>
  </si>
  <si>
    <t>@AlexFreiheit2 @SykesforSenate @brannumpants @smart_hillbilly @Change Do your research. Don't be a sheep. Goodbye.</t>
  </si>
  <si>
    <t>RT @joel_capizzi: @AlexFreiheit2 @SykesforSenate @brannumpants @smart_hillbilly @Change Is that so? https://t.co/aplxkaTF8f</t>
  </si>
  <si>
    <t>@AlexFreiheit2 @SykesforSenate @brannumpants @smart_hillbilly @Change Is that so? https://t.co/aplxkaTF8f</t>
  </si>
  <si>
    <t>@AlexFreiheit2 @SykesforSenate @brannumpants @smart_hillbilly @Change I agree and I'm sure Sykes does too.</t>
  </si>
  <si>
    <t>@AlexFreiheit2 @SykesforSenate @brannumpants @smart_hillbilly @Change I never said it is. You attacked this good American patriot with your disparaging characterization. You don't know don't know Courtland Sykes or anything about him. I do. If you have a problem with open borders you shouldn't support AP4. Have a nice day.</t>
  </si>
  <si>
    <t>@AlexFreiheit2 @SykesforSenate @brannumpants @smart_hillbilly @Change If by "neo-con" you mean Sykes is a Navy veteran who served his country deployed to the Middle East 4 times after 9/11 to defend America and its interests, you bet he is which is more than I can say for you and your isolationist, open borders pacifist, Libertarian wacko friends!</t>
  </si>
  <si>
    <t>RT @RealPamelaAnne: @realDonaldTrump #LockThemAllUp https://t.co/BNzlD3NOkQ</t>
  </si>
  <si>
    <t>RT @USANEWS007: MUELLER INVESTIGATION
GOES UP IN SMOKE.......
“The Mueller operation is imploding as a result of revelations about how it…</t>
  </si>
  <si>
    <t>RT @iowa_trump: The spy who tried to set up the Trump campaign 
 https://t.co/G0YTeLiVQr</t>
  </si>
  <si>
    <t>RT @joel_capizzi: @BisonWatcher @realDonaldTrump I've been saying since Sessions wad appointed AG, "RICO" Rudy, who took down La Cosa Nostr…</t>
  </si>
  <si>
    <t>@BisonWatcher @realDonaldTrump *was appointed</t>
  </si>
  <si>
    <t>Confused about who to vote for in Missouri? Don't be. Politicians lie but money trails never do. https://t.co/Ic28OXrZuu</t>
  </si>
  <si>
    <t>RT @joel_capizzi: Question: if you want a border wall, even if there's reasonable doubt Hawley wouldn't vote to fund it, why would you vote…</t>
  </si>
  <si>
    <t>RT @2018MAGAMidTrmT: @gemloco @Nov2018election @realDonaldTrump @AntonioSabatoJr I think it would be great if Patriots create more memes &amp;amp;…</t>
  </si>
  <si>
    <t>RT @gemloco: @2018MAGAMidTrmT @Nov2018election @realDonaldTrump @AntonioSabatoJr When you VOTE, go deep, go local, get conservative-minded…</t>
  </si>
  <si>
    <t>@BisonWatcher @realDonaldTrump I've been saying since Sessions wad appointed AG, "RICO" Rudy, who took down La Cosa Nostra aka the Mafia, not Jeff Sessions is the man for the job.
#RICORudyForAG 
#LockHerUp 
#LockThemAllUp 
#MAGA</t>
  </si>
  <si>
    <t>RT @BisonWatcher: @realDonaldTrump There should be a slew of RICO violations between them, The Clinton Foundation &amp;amp; foreign nationals. This…</t>
  </si>
  <si>
    <t>RT @i_like_sykes: @HDowning113 @Nov2018election @SykesforSenate #ILikeSykes https://t.co/TJ1aqX91OL</t>
  </si>
  <si>
    <t>RT @LiveAction: Thank you, @PatriciaHeaton, for being a voice for the preborn! https://t.co/oaTok6ylEp</t>
  </si>
  <si>
    <t>RT @LiveAction: Abortionist claims killing children is an "act of love." Here's why she's wrong. https://t.co/4IYleX2dUT</t>
  </si>
  <si>
    <t>RT @LiveAction: "Abortion is not family planning."
Members of the U.S. House are praising President Trump’s new proposed Title X regulatio…</t>
  </si>
  <si>
    <t>RT @LiveAction: Title X allows tax dollars to directly assist in keeping Planned Parenthood's abortion facilities open and staffed, allowin…</t>
  </si>
  <si>
    <t>RT @LiveAction: WATCH: @LilaGraceRose discusses future of Planned Parenthood Title X funding with Tucker Carlson on Fox News. https://t.co/…</t>
  </si>
  <si>
    <t>RT @LiveAction: Everyone needs to see these photos. https://t.co/NHSNXV8uus</t>
  </si>
  <si>
    <t>RT @LiveAction: Did you know? Both women behind the U.S. Supreme Court cases which legalized abortion-on-demand became pro-life. They spent…</t>
  </si>
  <si>
    <t>RT @joel_capizzi: Re: Hawley and Trump's wall. 
Follow the money. Donors don't write checks for $20K without strings attached and hardcore…</t>
  </si>
  <si>
    <t>RT @joel_capizzi: Now do you get why a self funded campaign is so important? https://t.co/SxaERwR5ip</t>
  </si>
  <si>
    <t>RT @bikedb06: @Nov2018election @joel_capizzi You are sooooo right. We need to stop this madness, and have ppl that love and care for our co…</t>
  </si>
  <si>
    <t>RT @LiveAction: Speaker reminds the United Nations: "Every one of us began our life as an embryo, and throughout this period before birth,…</t>
  </si>
  <si>
    <t>RT @LiveAction: New human LIFE begins at the moment of fertilization — it's a fact of science! 
An amazing discovery shows that when sperm…</t>
  </si>
  <si>
    <t>RT @LiveAction: Planned Parenthood kills over 320,000 preborn children every single year — that's one baby killed every 98 seconds. It's ti…</t>
  </si>
  <si>
    <t>RT @magathemaga1: HR 2 is basically a fail safe that Jay Barnes and his star chamber concocted because the criminal proceedings turned out…</t>
  </si>
  <si>
    <t>RT @gascat2002: @NRATV @rnolter @DLoesch Just breeding copycats looking for their 15min of Fame</t>
  </si>
  <si>
    <t>RT @Nov2018election: @timkaine belongs on this list too!</t>
  </si>
  <si>
    <t>RT @Nov2018election: VOTE THEM OUT! NOV 6TH ✔️ WELL HELL... VOTE ALL INCUMBENTS OUT!! EVERY ONE OF THEM IS SWAMP🐍🐍🐍 CROOKED CORRUPT CAREER…</t>
  </si>
  <si>
    <t>Now do you get why a self funded campaign is so important? https://t.co/SxaERwR5ip</t>
  </si>
  <si>
    <t>Re: Hawley and Trump's wall. 
Follow the money. Donors don't write checks for $20K without strings attached and hardcore open-borders Koch brothers wouldn't let a "ladder climbing" Senator Hawley have a second term without supporting their agenda.
https://t.co/G2YLh8wp6Y</t>
  </si>
  <si>
    <t>RT @magathemaga1: The West County Bag Man is pushing the COUP propaganda hard today 
#moleg #mogov #Greitens https://t.co/FyPHDUDhok</t>
  </si>
  <si>
    <t>RT @ResignNowKim: @BarklageCompany  So, Super Dave: I know you’re a YUUUUUUGE fan of #TWMP.  How would you characterize this week in Missou…</t>
  </si>
  <si>
    <t>RT @magathemaga1: Good afternoon #MoLeg 
I still hear that THE COUP on Missouri Voters is on and that Scott Faughn still has not told us w…</t>
  </si>
  <si>
    <t>RT @BigLeague2020: @RealMonetti @SykesforSenate Funny. 
In #MOSEN the only candidate, and his #TeamLiberty cheerleaders, urging other cand…</t>
  </si>
  <si>
    <t>RT @TheGunGuy85: @Nov2018election @SykesforSenate #SYKES4SENATE #MOSEN https://t.co/YblCOwE3ei</t>
  </si>
  <si>
    <t>RT @TheGunGuy85: @Nov2018election @SykesforSenate #SYKES4SENATE #MOSEN https://t.co/Iz3sy3ARej</t>
  </si>
  <si>
    <t>RT @HDowning113: @Nov2018election @SykesforSenate EXCELLENT IDEA TO WORK
TOGETHER!🏁✌
SAME VALUES SO WHY NOT SUPPORT THE OTHER
GO VOTE SYKES…</t>
  </si>
  <si>
    <t>RT @HDowning113: @Nov2018election @SykesforSenate I STAY SIKED FOR SYKES
COURTLAND SYKES ME UP !
I READY TO VOTE NOW!
👍🇺🇸🏁🇺🇸🏁🇺🇸👍 https://t.…</t>
  </si>
  <si>
    <t>RT @Nov2018election: Missouri  Veteran Courtland Sykes For US Senate 🇺🇸 #MOSEN https://t.co/0yieTThWwK</t>
  </si>
  <si>
    <t>RT @BigLeague2020: @smart_hillbilly @SykesforSenate @AP4Liberty #MOSEN #ClimbHigher #SugarDaddy https://t.co/QztH2lmzk4</t>
  </si>
  <si>
    <t>RT @TheGunGuy85: @smart_hillbilly @SykesforSenate @AP4Liberty COURTLAND SYKES FOR US SENATE 🇺🇸 #2a #MOSEN https://t.co/QQsiuCtTYE</t>
  </si>
  <si>
    <t>RT @Nov2018election: @smart_hillbilly @SykesforSenate @AP4Liberty #ILIKESYKES #MOSEN https://t.co/3IYRuUaQmd</t>
  </si>
  <si>
    <t>RT @HDowning113: @smart_hillbilly @SykesforSenate @AP4Liberty STILL FOR SYKES!!🏁🏁 https://t.co/BPLlNbQQFQ</t>
  </si>
  <si>
    <t>RT @HDowning113: @smart_hillbilly @SykesforSenate @AP4Liberty Of course     SYKES
WHO ELSE?
I AM SIKED FOR SYKES!!
👍🇺🇸🇺🇸🇺🇸🇺🇸🇺🇸👍 https://t.…</t>
  </si>
  <si>
    <t>RT @BigLeague2020: @smart_hillbilly @SykesforSenate @AP4Liberty #MOSEN https://t.co/x1AnT0h4Uv</t>
  </si>
  <si>
    <t>RT @smart_hillbilly: @BigLeague2020 @SykesforSenate @AP4Liberty Yes! #NeverPetersen #PhonyMonetti #ILikeSykes https://t.co/5Uz4kLlw0s</t>
  </si>
  <si>
    <t>RT @BigLeague2020: @smart_hillbilly @SykesforSenate @AP4Liberty I Stand Proud For Sykes For Senate
#MOSEN https://t.co/LwBnM5UwrH</t>
  </si>
  <si>
    <t>RT @smart_hillbilly: 🚨ATTENTION MISSOURI VOTERS! 
Who do you want representing Missouri?
@SykesforSenate 
@AP4liberty 
#MoSen #MoGov #SendS…</t>
  </si>
  <si>
    <t>RT @stand4honor: @luvnewinfo @Tim_Nagle @joel_capizzi @JcDeplorable @annvandersteel @Real_PeachyKeen @RightWingAngel @goofballgeorge @Seque…</t>
  </si>
  <si>
    <t>RT @joel_capizzi: On August 7, Missouri will choose between an open-borders never-Trumper, a RINO swamp rat and an America first conservati…</t>
  </si>
  <si>
    <t>RT @RealCandaceO: For the record— this is what Candace Owens thinks.
The entire world needs to toughen up. 
#victormentality #MAGA https:/…</t>
  </si>
  <si>
    <t>RT @Nov2018election: 🛑ATTN GEORGIA GUN OWNERS CASEY CAGLE FOR GOV🚫😬 CAGLE IS OPPOSED TO CONSTITUTIONAL CARRY ALSO STATED OUR #2a RIGHTS DON…</t>
  </si>
  <si>
    <t>@luvnewinfo @Tim_Nagle @stand4honor @JcDeplorable @annvandersteel @Real_PeachyKeen @RightWingAngel @goofballgeorge @Sequencer16 @sbcoin @RedPilledinNY @LibberTea @USAHotLips @dr_palazzolo All in. 👍</t>
  </si>
  <si>
    <t>RT @luvnewinfo: Building the #KAG #MAGA2018 Follow these hard working Patriots🇺🇸@Tim_Nagle 
@joel_capizzi 
@stand4honor 
@JcDeplorable @ann…</t>
  </si>
  <si>
    <t>RT @realDonaldTrump: California finally deserves a great Governor, one who understands borders, crime and lowering taxes. John Cox is the m…</t>
  </si>
  <si>
    <t>RT @NevadaJack2: CNN is literally saying Trump is “marking his territory” by signing stuff. His BIG signature reveals that he’s super into…</t>
  </si>
  <si>
    <t>RT @gurby1: Damn the day when American Democrats and liberal MSM are fanning the Palestinians violence against a US Embassy. Who are they r…</t>
  </si>
  <si>
    <t>RT @MsAvaArmstrong: @realDonaldTrump is a 70-yr old billionaire businessman, been married three times.  
The deep state threw everything t…</t>
  </si>
  <si>
    <t>RT @gurby1: V. Jones &amp;amp; Ana Nav are most racist persons in America. Their 'whitelash' &amp;amp; relentless attack of Trump shows pathological anti-w…</t>
  </si>
  <si>
    <t>RT @Littleron7: What’s next, praying 5 times a day? https://t.co/cOgOXdkF1n</t>
  </si>
  <si>
    <t>@ClassyWino @Belle4DJT Then they're complicit with both the act and the TIMING.</t>
  </si>
  <si>
    <t>RT @ClassyWino: @Belle4DJT @joel_capizzi Once again the FBI was aware of this family.</t>
  </si>
  <si>
    <t>"The NRA is just shy of terrorist organization". Today.
"Guns are a useless hunk of metal". 
March 26.
Wasserman Schultz. 
https://t.co/7awLN96EZI</t>
  </si>
  <si>
    <t>RT @Nov2018election: 🇺🇸 Missouri’s Bold Conservative 🇺🇸 
Courtland Sykes For US Senate @SykesforSenate 
Veteran And Proud American 🇺🇸 
#…</t>
  </si>
  <si>
    <t>RT @HDowning113: @joel_capizzi AP,  YOUR wants exceed your abilities. Ha Ha</t>
  </si>
  <si>
    <t>@Belle4DJT Right on. 👍</t>
  </si>
  <si>
    <t>RT @Belle4DJT: https://t.co/eTaFuCBqXu</t>
  </si>
  <si>
    <t>RT @Belle4DJT: The Evil of our Govt. is real and they will use whatever means necessary, even our children, to create crisis and division..…</t>
  </si>
  <si>
    <t>RT @Belle4DJT: Ask yourself about the timing...the Deep State Cabal is desperate for distraction...#SantaFe #IGReport #FalseFlag https://t.…</t>
  </si>
  <si>
    <t>RT @GOP: RT to thank @realDonaldTrump for donating his 2018 first quarter salary to the VA caregiver program! https://t.co/BFtEDbZqu2</t>
  </si>
  <si>
    <t>RT @KeepTexasRed7: #NoGagRule 
Dont you have medicaid? Obamacare? Prvt health ins???pays for mammos/pap.....womens health care us already…</t>
  </si>
  <si>
    <t>@KyleKashuv Bodies are barely cold. Ghoul.</t>
  </si>
  <si>
    <t>@Vengeance_X2 @putzie63 #MoreGunsNotLess</t>
  </si>
  <si>
    <t>RT @Vengeance_X2: The latest school shooting, while tragic, is not at all surprising. THE ONLY THING THAT WILL STOP THEM IS HAVING ARMED ST…</t>
  </si>
  <si>
    <t>RT @joel_capizzi: @SykesforSenate High energy like this caring about constituents is what we need in Washington. Reminds me of someone else…</t>
  </si>
  <si>
    <t>@SykesforSenate High energy like this caring about constituents is what we need in Washington. Reminds me of someone else we know. 
@SykesforSenate https://t.co/oL7LGQf8IL</t>
  </si>
  <si>
    <t>RT @SykesforSenate: Every stop is a campaign event... even lunch at Arby's. #MOSEN #MAGA https://t.co/gWZ5QSsLox</t>
  </si>
  <si>
    <t>RT @SykesforSenate: May we continue to cherish those mothers who have made today possible, those who have driven us to strive, protected us…</t>
  </si>
  <si>
    <t>RT @SykesforSenate: Do we have an explanation from @clairecmc why she's a "no" vote?
#mosen https://t.co/CzNSqGSdBA</t>
  </si>
  <si>
    <t>RT @SykesforSenate: Proud to be the only senate candidate at the St. Louis courthouse last Wednesday in support of @EricGreitens before the…</t>
  </si>
  <si>
    <t>RT @sigi_hill: More reason to NOT VOTE FOR crooked misleading @clairecmc for MO US Senate
👉she votes no on Gina Haspel
👉she votes no on Tax…</t>
  </si>
  <si>
    <t>@SykesforSenate @Change Signed with pleasure.</t>
  </si>
  <si>
    <t>RT @SykesforSenate: Israel discovered, in 1974, that placing guns in schools makes children safer. Why fight proven solutions that can end…</t>
  </si>
  <si>
    <t>RT @houstonusa6: #RedWaveRising #MAGA2018  @SykesforSenate https://t.co/3Yq0dQFgiW</t>
  </si>
  <si>
    <t>RT @SykesforSenate: No more RINOs. No more Liberals. No more Senate Failures.
WATCH FULL VIDEO HERE:  https://t.co/kygQFWqDTu 
#MAGA #MOSEN…</t>
  </si>
  <si>
    <t>RT @Nov2018election: @luvlabso @joel_capizzi  https://t.co/Gwy2D0t5A1</t>
  </si>
  <si>
    <t>RT @Nov2018election: @luvlabso @joel_capizzi  https://t.co/HpI1AhnXHO</t>
  </si>
  <si>
    <t>RT @joel_capizzi: @KyleKashuv #MoreGunsNotLess</t>
  </si>
  <si>
    <t>RT @joel_capizzi: @RealErinCruz #MakeCaliforniaGreatAgain 
#MakeCaliforniaGoldenAgain 
Elect @RealErinCruz and win one more for the gipper…</t>
  </si>
  <si>
    <t>@KyleKashuv #MoreGunsNotLess</t>
  </si>
  <si>
    <t>RT @KyleKashuv: GUN CONTROL WOULDN'T HAVE STOPPED THIS TRAGEDY! The political grandstanding here to push gun control is stupid.</t>
  </si>
  <si>
    <t>@RealErinCruz #MakeCaliforniaGreatAgain 
#MakeCaliforniaGoldenAgain 
Elect @RealErinCruz and win one more for the gipper. https://t.co/o9SVMqIzsS</t>
  </si>
  <si>
    <t>RT @RealErinCruz: As a follow up.... we are now using the same donation platform as President Trump! REVV!
Please give YUGE today to help…</t>
  </si>
  <si>
    <t>@RobHighfill82 "You don't contact local reps much it looks like".
Let me help you: https://t.co/I75L2eSk4p</t>
  </si>
  <si>
    <t>@GovGreitensMO an entire Trump army is with you Governor Greitens to push back against the swampy hordes of hell who are trying to destroy your life, career and our country. God bless you sir and thank you for your service to our country. 
Go Navy! Hooyah!</t>
  </si>
  <si>
    <t>RT @JW1057: @SykesforSenate Please sign and retweet petition in support of @GovGreitensMO.
https://t.co/k8iYXhjOl5</t>
  </si>
  <si>
    <t>RT @SykesforSenate: @JW1057 @GovGreitensMO Signed and posted.</t>
  </si>
  <si>
    <t>RT @sigi_hill: @SykesforSenate @JW1057 @GovGreitensMO Bravo Courtland! Thank You!
Together we will drain the swamp! You have the guts that…</t>
  </si>
  <si>
    <t>RT @joel_capizzi: @brannumpants @SykesforSenate @smart_hillbilly @Change Sykes steps up. Sykes was the ONLY candidate to step up for wrongl…</t>
  </si>
  <si>
    <t>RT @luvlabso: @joel_capizzi @Nov2018election Hope he wins.  Missouri needs
him!</t>
  </si>
  <si>
    <t>@merc20171 Thank you Jackie. I'm urging voters to note Sykes is the closest thing we can elect to the US Senate other than Trump himself.</t>
  </si>
  <si>
    <t>RT @merc20171: This is a great video for trump
and Sykes running for senate.
America first candidate🇺🇸🇺🇸🇺🇸
For Missouri🚂🚂🚂
https://t.co/G…</t>
  </si>
  <si>
    <t>RT @battleofever: @mflynnJR #ArmOurSchoolsProtectOurKids!</t>
  </si>
  <si>
    <t>@joanne48640679 @bronxhoops2033 Thank you. 
#MAGA</t>
  </si>
  <si>
    <t>RT @ChildOfSowell: @CattHarmony @joel_capizzi @PressSec So well earned. She's certainly in my top 10</t>
  </si>
  <si>
    <t>@Only1Tabatha @nbcwashington What kind of animals would take exception to calling them animals? Animals doesn't get it.</t>
  </si>
  <si>
    <t>RT @Only1Tabatha: Jury Sees Cellphone Video of Alleged MS-13 Killing of Teen https://t.co/OoYhF9p8yC via @nbcwashington</t>
  </si>
  <si>
    <t>RT @CattHarmony: Congratulations to @PressSec as one of the 10 most admired women in America - a title well-deserved! https://t.co/SS7U9FdN…</t>
  </si>
  <si>
    <t>@joanne48640679 @bronxhoops2033 Would appreciate your help and support getting the word out. Thanks.</t>
  </si>
  <si>
    <t>RT @joanne48640679: @joel_capizzi @bronxhoops2033 Wow he is fabulous ♥️🇺🇸♥️</t>
  </si>
  <si>
    <t>@EJ_Atwood I don't believe in coincidences.</t>
  </si>
  <si>
    <t>@vkinkela @canyyoulove Kelly was speaking rhetorically, not blaming the NRA.</t>
  </si>
  <si>
    <t>RT @joel_capizzi: If not now, as parents and protectors of our children, at what point do we look for alternatives to government "public" s…</t>
  </si>
  <si>
    <t>RT @battleofever: @ronweissman3 @Estes1673 It would cost NOTHING.
THOUSANDS of parents and vets and officers would VOLUNTEER with their own…</t>
  </si>
  <si>
    <t>@Tony19542 Not even that.</t>
  </si>
  <si>
    <t>RT @joel_capizzi: @RealErinCruz @SongBird4Trump @OnlyKnews @Daisy49103 @RealTT2020 @KellyDetoni @nikdpik @thumperalpha @BridgetKF30 @lilcou…</t>
  </si>
  <si>
    <t>@RealErinCruz @SongBird4Trump @OnlyKnews @Daisy49103 @RealTT2020 @KellyDetoni @nikdpik @thumperalpha @BridgetKF30 @lilcountryrose @bdclq @TBruceTrp773 @LisaTomain @Boo3zero5 @Rightwingmadman @DaveSchreiber3 @TexasKenJSmith @HH_kathy @PGutierrez630 @PradRachael @DilaraEsengil @Iochev9763 @Corp125Vet @Sequencer16 @MartinB45719553 @RedPilledinNY @Dbargen @KatTheHammer1 @DanCovfefe1 @AMccloggan01 @CudaDebbie @solentgreenis @JoeB202 https://t.co/bc7w9Q02A8</t>
  </si>
  <si>
    <t>RT @BigLeague2020: @joel_capizzi @RealErinCruz It’s Time For New Leadership
Make California Great Again
Support .@RealErinCruz For U. S.…</t>
  </si>
  <si>
    <t>RT @OnlyKnews: @Daisy49103 @RealTT2020 @KellyDetoni @nikdpik @thumperalpha @BridgetKF30 @lilcountryrose @bdclq @TBruceTrp773 @LisaTomain @B…</t>
  </si>
  <si>
    <t>RT @SongBird4Trump: @OnlyKnews @Daisy49103 @RealTT2020 @KellyDetoni @nikdpik @thumperalpha @BridgetKF30 @lilcountryrose @bdclq @TBruceTrp77…</t>
  </si>
  <si>
    <t>RT @RealErinCruz: @SongBird4Trump @OnlyKnews @Daisy49103 @RealTT2020 @KellyDetoni @nikdpik @thumperalpha @BridgetKF30 @lilcountryrose @bdcl…</t>
  </si>
  <si>
    <t>RT @BigLeague2020: @joel_capizzi Real Leadership Is When You Put Service Before Self
SYKES FOR SENATE
HONOR🇺🇸LEADERSHIP🇺🇸INTEGRITY
READY…</t>
  </si>
  <si>
    <t>@canyyoulove Little do they know red blooded, gun toting patriotic Americans, have the numbers, the wherewithal and the skills to keep every kid in every school safe. It's time.</t>
  </si>
  <si>
    <t>RT @canyyoulove: 3...2....1..
Blame the NRA</t>
  </si>
  <si>
    <t>RT @Ask4OldPaths: #VoteAmericaFirst #VoteMAGARepublican2018 https://t.co/NcTeUNu5ca</t>
  </si>
  <si>
    <t>RT @mtenorio77: 🇺🇸🇺🇸🇺🇸🇺🇸🇺🇸🇺🇸🇺🇸🇺🇸🇺🇸🇺🇸🇺🇸🇺🇸
Happy Red Friday my wonderful Patriots’ and fellow Veterans’ and Active Duty Service Members’, Tha…</t>
  </si>
  <si>
    <t>On August 7, Missouri will choose between an open-borders never-Trumper, a RINO swamp rat and an America first conservative Navy veteran. https://t.co/ylW9aH4xBI</t>
  </si>
  <si>
    <t>@brannumpants @SykesforSenate @smart_hillbilly @Change Sykes steps up. Sykes was the ONLY candidate to step up for wrongly convicted and imprisoned Petty Officer Kristian Saucier. Sykes will be there for you when it's right if not popular. https://t.co/DRnUcEpz1x</t>
  </si>
  <si>
    <t>RT @brannumpants: @SykesforSenate @smart_hillbilly @Change #ILIKESYKES</t>
  </si>
  <si>
    <t>RT @joel_capizzi: @PradRachael @battleofever #PlannedInfanticide</t>
  </si>
  <si>
    <t>@PradRachael @battleofever #PlannedInfanticide</t>
  </si>
  <si>
    <t>@1Romans58 Shhhh.</t>
  </si>
  <si>
    <t>RT @1Romans58: Trump just hit 50% approval rating, and the left can't understand why.
😂😂😂😂😂🇺🇸👍 https://t.co/izssyokP1W</t>
  </si>
  <si>
    <t>@roberta_matz Well said, absolutely in agreement.</t>
  </si>
  <si>
    <t>RT @roberta_matz: I just don’t get it! We can secure airports and government buildings, yet we leave our schools wide open and vulnerable.…</t>
  </si>
  <si>
    <t>RT @smart_hillbilly: @SykesforSenate @Change Thank you Courtland Sykes! #ILikeSykes</t>
  </si>
  <si>
    <t>RT @sigi_hill: @SykesforSenate @Change Bravo Courtland! Thank You!
Together we will drain the swamp! You have the guts that it takes!
#Cour…</t>
  </si>
  <si>
    <t>RT @SykesforSenate: Missouri House of Representatives: Urgent! Stop the Coup Against Gov. Eric Greitens - Sign the Petition! https://t.co/8…</t>
  </si>
  <si>
    <t>RT @thepatriotusa_1: Why wasn’t there armed security at Santa Fe High School? Pray for the 8 victims. We should never lose our children for…</t>
  </si>
  <si>
    <t>If not now, as parents and protectors of our children, at what point do we look for alternatives to government "public" schools and are willing to invest the time and money to do it? 
https://t.co/kLpqNhplBf</t>
  </si>
  <si>
    <t>@USAloveGOD @ConservaMomUSA Immigrants when they torture and kill my kids, animals when they kill theirs.</t>
  </si>
  <si>
    <t>RT @PrisonPlanet: Retweet if you couldn't care less about the royal wedding.</t>
  </si>
  <si>
    <t>RT @battleofever: 8 dead so far in school shooting.
😢😢😢😢
Please, arm our schools.
Save our children by protecting them.
Texas high school…</t>
  </si>
  <si>
    <t>RT @Nov2018election: SWAMP 🐍 CASEY CAGLE AND HOUSE SPEAKER RALSTON 😡 https://t.co/toviiRa0O2</t>
  </si>
  <si>
    <t>RT @Nov2018election: GA HOUSE SPEAKER RALSTON SWAMP 🐍🐍🐍🐍🐍 https://t.co/H73hd4mrDN</t>
  </si>
  <si>
    <t>RT @Nov2018election: FOLLOW THE MONEY GEORGIA 💰 SWAMP 🐍</t>
  </si>
  <si>
    <t>RT @Nov2018election: 🛑ATTN GEORGIA 🛑 SWAMP 🐍 CASEY CAGLE💥 LAST MINUTE BILL PUSHED THRU FOR AZ BASED CO AMERICAN TRAFFIC SOLUTION DONATED $6…</t>
  </si>
  <si>
    <t>RT @joel_capizzi: @Patriotic_Folks Fox News decided we care more about two people we don't know getting married in a country most of us hav…</t>
  </si>
  <si>
    <t>@Patriotic_Folks Fox News decided we care more about two people we don't know getting married in a country most of us have never been to, then mass murder in one of our schools.</t>
  </si>
  <si>
    <t>RT @Patriotic_Folks: Texas School Shooting Details Are Getting a Lot Worse... Mainstream Media Ignoring https://t.co/7ZrUYQzAQq</t>
  </si>
  <si>
    <t>Fox News moves farther left.
"Fox News recently installed a “meditation room” complete with Muslim prayer rugs in Ollie North’s office in the network’s Washington bureau". 
https://t.co/T2pD79fMTf</t>
  </si>
  <si>
    <t>Can't you at least go out with some class John?
https://t.co/7Sedgt9N2t</t>
  </si>
  <si>
    <t>@DannyHortonMO @FN4AP @BigLeague2020 @LovesRemo @SykesforSenate @ResethO @L_Wyman @AP4Liberty @HawleyMO Not going off, AP4'S own words.</t>
  </si>
  <si>
    <t>RT @LovesRemo: @mflynnJR @GenFlynn That right there, is what Trump, general Flynn, and we patriots fight for every day.  Praying for vindic…</t>
  </si>
  <si>
    <t>RT @myGianLuca: TGIF!! #MAGA Patriots!  .... Don't Forget Everyone Deployed! https://t.co/xCk68VwGed</t>
  </si>
  <si>
    <t>RT @AntonioSabatoJr: This november vote Republican, no matter what, until the dems put our country and our people first there is no point i…</t>
  </si>
  <si>
    <t>RT @BigLeague2020: @Nov2018election Georgia, We Have A Problem🍑
The Problem: Big Money Donors Are Buying Elections
The Solution: Tracy Jo…</t>
  </si>
  <si>
    <t>RT @HDowning113: @Nov2018election This is
TRACY JORDAN
SHE IS ONLY HONORABLE
CANDIDATE IN GA 
FOR GA INS COMMISSIONER
THAT IS NOT CONNECTE…</t>
  </si>
  <si>
    <t>RT @HDowning113: @Nov2018election Vote 
TRACY JORDAN
GA INS COMMISSIONER
TRACY IS NOT CONNECTED TO THE SWAPPERS
SWAMPERS 
IN ANY WAY!  PER…</t>
  </si>
  <si>
    <t>RT @HDowning113: @Nov2018election @DavidTh01629540 @SiddonsDan Tracy is the WINNER
GA INS COMMISSIONER
#gagop. #gapol https://t.co/h7C8Z7tP…</t>
  </si>
  <si>
    <t>RT @Nov2018election: @DavidTh01629540 @SiddonsDan She certainly is!! 🇺🇸</t>
  </si>
  <si>
    <t>RT @DavidTh01629540: @Nov2018election @SiddonsDan TRACY JORDAN SOUNDS LIKE A WINNER!!!</t>
  </si>
  <si>
    <t>RT @Nov2018election: https://t.co/uXSvfzbWYC</t>
  </si>
  <si>
    <t>RT @Nov2018election: https://t.co/wDxwpqJGuy</t>
  </si>
  <si>
    <t>RT @Nov2018election: https://t.co/Xtf9rn1J9b</t>
  </si>
  <si>
    <t>RT @Nov2018election: https://t.co/c4oCR2HtSU</t>
  </si>
  <si>
    <t>RT @Nov2018election: GA BIG SPENDER PLAYS UNUSUAL ROLE IN RACE FOR GEORGIA INSURANCE COMM. ENOUGH OF THE SWAMP GA🐍 https://t.co/2EhwSHOjU2</t>
  </si>
  <si>
    <t>RT @Nov2018election: 3.GEORGIANS HAVE GROWN USED TO SEEING ADS FROM “INDEPENDENT”POLITICAL COMMITTEES IN MAJOR RACES,BUT NOW ONE LARGE FUND…</t>
  </si>
  <si>
    <t>RT @Nov2018election: 🍑GEORGIA ON MAY 22ND PLEASE VOTE FOR MY PERSONAL FRIEND TRACY JORDAN @TracyJordan4GA 4 GA INSUR COMM. TRACY IS THE ONL…</t>
  </si>
  <si>
    <t>RT @Nov2018election: 2.🍑 GA TRACY JORDAN FOR INSURANCE COMMISSIONER!! THE ONLY NON CAREER, NON CORRUPT CANDIDATE RUNNING! I PERSONALLY ENDO…</t>
  </si>
  <si>
    <t>RT @joel_capizzi: @FN4AP @SykesforSenate @ResethO @LovesRemo @BigLeague2020 @L_Wyman @AP4Liberty Pseudo Republican Austin Petersen knows Li…</t>
  </si>
  <si>
    <t>@FN4AP @SykesforSenate @ResethO @LovesRemo @BigLeague2020 @L_Wyman @AP4Liberty Pseudo Republican Austin Petersen knows Libertarianism is a losing proposition and a losing ticket and as if proudly, says he wears the "cloak" of Republicanism. 
After Obama and Hillary haven't we had enough of lying politicians?
 https://t.co/uT0PyKrCJY</t>
  </si>
  <si>
    <t>RT @daniel4missouri: @Vets4AP @HawleyMO @BretBaier @FoxNews @MattFinnFNC @AP4Liberty https://t.co/T4MajRNjnG</t>
  </si>
  <si>
    <t>RT @Nov2018election: 1. 🛑ATTN GA🛑GEORGIA’S SWAMP GETTING DEEPER 🐍 PLZ READ B4 YOU VOTE 5/22 ONE LARGE CO IS TRYING TO INFLUENCE VOTERS FOR…</t>
  </si>
  <si>
    <t>RT @The_Trump_Train: Extreme censorship is currently hitting our movement... Please do the following:
1. Share this tweet.
2. Reply to thi…</t>
  </si>
  <si>
    <t>RT @REALtrumpbureau: #BESTPRESIDENTEVER ... DO NOT MESS WITH @realDonaldTrump !
@POTUS Trump sends a message to Kim Jong Un: Work with me…</t>
  </si>
  <si>
    <t>RT @RodStryker: "In the 1960's, LBJ instituted the Great Society Act which systematically removed fathers from homes of black youth."
 - @R…</t>
  </si>
  <si>
    <t>RT @joel_capizzi: "Trump Says He’s Only Candidate Not Beholden to Donors"
So is COURTLAND SYKES.
@SykesforSenate is 100% MAGA.
https://t…</t>
  </si>
  <si>
    <t>"Trump Says He’s Only Candidate Not Beholden to Donors"
So is COURTLAND SYKES.
@SykesforSenate is 100% MAGA.
https://t.co/P73uXZibU7</t>
  </si>
  <si>
    <t>RT @joel_capizzi: @FN4AP @SykesforSenate @ResethO @LovesRemo @BigLeague2020 @L_Wyman @AP4Liberty "Liberty" is code for "Libertarian". 
We…</t>
  </si>
  <si>
    <t>@FN4AP @SykesforSenate @ResethO @LovesRemo @BigLeague2020 @L_Wyman @AP4Liberty "Liberty" is code for "Libertarian". 
We understand AP4 and his followers aren't Republicans which is the whole point. Who cares, just be honest about it.</t>
  </si>
  <si>
    <t>RT @joel_capizzi: @SykesforSenate @ResethO @LovesRemo @BigLeague2020 @L_Wyman @AP4Liberty America LOVED that TRUMP was SELF-FUNDED and coul…</t>
  </si>
  <si>
    <t>RT @BigLeague2020: @FN4AP @SykesforSenate @ResethO @LovesRemo @L_Wyman @AP4Liberty Are you for real❓
A Navy #Veteran doesn’t represent Lib…</t>
  </si>
  <si>
    <t>RT @LovesRemo: @FN4AP @SykesforSenate @ResethO @BigLeague2020 @L_Wyman @AP4Liberty When you speak of liberty, what more do you need than ou…</t>
  </si>
  <si>
    <t>RT @BigLeague2020: @FN4AP @SykesforSenate @ResethO @LovesRemo @L_Wyman @AP4Liberty I don’t engage in Red Herring tactics. 
If Austin Peter…</t>
  </si>
  <si>
    <t>@SykesforSenate @ResethO @LovesRemo @BigLeague2020 @L_Wyman @AP4Liberty America LOVED that TRUMP was SELF-FUNDED and could not be corrupted or controlled by "Big Donors". REMEMBER?
"The borrower is servant to the lender". Prov 22:7
Sykes campaign is TRUMPIAN. 
Sykes is MAGA. 
https://t.co/P73uXZibU7</t>
  </si>
  <si>
    <t>RT @SykesforSenate: @ResethO @LovesRemo @BigLeague2020 @L_Wyman @AP4Liberty Is that why you need to create a false narrative about my campa…</t>
  </si>
  <si>
    <t>RT @SykesforSenate: @ResethO @LovesRemo @BigLeague2020 @L_Wyman @AP4Liberty I loaned the campaign money from my personal finances. It's not…</t>
  </si>
  <si>
    <t>RT @SykesforSenate: @ResethO @LovesRemo @BigLeague2020 @L_Wyman @AP4Liberty It bothers you that I've worked hard enough in life to personal…</t>
  </si>
  <si>
    <t>RT @BigLeague2020: @LovesRemo @FN4AP @SykesforSenate @ResethO @L_Wyman @AP4Liberty This Is How You Spell Real LIBERTY
S 🇺🇸Y 🇺🇸K 🇺🇸E 🇺🇸S
F…</t>
  </si>
  <si>
    <t>@mtenorio77 Ha!!! 😁</t>
  </si>
  <si>
    <t>RT @poconomtn: .@POTUS 
We are only on twitter to support you! The censorship has gotten out of control. Hundreds have lost their accts for…</t>
  </si>
  <si>
    <t>@ReliefCare1 @CountryPhy Why we must not elect more.</t>
  </si>
  <si>
    <t>RT @Nov2018election: @SykesforSenate MAGA MISSOURI 🇺🇸 #MOGOP #MOPOL #ILIKESYKES #CAMBERS4CONGRESS https://t.co/pvX8pXBSAy</t>
  </si>
  <si>
    <t>RT @SykesforSenate: Join Kress and I...help us Make America Great Again! #MAGA https://t.co/WTeOmVuCvS</t>
  </si>
  <si>
    <t>@sohos19 @SykesforSenate @SenateMajLdr  https://t.co/OWqg6isMX5</t>
  </si>
  <si>
    <t>RT @sohos19: @SykesforSenate @SenateMajLdr  https://t.co/n7XS9hYqFQ</t>
  </si>
  <si>
    <t>RT @wicked1121: @SykesforSenate @SenateMajLdr I hope you aren't surprised! The rural communities would love to see/hear from you,</t>
  </si>
  <si>
    <t>RT @smart_hillbilly: @SykesforSenate @SenateMajLdr I was wondering why we never see your stuff. I'm sure you can break it by tweeting proli…</t>
  </si>
  <si>
    <t>RT @SykesforSenate: Shadowbanning me on twitter won't save you @SenateMajLdr, my ground base is growing rapidly. #MAGA #MOSen https://t.co/…</t>
  </si>
  <si>
    <t>RT @smart_hillbilly: @SykesforSenate #ILikeSykes</t>
  </si>
  <si>
    <t>RT @SykesforSenate: God continues to bless us with support pouring in! #MAGA #Missouri #AmericaFirst #MOSen https://t.co/V0M0XyPHlE</t>
  </si>
  <si>
    <t>@Jeepwidow @YouTube Refreshing perspective on BSA, traditional values and feminists' attack on manhood. 
I highly recommend watching this.</t>
  </si>
  <si>
    <t>RT @Jeepwidow: BSA Girl Scouts - I have changed my stance https://t.co/LZor1ZBvVL via @YouTube</t>
  </si>
  <si>
    <t>RT @KimTopcat17: @Nov2018election @SykesforSenate #VoteSykesForSenate. Come on November 2018</t>
  </si>
  <si>
    <t>RT @KimTopcat17: @Nov2018election @SykesforSenate Let’s get going Missouri Sykes for senate</t>
  </si>
  <si>
    <t>RT @Nov2018election: #ILIKESYKES #MOSEN #MOGOP https://t.co/XWjR2qdMva</t>
  </si>
  <si>
    <t>RT @Nov2018election: 🇺🇸 Missouri Support &amp;amp; Donate 🇺🇸 
Courtland Sykes For US Senate @SykesForSenate 
Missouri’s BOLD Conservative Candida…</t>
  </si>
  <si>
    <t>RT @lindsay_Culbert: @RodStryker Can you put a warning label with explicit images. I really didn't want to see that and wouldn't have opene…</t>
  </si>
  <si>
    <t>RT @SKYRIDER4538: @pennyjo72640374 No it’s my experience as a kid when at age 6 in a different country I had to stand in those same line &amp;amp;…</t>
  </si>
  <si>
    <t>RT @joel_capizzi: Austin Petersen rejects Christianity and the biblical account of the fall of man. https://t.co/KDKKinNX2o</t>
  </si>
  <si>
    <t>Austin Petersen rejects Christianity and the biblical account of the fall of man. https://t.co/KDKKinNX2o</t>
  </si>
  <si>
    <t>RT @BigLeague2020: @L_Wyman @ResethO @AP4Liberty This is the Red Herring tactic in answering direct questions. Changing the topic, straying…</t>
  </si>
  <si>
    <t>@JeffreyPlunket4 @carolmuth1967 You're welcome.</t>
  </si>
  <si>
    <t>RT @JeffreyPlunket4: @joel_capizzi @carolmuth1967 TY JOEL PLEASE RT PATRIOTS</t>
  </si>
  <si>
    <t>RT @BigLeague2020: @CountryPhy @joel_capizzi Systematic Revelations 
#MOSEN https://t.co/L1wgFS3dFv</t>
  </si>
  <si>
    <t>RT @Suzette_L: Senate candidate in MO. https://t.co/gcbA6XK760</t>
  </si>
  <si>
    <t>@AmericanDrmr20 He's an open borders-never-trumper, Libertarian ideologue, posing as a MAGA Republican who wants Claire Mccaskill's (MO) seat in the US Senate.</t>
  </si>
  <si>
    <t>@RyanJParadis @carolmuth1967 You're not paying attention. If you are, neither are you.</t>
  </si>
  <si>
    <t>RT @BigLeague2020: @joel_capizzi Austin Petersen @AP4Liberty speaks all day long about Liberty and The Constitution. 
Somebody better tell…</t>
  </si>
  <si>
    <t>@BigLeague2020 @AP4Liberty AP says he's pro-life but the government has no role in protecting it. If that's the case, the government shouldn't protect us against murderers and he doesn't believe that. Hence, he's not pro-life.</t>
  </si>
  <si>
    <t>RT @AmericanDrmr20: Voters beware! https://t.co/lmVWvL4HNp</t>
  </si>
  <si>
    <t>@carolmuth1967 Austin Petersen wants to replace Senator Mccaskill NO.
I care because he is never-Trumper posing as a Trump supporter, a Republican, and he's neither.</t>
  </si>
  <si>
    <t>RT @YearOfZero: 5. @EricGreitens directly calls out the tax credit scammers. 
They are behind this witch hunt and coup. 
The media and po…</t>
  </si>
  <si>
    <t>RT @YearOfZero: 4. Eric #Greitens calls out the people behind the #Missouri COUP
Yes we know this is about your toys and tax credits!
@Er…</t>
  </si>
  <si>
    <t>RT @YearOfZero: 1. Fighting for The Forgotten Man
@EricGreitens gives speech at the Bio-Disel Press Connferene in #Missouri
He also calls…</t>
  </si>
  <si>
    <t>RT @AnthemRespect: Here’s your suggested Election Ballot if you believe people who brutally &amp;amp; gruesomely kill innocents are not animals:
“…</t>
  </si>
  <si>
    <t>RT @BurgessOwens: Abortion former leader, Cecile Richards condemn President Trumps reference of MS-13 as Animals. Hummm..PP is responsible…</t>
  </si>
  <si>
    <t>RT @ScottPresler: NEED YOUR HELP: Racist School Board Member Stephanie Lawson-Muhammad called a police officer "skinhead" after she was spe…</t>
  </si>
  <si>
    <t>RT @Beverly04990771: STILL THE MOST IMPORTANT MOMENT IN HISTORY. PATRIOTS ,FOLKS,WHAT YOU WAITING FOR? MAKE THIS VIRAL! THIS IS GOD'S WILL!…</t>
  </si>
  <si>
    <t>@anastunya Thanks Doctor.</t>
  </si>
  <si>
    <t>RT @anastunya: Nice Ad! https://t.co/tj3qQ8vj0e</t>
  </si>
  <si>
    <t>RT @BigLeague2020: @CountryPhy @joel_capizzi Thank you very much for Austin’s tweets. I will add them to the treasure trove that lends cred…</t>
  </si>
  <si>
    <t>RT @CountryPhy: @joel_capizzi @BigLeague2020  https://t.co/AOrGbexUgp</t>
  </si>
  <si>
    <t>RT @Nov2018election: @joel_capizzi  https://t.co/YspN3vMCGa</t>
  </si>
  <si>
    <t>RT @RealCandaceO: Chelsea is defending Palestinian terrorists.
Sarah feels bad for MS-13.
And you think decapitating a President is funny.…</t>
  </si>
  <si>
    <t>@ACTforAmerica @JoyAnnReid When they rape and kill my kid they're not animals. When they rape and kill yours they are.</t>
  </si>
  <si>
    <t>RT @RealCandaceO: You’ve spent the last week defending terrorists and MS-13. You do this in the same breath that you criticize our Presiden…</t>
  </si>
  <si>
    <t>RT @TiredofLies6: @ResethO @AP4Liberty Screw AP4liberty...he blocked me when I called him out on his anti #MAGA  stance.</t>
  </si>
  <si>
    <t>@BigLeague2020 @realDonaldTrump @AP4Liberty @POTUS https://t.co/uT0PyKrCJY</t>
  </si>
  <si>
    <t>RT @joel_capizzi: Why AP4 is NOT a Republican and never will be:
"We used our 'TEMPORARY' Tea Party alliance to 'sneak in' Libertarians un…</t>
  </si>
  <si>
    <t>@HennessySTL @AP4Liberty The truth. 
 https://t.co/uT0PyKrCJY</t>
  </si>
  <si>
    <t>@CaroleAlways45 @POTUS So you can put it in your resume? One Megyn Kelly was enough.</t>
  </si>
  <si>
    <t>RT @1Romans58: Chuck I will give you credit, when it comes to BS you really know how to sling it.  You make being a lying POS an art form b…</t>
  </si>
  <si>
    <t>@HennessySTL @AP4Liberty This is new blood. This is energized blood. This is 100% MAGA blood @SykesforSenate https://t.co/WWacmtca42</t>
  </si>
  <si>
    <t>RT @BigLeague2020: @joel_capizzi @AMG4Liberty @AP4Liberty @AmericaFirstMO Straw Man tactics, Joel. Just another Petersen troll. #MOSEN #Cli…</t>
  </si>
  <si>
    <t>RT @AngelaLily0501: @HennessySTL  https://t.co/egLq7XtVQV</t>
  </si>
  <si>
    <t>RT @AngelaLily0501: @HennessySTL @AP4Liberty  https://t.co/CuVPwZyP1X</t>
  </si>
  <si>
    <t>RT @smart_hillbilly: @HennessySTL @AP4Liberty Oh yeah, a lot of good about him. #NeverPetersen https://t.co/RpsST0u9At</t>
  </si>
  <si>
    <t>RT @BigLeague2020: @joel_capizzi @realDonaldTrump made it clear at the Indiana Rally he needed reinforcements.
Austin Petersen @AP4Liberty…</t>
  </si>
  <si>
    <t>RT @BigLeague2020: @joel_capizzi @SykesforSenate #MOSEN
SYKES FOR SENATE
LEADERSHIP AT ITS FINEST 
The Real MAGA Candidate
@SykesforSen…</t>
  </si>
  <si>
    <t>You lose any credibility you may have when you say MS-13 aren't animals. This is why you lose elections.</t>
  </si>
  <si>
    <t>RT @RedRisingUSA: You can't Blame white people because of the way you think, that is not White People faults that is your own perceptions a…</t>
  </si>
  <si>
    <t>@JackGaglio @BlessedmessLady Already have you Jack. 👊</t>
  </si>
  <si>
    <t>@1Romans58 @BreitbartNews If it were Obama and Republicans didn't show they'd call them anti-Semites.</t>
  </si>
  <si>
    <t>RT @1Romans58: Once again the Democrats show zero support.  They were all invited, none showed up.  Sad. 
Democrats Absent from D.C. Embas…</t>
  </si>
  <si>
    <t>RT @NoAnimalAbuse66: And somehow when you do the same thing that these 2 do you think you are okay. You are not. If you think MS13 is a goo…</t>
  </si>
  <si>
    <t>RT @joel_capizzi: Please RT this all the way to the White House.</t>
  </si>
  <si>
    <t>RT @joel_capizzi: Candidate Trump on DACA:
"They have to go. Either we have a country or we don't".
#ENDDACA
#BuildTheWall 
#AmericaFirst…</t>
  </si>
  <si>
    <t>RT @KrisParonto: Really @SenWarren 🤦🏻‍♂️?!!! So what do you do...lie to win elections? Nevermind, i just answered my own question.. 😏 #fake…</t>
  </si>
  <si>
    <t>RT @joel_capizzi: @daniel4missouri @AP4Liberty  https://t.co/J6WOYu21PT</t>
  </si>
  <si>
    <t>@KrisParonto @SenWarren Cultural appropriation?
https://t.co/ZBNoBPYGNU</t>
  </si>
  <si>
    <t>Important. 
https://t.co/oXFgtmuqGX</t>
  </si>
  <si>
    <t>RT @gbread2481: @chucktodd doesn’t understand the concept of cost https://t.co/ExOAustr7P</t>
  </si>
  <si>
    <t>@hrkbenowen Laurel.</t>
  </si>
  <si>
    <t>@hrkbenowen Would be interested to see if it falls down gender lines. My wife says Yanny, but of course she's wrong and I'm right. 😁</t>
  </si>
  <si>
    <t>Non political tweet:
The US left the gold standard in 1971. Paper money aka "fiat currency" is worthless and it's just a matter of time. 
Recommendation: gold is at historic lows, at least 20% of your portfolio should be the yellow metal. Buy now.
https://t.co/C5DLbReyva</t>
  </si>
  <si>
    <t>Re: "animals". https://t.co/g68LyNKJUp</t>
  </si>
  <si>
    <t>@RealMAGASteve @BRBerrys1 Now where did I put the Super Glue?</t>
  </si>
  <si>
    <t>RT @tbailey5477: 💥Q POST 1389
You have a choice
Do what is right
Q
☆My Choice Is To Take Stand With All PATRIOTS Time To Make Our VOICES HE…</t>
  </si>
  <si>
    <t>@Jakob_Zimer @JeffreyPlunket4 @JerryBrownGov @realDonaldTrump The only people who matter know this.</t>
  </si>
  <si>
    <t>Someone asked me why I support Sykes and I live in Texas:
1) What happens in MO happens in Texas.
2) somebody asked me to.</t>
  </si>
  <si>
    <t>@SykesforSenate https://t.co/pMg9Z22pZj</t>
  </si>
  <si>
    <t>@daniel4missouri @AP4Liberty  https://t.co/J6WOYu21PT</t>
  </si>
  <si>
    <t>RT @daniel4missouri: @joel_capizzi You are exactly right on this. @AP4Liberty is fake and a nightmare for sure worst candidate in the race.</t>
  </si>
  <si>
    <t>AP4 is a fake MAGA RINO:
"I'M AN IDEOLOGUE. I'm going to be a Liberty Champion' (code for OPEN BORDERS Libertarian) NO MATTER WHAT". https://t.co/kY7kp02tSw</t>
  </si>
  <si>
    <t>Trump supporters are off the deep end. AP4. https://t.co/1bXNGFhaqw</t>
  </si>
  <si>
    <t>RT @BigLeague2020: @NoMoSocialism75 @AMG4Liberty @AP4Liberty @AmericaFirstMO #MOSEN https://t.co/CgeCOzhQQV</t>
  </si>
  <si>
    <t>RT @BigLeague2020: @CallMeSquiggly @AMG4Liberty @AP4Liberty @AmericaFirstMO Austin Petersen Broke President Reagan’s 11th Commandment.
@AP…</t>
  </si>
  <si>
    <t>RT @BigLeague2020: What political ladder are you climbing this election cycle @AP4Liberty ⁉️
LIBERTARIAN❓
REPUBLICAN✔️
#MISSOURI Don’t B…</t>
  </si>
  <si>
    <t>RT @ScottPresler: MS-13 murdered 2 girls of color, Nisa Mickens &amp;amp; Kayla Cuevas, who the democrats refused to honor at SOTU.
MS-13 also sta…</t>
  </si>
  <si>
    <t>RT @patriot9718: IAM AN AMERICAN #MAGA https://t.co/SGcpu5zOkh</t>
  </si>
  <si>
    <t>@AMG4Liberty @BigLeague2020 @AP4Liberty @AmericaFirstMO @benshapiro You split hairs. I don't. Go argue with somebody else. I have more important things to do with my time.</t>
  </si>
  <si>
    <t>@MarcGriff89 Real ones, not ones hiding under red MAGA hats.</t>
  </si>
  <si>
    <t>RT @MarcGriff89: WE MUST REMEMBER TO VOTE FOR MAGA CANDIDATES ONLY! 🗳 #MAGA 🇺🇸 https://t.co/2qn7riBzJr</t>
  </si>
  <si>
    <t>RT @UlzheimerR: @mar0593 @joel_capizzi Vote Sykes. ARMY STRONG.</t>
  </si>
  <si>
    <t>@Coalitionvoters I'll second that, third that and fourth that.</t>
  </si>
  <si>
    <t>RT @Coalitionvoters: Your daughter deserves this honor..she does a fantastic job..with grace and beauty..congradulations to Sarah and a ver…</t>
  </si>
  <si>
    <t>@AMG4Liberty @BigLeague2020 @AP4Liberty @AmericaFirstMO @benshapiro Is AP4 more conservative than Cruz?
You're hopeless smh. https://t.co/WV2Nvs9MDm</t>
  </si>
  <si>
    <t>RT @JackGaglio: https://t.co/HOKRAAeG0e</t>
  </si>
  <si>
    <t>RT @Sherrie75527742: @stump54jumper @joel_capizzi Yes, always be honest and above board when running for any office,  so it doesn't come ba…</t>
  </si>
  <si>
    <t>RT @mar0593: #VoteConservative2018 https://t.co/n9pDRfqSMi</t>
  </si>
  <si>
    <t>RT @joel_capizzi: I don't play politics. I do my due diligence and  nobody gets a pass. For what it's worth, there is only one honest, true…</t>
  </si>
  <si>
    <t>@NoMoSocialism75 @BigLeague2020 @AMG4Liberty @AP4Liberty @AmericaFirstMO Your candidate is the worst kind of MAGA deceiver. I've posted a number of videos that prove it and if you still refuse to see him for what he really is, I can't help you. Leave it here, don't even try.</t>
  </si>
  <si>
    <t>I don't play politics. I do my due diligence and  nobody gets a pass. For what it's worth, there is only one honest, true Trump supporter in the MO Senate race, @SykesforSenate, and I'll stake my personal reputation on it.
Sykes is MAGA and no, he's not paying me to say this. https://t.co/rnLnDWikMr</t>
  </si>
  <si>
    <t>RT @stump54jumper: true that!!! sometimes it seems to be a prerequisite for running for office!!! https://t.co/npP9IlRpMB</t>
  </si>
  <si>
    <t>RT @EJ_Atwood: @joel_capizzi Preach Joel...that's why there is only one candidate for #MOSen @SykesforSenate</t>
  </si>
  <si>
    <t>@NoMoSocialism75 @BigLeague2020 @AMG4Liberty @AP4Liberty @AmericaFirstMO Too late for you. No hope. You're fried.</t>
  </si>
  <si>
    <t>@AMG4Liberty @BigLeague2020 @AP4Liberty @AmericaFirstMO @benshapiro "Now I'm not a conservative". 
Austin Petersen https://t.co/fD0O4NDJkV</t>
  </si>
  <si>
    <t>RT @BigLeague2020: @AP4Liberty Have bots been deployed the way they were in the @AmericaFirstMO Senate Debate Forum poll you conducted? htt…</t>
  </si>
  <si>
    <t>RT @BigLeague2020: @NoMoSocialism75 @AMG4Liberty @AP4Liberty @AmericaFirstMO I’m going to block you because I find you quite septic and arr…</t>
  </si>
  <si>
    <t>RT @BigLeague2020: @NoMoSocialism75 @AMG4Liberty @AP4Liberty @AmericaFirstMO You’re obnoxious, condescending, insulting reply is why many R…</t>
  </si>
  <si>
    <t>My problem with politics is the lying. If you're running for public office be man enough, woman enough to be honest with the American people and tell us where you stand. If you have to lie about it, it's because you know we don't want what you have to offer.</t>
  </si>
  <si>
    <t>@ouchinagirl @JasonMarkTodd @magaSTORM7 @The2ndA @LisaTomain @RedPilledinNY @Corp125Vet @Jonwooderman @iwillhavemyday @Sissy_USMC @sbcoin @mtenorio77 @PrincessDebate @rocksiphone All in. 👍</t>
  </si>
  <si>
    <t>RT @ouchinagirl: @JasonMarkTodd @magaSTORM7 @The2ndA @LisaTomain @RedPilledinNY @Corp125Vet @Jonwooderman @iwillhavemyday @joel_capizzi @Si…</t>
  </si>
  <si>
    <t>RT @BigLeague2020: @AMG4Liberty @AP4Liberty @benshapiro A troll for AP. How nice.
When you support someone who keeps running for public of…</t>
  </si>
  <si>
    <t>RT @BigLeague2020: @AMG4Liberty @AP4Liberty @AmericaFirstMO @benshapiro “One of the penalties for refusing to participate in politics is th…</t>
  </si>
  <si>
    <t>RT @joel_capizzi: "How to get blocked by Austin Petersen for Dummies"
Simple.
Post his own video clips and screenshots of his deleted twe…</t>
  </si>
  <si>
    <t>RT @LadyRedWave: Dear @POTUS there are MILLIONS of #WeThePeople that also feel this way! PLEASE we're ALSO asking the #AG for transparency.…</t>
  </si>
  <si>
    <t>RT @ChucksWife1973: When the soldiers came home from Vietnam there were no parades, no celebrations. So they built the Vietnam Memorial for…</t>
  </si>
  <si>
    <t>RT @dbongino: The moment you bring a bomb to a “protest” it stops becoming a protest and starts becoming a terrorist attack.
#Gaza</t>
  </si>
  <si>
    <t>RT @ClintonMSix141: This 12 second video says it all.
When someone tells you who they are- BELIEVE THEM!! https://t.co/GT2EHz4mSc</t>
  </si>
  <si>
    <t>RT @r_little_finger: A Black man wearing a red MAGA hat was threatened by staff at a Cheesecake Factory.
Will they go full Starbucks, clos…</t>
  </si>
  <si>
    <t>RT @David_Hogg16: I'm David Hogg and I AM #Pro2A.  ARE YOU? Please RT this &amp;amp; show my friend @CamEdwards support for buying me this awesome…</t>
  </si>
  <si>
    <t>RT @JcDeplorable: Anyone holding their breath to see this on #FAKENEWS #FAKENEWSCNN? 
Me neither. #2A #maga #kag
https://t.co/h0KsyDs1Ok</t>
  </si>
  <si>
    <t>RT @smokntoes: @Steve_T1994 @KellyCurrie14 @RoseColoredMaga @JeanneInTexas @TruthMaga @iwillhavemyday @Jonwooderman @joel_capizzi @Princess…</t>
  </si>
  <si>
    <t>@JulieTackitt @RealCandaceO @BuzzFeed Definitely not against. 😁</t>
  </si>
  <si>
    <t>@hppytbhrboots @LovesRemo @ToxicAvenger01 @jeffsessions @realDonaldTrump Project much?</t>
  </si>
  <si>
    <t>RT @Nov2018election: GEORGIA BRADLEY GRIFFIN FOR CONGRESS #GAGOP #GAPOL #GA10 https://t.co/vaKb5Mcd9R</t>
  </si>
  <si>
    <t>RT @Nov2018election: GEORGIA HUNTER HILL FOR GOVERNOR #GAGOP #GAPOL https://t.co/tRJofORJNU</t>
  </si>
  <si>
    <t>RT @Nov2018election: GEORGIA GEOFF DUNCAN FOR LT GOVERNOR #GAGOP #GAPOL https://t.co/NxRXkZE3RX</t>
  </si>
  <si>
    <t>RT @Nov2018election: GEORGIA VOTE TRACY JORDAN FOR INSURANCE COMMISSIONER #GAGOP #GAPOL https://t.co/3GEIjCz7lo</t>
  </si>
  <si>
    <t>RT @Nov2018election: 🍑GEORGIA MAY 22ND PRIMARY PLEASE VOTE ✔️ 
@TracyJordan4GA 
@GeoffDuncanGA 
@Griff4Congress 
@votehunterhill 
#GAGO…</t>
  </si>
  <si>
    <t>RT @BigLeague2020: @joel_capizzi The finest REAL MAGA candidate in #MOSEN #MISSOURI
SYKES FOR SENATE
“Make sure you are doing what God wa…</t>
  </si>
  <si>
    <t>RT @BigLeague2020: @jetrotter @joel_capizzi If that assertion was accurate then Austin Petersen would not call to revolt against our duly e…</t>
  </si>
  <si>
    <t>RT @smart_hillbilly: @joel_capizzi @Hope4Hopeless1  https://t.co/qfB2KTq4wR</t>
  </si>
  <si>
    <t>@BigLeague2020 @AP4Liberty @realDonaldTrump @SykesforSenate "Trumpkins" as Petersen refers to Trump Supporters have provided overwhelming evidence that Petersen is a phony Trump supporter. What's it going to take for some people, a confession?</t>
  </si>
  <si>
    <t>RT @boyceal: @BigLeague2020 @joel_capizzi This will certainly happen a lot in the upcoming midterms.  They are Trojan horses.  They will ru…</t>
  </si>
  <si>
    <t>RT @Nov2018election: @On_The_Hook @Hope4Hopeless1 @K0D_4 @AP4Liberty @SykesforSenate They follow him blindly.We must vet all candidates we…</t>
  </si>
  <si>
    <t>RT @On_The_Hook: @Hope4Hopeless1 @K0D_4 @AP4Liberty @SykesforSenate True! Austin is a cuck https://t.co/TPh9ZNCSIH</t>
  </si>
  <si>
    <t>RT @BigLeague2020: @joel_capizzi “We will stand united AGAINST the forces of Populist Nationalism.” ~ Austin Petersen @AP4Liberty 
QUESTIO…</t>
  </si>
  <si>
    <t>RT @WhoWolfe: Alveda King Says Maxine Waters Is 'Playing the Race Card, Again' https://t.co/DAQTQFjIPS</t>
  </si>
  <si>
    <t>RT @BigLeague2020: @joel_capizzi AUSTIN PETERSEN is trying to SHAM WOW you into voting for him @AP4Liberty 
DON’T TAKE THE BAIT
HE CALLED…</t>
  </si>
  <si>
    <t>RT @smart_hillbilly: @Mizzourah_Mom @magathemaga1 @Hope4Hopeless1 @VisioDeiFromLA @Sticknstones4 @BigLeague2020 @RealTravisCook @joel_capiz…</t>
  </si>
  <si>
    <t>RT @BigLeague2020: @joel_capizzi BE VERY CAREFUL #MISSOURI
WE HAVE A MASQUERADER AMONG US
AUSTIN PETERSEN IS A #NeverTrumper LIBERTARIAN…</t>
  </si>
  <si>
    <t>RT @BigLeague2020: @DannyHortonMO @joel_capizzi @realDonaldTrump @HawleyMO #MOSEN #MISSOURI 
COURTLAND SYKES FOR SENATE
HE SHOWS UP FOR T…</t>
  </si>
  <si>
    <t>"Conservatives have no intellectual understanding of things".
AP4. 
Devastating. Maybe in my next life. https://t.co/vfgfUDA5w7</t>
  </si>
  <si>
    <t>Austin Petersen:
"I'm not a conservative"
Also...
"Donald Trump doesn't represent conservative values whatsoever". https://t.co/UD0W7YptdJ</t>
  </si>
  <si>
    <t>RT @JDugudichi: Follw back all patriots
@JDugudichi
@BridgetKF30 
@LibberTea
@Briteeye777
@AccurateINSULT
@AliciaTolbert
@joel_capizzi
@Ali…</t>
  </si>
  <si>
    <t>@Sloth1963 Which?</t>
  </si>
  <si>
    <t>RT @joel_capizzi: This is bizarre. 
I hear Laurel, my wife hears Yanny. What do you hear? 😉 https://t.co/EAHY3un7tA</t>
  </si>
  <si>
    <t>RT @BigLeague2020: @joel_capizzi #MOSEN #ClimbHigher #NeverPetersen 
A CLASSIC LIBERTARIAN MASQUERADING AS A REPUBLICAN FOR POLITICAL EXPE…</t>
  </si>
  <si>
    <t>@girl4_trump When, oh when, will we drain the swamp?</t>
  </si>
  <si>
    <t>RT @girl4_trump: I'm thinking they will replace #Mueller with another just a #corrupt. And the investigation #WitchHunt will just continue.…</t>
  </si>
  <si>
    <t>RT @SamGCHQ: @MarciaD97650789 
@joel_capizzi 
DEFEAT DemoKKKratic Candidates! https://t.co/6oDJUl74Aq</t>
  </si>
  <si>
    <t>@EllidaProject @Sloth1963 I agree.</t>
  </si>
  <si>
    <t>Austin Petersen's alliance with the Trump movement and conservatives is temporary to advance his libertarian agenda. https://t.co/lhJk3yNIJ9</t>
  </si>
  <si>
    <t>@Sloth1963 Glad to be of help. 😁</t>
  </si>
  <si>
    <t>@Sloth1963 I hear it works every time.</t>
  </si>
  <si>
    <t>"How to get blocked by Austin Petersen for Dummies"
Simple.
Post his own video clips and screenshots of his deleted tweets. 
How's that for manning up?</t>
  </si>
  <si>
    <t>RT @BigLeague2020: #MISSOURI
Additional Proof AUSTIN PETERSEN is NOT a CONSERVATIVE‼️
He IS NOT SHADOWBANNED from Twitter.
#MOSEN #Climb…</t>
  </si>
  <si>
    <t>Vote and RT</t>
  </si>
  <si>
    <t>This is bizarre. 
I hear Laurel, my wife hears Yanny. What do you hear? 😉 https://t.co/EAHY3un7tA</t>
  </si>
  <si>
    <t>RT @SecPompeo: I’m pleased to announce that I’m lifting @StateDept hiring freeze on Foreign Service and Civil Service employees. We need ou…</t>
  </si>
  <si>
    <t>RT @r_little_finger: RETWEET:
If you are Pro-America
If you are Pro-Trump
If you are Pro-Military
If you are Pro-Vets
If you are Pro-LEO
I…</t>
  </si>
  <si>
    <t>See what happens with low voter turnout?
https://t.co/iBDqqRshXf</t>
  </si>
  <si>
    <t>What's wrong with this picture?
https://t.co/GJCkIxpXkO</t>
  </si>
  <si>
    <t>RT @PIRATEDANTRAIN: 🚂 #TrumpTrainKAG 🚂
New Train Launched! Trump Train KAG - The Privateer Express!  It's faster than a bullet.
Follow Co…</t>
  </si>
  <si>
    <t>RT @PIRATEDANTRAIN: Please Follow These
Conductors and RT
@jimlibertarian
@FreeSpeechJim
@navyvet55
@4Mischief
@MONTANANBALLER
@DavidPhaup…</t>
  </si>
  <si>
    <t>RT @PIRATEDANTRAIN: More
Conductors
@MAGAVoice
@Psycotic70
@JamieM2481
@steve_pippin
@LaunaSallai
@PoliticalPossum
@Domains2Click
@ofarthe…</t>
  </si>
  <si>
    <t>RT @PIRATEDANTRAIN: Club Car 1
@Patriotic_Va
@Paul59Myhre
@DavidLynnHawki4
@roddyvfl
@1susues
@1DeplorableGirl
@WelllDoYou
@LandenSmith11…</t>
  </si>
  <si>
    <t>RT @PIRATEDANTRAIN: Hot Tub Car 2
@cjdtwit 
@garmac63
@RUSTIMCCOLLUM
@TabbyWesa
@billbenedict61
@Timesupjokers
@ThomasDeal14
@momof24u
@bi…</t>
  </si>
  <si>
    <t>RT @PIRATEDANTRAIN: Club Car 3
@RickOhioImBack
@Mikeproudvet
@PithyPins
@justice69hall
@trumplove63
@LuvOurVets1
@RBucciarelli
@goofballge…</t>
  </si>
  <si>
    <t>RT @PIRATEDANTRAIN: Club Car 4
@NotBuyingIt34
@TAGOS22
@Tori2uTori
@OdinMo
@RoxxxyGurL
@RRRDontTreadOn
@basedinfidel8
@2018NVPolitics
@cod…</t>
  </si>
  <si>
    <t>RT @PIRATEDANTRAIN: Club Car 5
@bud_cann
@DCLadyToYou
@CAKACA17
@Sherry_Surdam
@DroneRecovery4
@caligurll17
@_pcantagonista
@PortugueseMam…</t>
  </si>
  <si>
    <t>RT @PIRATEDANTRAIN: Club Car 6
@420MyTime024
@BetsyRoss99
@bob_simonson
@ConnieLee1023
@DavidPhaup
@DennisDet656
@FilipinosGop
@ForeverNYG…</t>
  </si>
  <si>
    <t>RT @PIRATEDANTRAIN: Club Car 7
@WDB4393
@13isGodsend
@AmericanLaoch
@Americanvet1219
@BandsawMike
@Caro7Joe54
@DrHoagy
@IcyQueenBee
@JackC…</t>
  </si>
  <si>
    <t>RT @PIRATEDANTRAIN: Club Car 8
@BakersfieldBil
@bigdaddy50tree
@burginsteven006
@Cowboy091455
@crowet
@DallasIrey
@Danglers26
@DevinRouse4…</t>
  </si>
  <si>
    <t>RT @PIRATEDANTRAIN: Car 9
@AliceD0N0VAN
@BoarOfCalydon
@ChrisFukui1
@clskinsfan
@DeplorablesB
@Emma19780
@emtee2355
@GillumShavett
@grande…</t>
  </si>
  <si>
    <t>RT @PIRATEDANTRAIN: Car 10
@13231amo
@cheneysmiles68
@ctrm045
@Fear_Less_baby
@fouchelauren
@fugginflorida
@jaywilliams9
@jcguppy
@Jeh57Jo…</t>
  </si>
  <si>
    <t>RT @PVHenryConLLC: @LovesRemo @SykesforSenate @Blacksvotetrump @garmac63 @wade_spiker @real_Ryan_P @DevonB324 @ConsFront @steffiesteeler @a…</t>
  </si>
  <si>
    <t>RT @BigLeague2020: @smart_hillbilly @Mizzourah_Mom @magathemaga1 @Hope4Hopeless1 @VisioDeiFromLA @Sticknstones4 @RealTravisCook @joel_capiz…</t>
  </si>
  <si>
    <t>RT @provost_john: The beauty of the Second Amendment is that it will not be needed until they try to take it.We the people know there's not…</t>
  </si>
  <si>
    <t>RT @BlockedbyMich: “You cannot have it both ways Ms. Mortensen! You are not only double talking you are sounding more and more like the #RI…</t>
  </si>
  <si>
    <t>@Shawtypepelina @SykesforSenate Perhaps he didn't notice because he's too wrapped up in himself.</t>
  </si>
  <si>
    <t>RT @smart_hillbilly: @joel_capizzi @BigLeague2020 @Nov2018election Wow! Austin Petersen finally blocked me! This is great! #ClimbHigher #Ne…</t>
  </si>
  <si>
    <t>RT @VisioDeiFromLA: IT'S NOT A COUP
IT'S NOT A COUP
IT'S NOT A COUP
IT'S NOT A COUP
IT'S NOT A COUP
IT'S NOT A COUP
IT'S NOT A COUP
IT'S NO…</t>
  </si>
  <si>
    <t>RT @joel_capizzi: @BigLeague2020 The prosecution dropped the charges against Gov Greitens and how's that working out for you Counselor?
#H…</t>
  </si>
  <si>
    <t>@LibertarianTxn Why don't you ask him what he knows? https://t.co/hb0EubtErk</t>
  </si>
  <si>
    <t>RT @herredness66: @joel_capizzi Who’d vote for this commie. Vote out democrats, turncoats &amp;amp; traitors</t>
  </si>
  <si>
    <t>RT @ChucksWife1973: @joel_capizzi I'm in Missouri. I'm praying Missouri wakes up and give Petersen the boot. He is just another Claire McCa…</t>
  </si>
  <si>
    <t>RT @VisioDeiFromLA: (62) From the birdseye view of the #greitens situation, this is ultimately a representation of what’s going on in Ameri…</t>
  </si>
  <si>
    <t>RT @joel_capizzi: Firing Claire takes some energy. Like this:
@SykesforSenate https://t.co/8bb0A1dNqT</t>
  </si>
  <si>
    <t>RT @joel_capizzi: AWOL from the campaign trail, Josh Hawley is too busy framing the governor, pumping iron, buying wine and more.
The Misso…</t>
  </si>
  <si>
    <t>RT @joel_capizzi: Photo ops with the President won't get it Josh, you have to get out there and work for it.
@SykesforSenate https://t.co/…</t>
  </si>
  <si>
    <t>RT @smart_hillbilly: @Nov2018election @BigLeague2020 @joel_capizzi Is it socialistic to want a wall? According to Petersen it is. https://t…</t>
  </si>
  <si>
    <t>@RepMarinochick RINO Libertarian phony Trump supporter  candidate for US Senate race in Missouri.</t>
  </si>
  <si>
    <t>RT @reason2sense: @Nov2018election @Tell_Michelle_ @DannyTarkanian @realDonaldTrump Tarkanian #NV03 
https://t.co/wRfmAZ9DNy https://t.co/p…</t>
  </si>
  <si>
    <t>RT @elect_Patriots: @Nov2018election @Tell_Michelle_ @DannyTarkanian @realDonaldTrump This is a non-issue...
Trump already endorsed @Danny…</t>
  </si>
  <si>
    <t>RT @Nov2018election: 11.MORTENSEN:ON THE ISSUES🤔 https://t.co/LIAvDZWT84</t>
  </si>
  <si>
    <t>RT @Nov2018election: 10.MORTENSEN: ON THE ISSUES🤔 https://t.co/WRaOQQ65dv</t>
  </si>
  <si>
    <t>RT @Nov2018election: 9.MORTENSEN: ON THE ISSUES🤔 https://t.co/s6QrJeFgeH</t>
  </si>
  <si>
    <t>RT @Nov2018election: 8.MORTENSEN:ON THE ISSUES👏 https://t.co/bRnGFablQA</t>
  </si>
  <si>
    <t>RT @Nov2018election: 7.MORTENSEN:ON THE ISSUES🤔 https://t.co/KXLE7noOFr</t>
  </si>
  <si>
    <t>RT @Nov2018election: 6.MORTENSEN:ON THE ISSUES🤔 https://t.co/38I4ZGYX4k</t>
  </si>
  <si>
    <t>RT @Nov2018election: 5.MORTENSEN:ON THE ISSUES🤔 https://t.co/aD8hmoZeXW</t>
  </si>
  <si>
    <t>RT @Nov2018election: 4.MORTENSEN: ON THE ISSUES🤔 https://t.co/Bf8rhNXD4D</t>
  </si>
  <si>
    <t>RT @Nov2018election: 3.MORTENSEN: ON THE ISSUES🤔 https://t.co/AogpRrPwCt</t>
  </si>
  <si>
    <t>RT @Nov2018election: 2.MORTENSEN: ON THE ISSUES🤔 https://t.co/1ldKSogCbi</t>
  </si>
  <si>
    <t>RT @Nov2018election: 1. MORTENSEN: ON THE ISSUES 🤔 https://t.co/iBlPFefg0N</t>
  </si>
  <si>
    <t>RT @Nov2018election: MICHELLE MORTENSEN @Tell_Michelle_ ON THE ISSUES:STANDING NOWHERE OR EVERYWHERE 🤔 #NV03 #NV3 #NVGOP #NVPOL @DannyTarka…</t>
  </si>
  <si>
    <t>RT @TheGunGuy85: I support Danny Tarkanian for congress and will be voting for him on June 12th in NV district 3 @DannyTarkanian Mortensen’…</t>
  </si>
  <si>
    <t>RT @BigLeague2020: @TheGunGuy85 @DannyTarkanian Fake, Fake, Fake News
#NV3 #cd3 https://t.co/mjlywOXcXQ</t>
  </si>
  <si>
    <t>RT @smart_hillbilly: @MsContradict @BigLeague2020 @Nov2018election @joel_capizzi And Petersen is one of them... https://t.co/VZIBpWFU94</t>
  </si>
  <si>
    <t>RT @smart_hillbilly: @joel_capizzi @BigLeague2020 @Nov2018election We need to show everyone who this guy is. #ClimbHigher #NeverPetersen ht…</t>
  </si>
  <si>
    <t>RT @joel_capizzi: Austin petersen is a dishonest shape-shifting politician claiming he left the Libertarian Party without dis-avowing a sin…</t>
  </si>
  <si>
    <t>RT @joel_capizzi: Austin Petersen, "who are you?" Last year you were a Libertarian, called Trump a facist and said he was "nuts". This year…</t>
  </si>
  <si>
    <t>RT @joel_capizzi: "Petersen’s criticism of the ‘Never Trump’ movement is incredibly disingenuous considering Petersen was once part of that…</t>
  </si>
  <si>
    <t>RT @joel_capizzi: Petersen's anti-religion rant includes diatribe against Mother Teresa, now Saint Teresa of Calcutta.
Protect your religi…</t>
  </si>
  <si>
    <t>RT @joel_capizzi: Is Petersen MAGA? His utter contempt and loathing for Trump and his supporters is evidenced by his (since deleted) tweets…</t>
  </si>
  <si>
    <t>RT @joel_capizzi: Austin Petersen has a "problem" with "Trumpism". 
Courtland Sykes has no "problem" with it whatsoever. 
Elect MAGA candi…</t>
  </si>
  <si>
    <t>RT @joel_capizzi: No career politician in his right mind would ever make this pledge.
Hawley and Petersen, put up or shut up. 
@SykesforS…</t>
  </si>
  <si>
    <t>RT @joel_capizzi: "If you're for closed borders, congratulations, you're a freaking commie" says Austin Petersen who wants to be the next U…</t>
  </si>
  <si>
    <t>RT @joel_capizzi: Austin Petersen wants us to believe he went to bed one night a never-Trumper and woke up one morning a rabid Trump suppor…</t>
  </si>
  <si>
    <t>RT @joel_capizzi: "Everybody Must Get Stoned" Bob Dylan
Austin Petersen wants to legalize marijuana. 
We very nearly lost a child to addi…</t>
  </si>
  <si>
    <t>RT @joel_capizzi: @MoOathkeeper17 @SykesforSenate @AP4Liberty On border security, open borders Petersen and Sykes are like night and day. Y…</t>
  </si>
  <si>
    <t>RT @joel_capizzi: @AliceBallard27 @stand4honor @Pickles0201 @Jonwooderman @CothranVicky @FlaShirley @Birdle2963 @Black_Feather55 @GraysonSm…</t>
  </si>
  <si>
    <t>RT @joel_capizzi: "It is frightening to see what is happening to our country when the man who sits at the top of the ticket is truly the de…</t>
  </si>
  <si>
    <t>RT @joel_capizzi: Austin Petersen vs Trump 
"It is frightening to see what has become of our nation when a man who is truly the definition…</t>
  </si>
  <si>
    <t>RT @Nov2018election: @joel_capizzi @annvandersteel @Tell_Michelle_ @DannyTarkanian @MrsT106 Joel you mean like in this pesky screenshot of…</t>
  </si>
  <si>
    <t>RT @joel_capizzi: @SykesforSenate is on record for building the wall. 
Austin Petersen, is on record for open borders.
#StopTheCaravan
#…</t>
  </si>
  <si>
    <t>RT @joel_capizzi: @NeilStruharik @magathemaga1 @LovesRemo @NoMoSocialism75 @BigLeague2020 @realDonaldTrump @SykesforSenate @AP4Liberty @POT…</t>
  </si>
  <si>
    <t>RT @joel_capizzi: Austin Petersen in all his foul mouthed narcissistic glory.
WARNING: VERY STRONG LANGUAGE. https://t.co/L0elwIA0Rj</t>
  </si>
  <si>
    <t>RT @BigLeague2020: @joel_capizzi “Changed” is a political con word for
POLITICAL EXPEDIENCY
#MISSOURI DON’T BE CONNED 
AUSTIN PETERSEN I…</t>
  </si>
  <si>
    <t>RT @BigLeague2020: @smart_hillbilly @Nov2018election @joel_capizzi @realDonaldTrump is working so diligently for The Forgotten Man.
He don…</t>
  </si>
  <si>
    <t>RT @BigLeague2020: @smart_hillbilly @Nov2018election @joel_capizzi Austin Petersen will have to #ClimbHigher to get a Trump-supporter’s che…</t>
  </si>
  <si>
    <t>RT @smart_hillbilly: @BigLeague2020 @Nov2018election @joel_capizzi Yes he is! https://t.co/lE8bukGbfZ</t>
  </si>
  <si>
    <t>@BigLeague2020 @smart_hillbilly @Nov2018election It's all out there for Missourians to see @BigLeague2020. If they don't see it, it's because they don't want to and they're following the wrong man; Petersen, not Trump. Sad.</t>
  </si>
  <si>
    <t>Firing Claire takes some energy. Like this:
@SykesforSenate https://t.co/8bb0A1dNqT</t>
  </si>
  <si>
    <t>RT @BigLeague2020: @smart_hillbilly @Nov2018election @joel_capizzi #MOSEN #MISSOURI
DON’T BE CONNED❗️
AUSTIN PETERSEN IS A LIBERTARIAN,…</t>
  </si>
  <si>
    <t>RT @BigLeague2020: @Jack, Now we can’t Bookmark articles❓
It’s just an article about how #Missouri AG Josh Hawley doesn’t deem it necessar…</t>
  </si>
  <si>
    <t>RT @smart_hillbilly: @Nov2018election @BigLeague2020 @joel_capizzi #NeverPetersen https://t.co/BQHvBy1syv</t>
  </si>
  <si>
    <t>RT @smart_hillbilly: @BigLeague2020 @Nov2018election @joel_capizzi @POTUS Oh this is good.</t>
  </si>
  <si>
    <t>@RealCandaceO @BuzzFeed I want to be in a firefight with this woman.</t>
  </si>
  <si>
    <t>RT @RealCandaceO: For the record @BuzzFeed, you do not scare me. I will not submit to your version of what I should be as a black woman in…</t>
  </si>
  <si>
    <t>RT @BobbyL22458608: @luvnewinfo @unkiewood @Craigsmiffysmif @Johnpdca @JohnCooper0610 @Trumpfan1995 @JohnMcGeever70 @777rada50023 @JoanneTi…</t>
  </si>
  <si>
    <t>@BigLeague2020 The prosecution dropped the charges against Gov Greitens and how's that working out for you Counselor?
#Hidinghawley 👇 https://t.co/zqWPyBjYqs</t>
  </si>
  <si>
    <t>RT @BigLeague2020: @joel_capizzi #HidingHawley 
Joshy Josh
YOU HAVE TO BE IN IT TO WIN IT
Hawley, The Anointed One
#MOSEN 
Don’t Waste…</t>
  </si>
  <si>
    <t>Photo ops with the President won't get it Josh, you have to get out there and work for it.
@SykesforSenate https://t.co/NSlVjNTzzm</t>
  </si>
  <si>
    <t>AWOL from the campaign trail, Josh Hawley is too busy framing the governor, pumping iron, buying wine and more.
The Missouri GOP is getting plenty worried about their "golden boy" with good reason.
https://t.co/iFf01kCoEU</t>
  </si>
  <si>
    <t>RT @EJ_Atwood: @realDonaldTrump #SendSykes #MOSen https://t.co/ankGr6r8EP</t>
  </si>
  <si>
    <t>RT @BigLeague2020: @DanWantsFreedom I’ll fill you in.
He’s sporting a new wig! Have you seen this pony? Pinky Pie!
#MOSEN #ClimbHigher ht…</t>
  </si>
  <si>
    <t>RT @BigLeague2020: #MOSEN https://t.co/Hvw3GH2f4i</t>
  </si>
  <si>
    <t>RT @BigLeague2020: POLITICAL JEOPARDY FOR POLITICAL OPPORTUNISTS
I’ll Take Tweets That Didn’t Age Well For $500 Alex
What LIBERTARIAN run…</t>
  </si>
  <si>
    <t>RT @Pickles0201: @LovesRemo @SykesforSenate "The constitution and the rule of law are the foundation of conservatism. We need REAL conserva…</t>
  </si>
  <si>
    <t>RT @BigLeague2020: @joel_capizzi POLITICAL EXPEDIENCY
SAY WHATEVER IT TAKES TO GET ELECTED
AUSTIN PETERSEN IS AND ALWAYS WILL BE A #Never…</t>
  </si>
  <si>
    <t>RT @RealCandaceO: If life has taught me one thing, it’s that the best way to not get shot, is to avoid storming over a shoot-to-kill milita…</t>
  </si>
  <si>
    <t>RT @Nov2018election: @joel_capizzi #NEVERPETERSEN #MOSEN https://t.co/cKqkvMas8j</t>
  </si>
  <si>
    <t>MAGA is a "Trumposity" to AP4 (a play on "monstrosity").
MAGA to AP4 is a means to an end. The "end" is infiltrating the MAGA movement and the Republican party. The "end" is getting "our people in", vis a vis libertarians. 
Devious AP4 makes Slick Willie look like an amateur. https://t.co/iIA7YH7TNW</t>
  </si>
  <si>
    <t>RT @joel_capizzi: I'm constantly being told by AP4 supporters AP4's  "changed".
Does this sound like a man who's changed??? https://t.co/1…</t>
  </si>
  <si>
    <t>I'm constantly being told by AP4 supporters AP4's  "changed".
Does this sound like a man who's changed??? https://t.co/1OBb1sq2d5</t>
  </si>
  <si>
    <t>@Jonwooderman @luvnewinfo @BobbyL22458608 @BridgetKF30 @Briteeye777 @_LCMB_ @DD_onTheRock @nzo11 @CarrieLockhart_ @SusanStormXO @TrumpMAGAclub @RealEagleWings @PatriotMarie @KillerKellyReno @VetWithACause @BaracudaDebbie @battleofever @AliciaTolbert All in.</t>
  </si>
  <si>
    <t>RT @BigLeague2020: @joel_capizzi @HarryBerbely @flaunttnualf @LauraLoomer @amina_abusharif @realDonaldTrump No wonder the anointed Gym Brat…</t>
  </si>
  <si>
    <t>RT @JennyJlfortn632: @Nov2018election @SykesforSenate U MUST UNITE ALL VOTERS TO VOTE 4 SYKES IN PRIMARY DON'T LET the LEFT &amp;amp; RINOS DIVIDE…</t>
  </si>
  <si>
    <t>RT @AliciaTolbert: @luvnewinfo @BridgetKF30 @Briteeye777 @_LCMB_ @DD_onTheRock @nzo11 @CarrieLockhart_ @SusanStormXO @TrumpMAGAclub @RealEa…</t>
  </si>
  <si>
    <t>RT @Nov2018election: MO SYKES FOR SENATE @SykesforSenate #MOSEN #BUILDTHEWALL #MOGOP https://t.co/PdkoH7hzPS</t>
  </si>
  <si>
    <t>RT @Nov2018election: MO 🇺🇸 SYKES FOR SENATE 🇺🇸Bold Conservative Candidate For The Show Me State @SykesforSenate #MOSEN #MOGOP #MOPOL #MISSO…</t>
  </si>
  <si>
    <t>@PrincessDebate @FuckBoiNgLaguna Reported and blocked.</t>
  </si>
  <si>
    <t>RT @RealCandaceO: FACT: The word “racism” is repeated obsessively by people who wish to enslave black people to the Democratic Party. 
#Bl…</t>
  </si>
  <si>
    <t>RT @Trumperland: JUST ANNOUNCED #Gaza
Palestinian #MondayMotivation
🇺🇸1st 🇺🇸1st 🇺🇸1st 🇺🇸1st
Frankly, I’m Happy Knowing
These People Are Up…</t>
  </si>
  <si>
    <t>RT @DeplorableChoir: New Song! Trump is winning YUGE!! Can’t expect the fake news media to report it, so we’re here to enlighten the libera…</t>
  </si>
  <si>
    <t>@RobHighfill82 Check the gym.
Have you attempted to  contact Sykes?</t>
  </si>
  <si>
    <t>@DontTreadOnUS Sells.</t>
  </si>
  <si>
    <t>Get in.
https://t.co/g0XhhKez5S</t>
  </si>
  <si>
    <t>The real "phonies, frauds":
Bubba, Dubbya and Barry.
https://t.co/CeO1FDLDiG</t>
  </si>
  <si>
    <t>Hard to argue with. 
https://t.co/VRD0R5jN3e</t>
  </si>
  <si>
    <t>Why Rand? Because she's not an isolationist? RINO.
https://t.co/XCnmkHZt6q</t>
  </si>
  <si>
    <t>Mormon Romney thinks he has a corner on religion.
https://t.co/r75q7LoWh7</t>
  </si>
  <si>
    <t>@MLeRoi @lsarsour What's nice about this is I can go through your entire timeline and block a sh*tload of "genuine thugs".</t>
  </si>
  <si>
    <t>RT @RealOmarNavarro: Everyone join me and chip in to help defeat Maxine Waters. She’s got special interest backing her. I need you to help…</t>
  </si>
  <si>
    <t>RT @CraigAr64: So Trump Golfs, not a crime, but he also moves Israel Embassy, backs Obonehead's red line, has NK coming to the table for su…</t>
  </si>
  <si>
    <t>RT @RealCandaceO: Amazingly, not a single elected Democrat is here to celebrate this historic event in Jerusalem, a bonafide signal that th…</t>
  </si>
  <si>
    <t>RT @Nov2018election: 🛑 🛑PLEASE BLOCK 🛑 🛑@Bradtheracist THIS ACCOUNT IS IMPERSONATING A CONGRESSIONAL CANDIDATE😡ACOUNT HAS BEEN REPORTED htt…</t>
  </si>
  <si>
    <t>RT @Psycotic70: 26
@zierlich55
@_The_Storm__
@sid1453
@ema4Lightning
@PerrRick
@Patriot__Pigeon
@DarleneBunny
@big_daddy_chunk
@KathrynKemm…</t>
  </si>
  <si>
    <t>RT @Psycotic70: 25
@rdzb19
@SuperDriver318
@jlhb45
@Vanila_Flav
@penleyvic
@KafirXX
@ambernight78
@rickory19651
@hdorenew241
@rubygonia
@gi…</t>
  </si>
  <si>
    <t>RT @SykesforSenate: We're learning a lot about #Missouri  #SmallBusiness! No days off. #MOSEN #MAGA https://t.co/Nv0MEiABHK</t>
  </si>
  <si>
    <t>RT @Hope4Hopeless1: @smart_hillbilly @theFORWARDteam @AP4Liberty @POTUS @AGJoshHawley @Judgenap #MISSOURI BEWARE #RINO .@AP4Liberty listen…</t>
  </si>
  <si>
    <t>RT @MAGADianeV: @OnlyKnews @PGutierrez630 @RealTT2020 @KellyDetoni @nikdpik @thumperalpha @BridgetKF30 @lilcountryrose @bdclq @TBruceTrp773…</t>
  </si>
  <si>
    <t>RT @Deeoshea: @Sequencer16 @cy_frost @The2ndA @DrivenByMyFaith @RoseColoredMaga @Pickles0201 @mdwehbie @rocksiphone @joel_capizzi @MartinB4…</t>
  </si>
  <si>
    <t>RT @joel_capizzi: @Nov2018election @Tell_Michelle_ @DannyTarkanian @MrsT106 if you're serious about Trump, you can't be serious about Morte…</t>
  </si>
  <si>
    <t>RT @joel_capizzi: @Redhead4645 @Nov2018election @SykesforSenate @NewDayForNJ @DannyTarkanian @SaarioBrandon @AjaforCongress @AntonioSabatoJ…</t>
  </si>
  <si>
    <t>RT @joel_capizzi: @Nov2018election @Tell_Michelle_ Not so fast Suzie-Q. We're right too: about you. You're a Never-Trumper in MAGA clothing…</t>
  </si>
  <si>
    <t>RT @joel_capizzi: The utter arrogance of this:
"To arrive at Libertarianism you have to think. To arrive at conservatism you have to feel"…</t>
  </si>
  <si>
    <t>RT @joel_capizzi: Please listen carefully to these clips as AP disparages Trump and conservatives again and again.
AP4 is a libertarian id…</t>
  </si>
  <si>
    <t>RT @RagingGayCons: Has anyone else noticed that the same leftists who were outraged over a white girl wearing a Chinese dress to prom don't…</t>
  </si>
  <si>
    <t>@RagingGayCons No, I didn't, but thank you. Good point.</t>
  </si>
  <si>
    <t>@AlohaHa59067534 @Nov2018election Thank you.</t>
  </si>
  <si>
    <t>RT @AlohaHa59067534: @joel_capizzi @Nov2018election @joel_capizzi thank you for posting these!  This guy is not what he pretends to be &amp;amp; th…</t>
  </si>
  <si>
    <t>RT @ESTEFAN42345787: The army's main fear during the riots is that hundreds of Islamists, including Hamas members, will cross the Gaza secu…</t>
  </si>
  <si>
    <t>RT @HMLoeschMcK: Friends...  anyone finding themselves blocked by me who I was following send someone from our shared groups to let me know…</t>
  </si>
  <si>
    <t>RT @AlohaHa59067534: #MAGA Beware of @AP4Liberty! https://t.co/UVqB4nFe7s</t>
  </si>
  <si>
    <t>RT @AlohaHa59067534: @AP4Liberty is NOT #MAGA, never has been, never will be!  Missouri beware! https://t.co/tqvzsz1APg</t>
  </si>
  <si>
    <t>RT @PoliticallyRYT: Sarah Sanders Compares Whining Kids to CNN’s Jim Acosta {Video}
Article By Lexy 
#CNN 
#MAGA 
#CallMom 
#Moms 
#JimAco…</t>
  </si>
  <si>
    <t>@TerryKohler @Enterprise @enterprisecares @TeamVeteran Taking a trip soon, will do. Thanks for your service.</t>
  </si>
  <si>
    <t>RT @TerryKohler: Jack Taylor, #USNavy Veteran, founder @Enterprise Rent-A-Car, would be grateful of fellow Vets spending their car rental n…</t>
  </si>
  <si>
    <t>RT @CraigAr64: So I don't get this, Kim Reynolds goes under fire for stopping abortions past six weeks, and Kamala says torturing Terrorist…</t>
  </si>
  <si>
    <t>RT @powerglobalus: @SongBird4Trump @RealTT2020 @OnlyKnews @Daisy49103 @KellyDetoni @nikdpik @thumperalpha @BridgetKF30 @lilcountryrose @bdc…</t>
  </si>
  <si>
    <t>Please listen carefully to these clips as AP disparages Trump and conservatives again and again.
AP4 is a libertarian ideologue, not a Republican and certainly not MAGA.</t>
  </si>
  <si>
    <t>The utter arrogance of this:
"To arrive at Libertarianism you have to think. To arrive at conservatism you have to feel". https://t.co/DuXSVbSX8G</t>
  </si>
  <si>
    <t>"I want to take over all the parties". https://t.co/5Vgpq6Yxcs</t>
  </si>
  <si>
    <t>RT @LovesRemo: Flip flopping Hack!  POS https://t.co/UvYEzXG2PU</t>
  </si>
  <si>
    <t>Why AP4 is NOT a Republican and never will be:
"We used our 'TEMPORARY' Tea Party alliance to 'sneak in' Libertarians under the 'cloak' of the Tea Party and we got our people elected"
Now he wears the MAGA "cloak" https://t.co/CZXnJrRjd5</t>
  </si>
  <si>
    <t>RT @DaveSchreiber3: @BridgetKF30 @RealErinCruz @Taliadaprincess @RobPaigedad @RealTT2020 @nikdpik @thumperalpha @lilcountryrose @bdclq @TBr…</t>
  </si>
  <si>
    <t>RT @otdon: @DaveSchreiber3 @RealErinCruz @Taliadaprincess @RobPaigedad @RealTT2020 @nikdpik @thumperalpha @BridgetKF30 @lilcountryrose @bdc…</t>
  </si>
  <si>
    <t>RT @TomFitton: Special prosecutor or secret prosecutor? The improper secrecy around Mueller investigation targeting @realDonaldTrump needs…</t>
  </si>
  <si>
    <t>RT @MobileMagnolia: @MsAvaArmstrong @joel_capizzi My 2nd time to visit my mother at the cemetery this year on Mother’s Day. Treasure every…</t>
  </si>
  <si>
    <t>@MsAvaArmstrong I am truly sorry Ava. Sincere prayers for you and your mother.</t>
  </si>
  <si>
    <t>RT @MsAvaArmstrong: My mom is in hospice ~ this will be my last Mother’s Day with her.  Appreciate your mom if you have the chance.</t>
  </si>
  <si>
    <t>RT @ChucksWife1973: Let us remember those that have gone on before us and let us thank God that such men lived.
🇺🇸🇺🇸🇺🇸🇺🇸🇺🇸🇺🇸🇺🇸🇺🇸🇺🇸🇺🇸💙 https…</t>
  </si>
  <si>
    <t>@mtenorio77 @magaSTORM7 @RedPilledinNY @ShannyB1980 @BrianBolstrom @wethepeople46 @LisaTomain @dr_palazzolo @aligiarc @AliciaTolbert @elliss2sue @LibberTea @PrincessDebate @ouchinagirl @rocksiphone @Amyangel333 Right there with you Mike. 👊</t>
  </si>
  <si>
    <t>RT @mtenorio77: @magaSTORM7 @RedPilledinNY @joel_capizzi @ShannyB1980 @BrianBolstrom @wethepeople46 @LisaTomain @dr_palazzolo @aligiarc @Al…</t>
  </si>
  <si>
    <t>@magaSTORM7 @mtenorio77 @mike4354 @Michelle31791 @LAWSOND18 @USAHotLips @DrMAGA2020 Thank you. Mary is solid and Twitter has been censoring her for months.</t>
  </si>
  <si>
    <t>@MichelleTrain79 Democrats?</t>
  </si>
  <si>
    <t>RT @DonaldW40174618: Which one of these is the biggest traitor to his party!</t>
  </si>
  <si>
    <t>@DonaldW40174618 McCain hands down because he feigns conservatism where the others dont.</t>
  </si>
  <si>
    <t>RT @RealTT2020: @nikdpik @thumperalpha @BridgetKF30 @lilcountryrose @bdclq @TBruceTrp773 @LisaTomain @Boo3zero5 @Rightwingmadman @DaveSchre…</t>
  </si>
  <si>
    <t>@CHIZMAGA Hardly a "NAZI", wouldn't you think?</t>
  </si>
  <si>
    <t>RT @mtenorio77: @magaSTORM7 @Rightwingmadman @The2ndA @LibberTea @831mylabs @MartinB45719553 @DoringHaak @VikkiSueHam @JcDeplorable @DIDNOT…</t>
  </si>
  <si>
    <t>RT @LovesRemo: Follow the money Missouri!  This is disgusting! Is this what you want your state to be known for?!! Do NOT VOTE FOR JOSH “Es…</t>
  </si>
  <si>
    <t>RT @CHIZMAGA: 🔥 John Bolton destroys Obama and Kerry! 🔥 
https://t.co/2ZJ1iPbxPj</t>
  </si>
  <si>
    <t>@dr_palazzolo @magaSTORM7 Thank you for the recommendation. Now following @magaSTORM7</t>
  </si>
  <si>
    <t>@Nov2018election @Kag2020Maga @CarrieLockhart_ Thank you Terre.</t>
  </si>
  <si>
    <t>RT @Nov2018election: @joel_capizzi @Kag2020Maga @CarrieLockhart_ God Bless Texas 🇺🇸</t>
  </si>
  <si>
    <t>@CHIZMAGA You're a good friend. Yes, I will.</t>
  </si>
  <si>
    <t>@KatTheHammer1 @HillaryClinton @1Romans58 @RealMattCouch @RealMAGASteve @alozras411 @ArizonaKayte @ClintonMSix141 @USAHotLips Best tweet of the day. I really do hope she reads this.</t>
  </si>
  <si>
    <t>RT @KatTheHammer1: .@HillaryClinton the mother's of these great men have to endure this day instead of celebrate it! 
Their lives mattered…</t>
  </si>
  <si>
    <t>@Nov2018election @Kag2020Maga @CarrieLockhart_ Never too late Terre. Never.</t>
  </si>
  <si>
    <t>RT @Nov2018election: @joel_capizzi @Kag2020Maga @CarrieLockhart_ I thought of you Joel when I said that🇺🇸 I love your Governor!! All we hav…</t>
  </si>
  <si>
    <t>RT @BigLeague2020: @joel_capizzi @SykesforSenate THE REAL MAGA CANDIDATE IN #MOSEN
SYKES FOR SENATE
LEADERSHIP YOU CAN COUNT ON,
LEADERS…</t>
  </si>
  <si>
    <t>RT @elect_Patriots: @Nov2018election @judyh101 We are right there with you 🇺🇸🦅</t>
  </si>
  <si>
    <t>RT @Nov2018election: @judyh101 Yes and I’m tired of this. We must expose them all. Every single one of them needs to be replaced!!!!</t>
  </si>
  <si>
    <t>RT @judyh101: @Nov2018election That’s how Congressman go into office not rich and when they finally leave office they’re filthy rich - lite…</t>
  </si>
  <si>
    <t>RT @HDowning113: @Nov2018election Thank you for that 
TWEET 
CONCERNS ME!</t>
  </si>
  <si>
    <t>RT @BigLeague2020: @Nov2018election HEAR YE, HEAR YE
ENDORSEMENTS FOR SALE
#ShadyShafer #GAPOL https://t.co/BGj7x2NFlb</t>
  </si>
  <si>
    <t>@Nov2018election @Kag2020Maga @CarrieLockhart_ Love to have you Terre. Plenty of room and conservatives always welcome.</t>
  </si>
  <si>
    <t>RT @Nov2018election: @Kag2020Maga @CarrieLockhart_ I might move to Texas. Lol</t>
  </si>
  <si>
    <t>RT @CarrieLockhart_: @Nov2018election Why is Georgia so swampy? It seems like the Uniparty is desperate to make Georgia into another 💩 hope…</t>
  </si>
  <si>
    <t>RT @Nov2018election: I’ll be waiting for their reply which I no I won’t receive!!!! This is not acceptable!!!</t>
  </si>
  <si>
    <t>RT @Nov2018election: For instance I’d like to no why Senator @tedcruz of Texas endorsed candidates in my state of GA @davidshafer one of th…</t>
  </si>
  <si>
    <t>RT @Nov2018election: 💰💰💰ENDORSEMENTS💰💰💰ENDORSEMENTS FOR SALE???? I’M SEEING A LOT OF THEM BEING GIVEN BY WELL KNOWN PEOPLE!HAS IT ALWAYS BE…</t>
  </si>
  <si>
    <t>Question: if you want a border wall, even if there's reasonable doubt Hawley wouldn't vote to fund it, why would you vote for him instead of a man you know who would? 
@SykesforSenate https://t.co/zBoq8jWVvX</t>
  </si>
  <si>
    <t>The political realities.
Money talks and bullsh*t walks in politics. 
Since most libertarians don't support any immigration law, it's highly unlikely Hawley's biggest donors would let him support a border wall and IMHO it's guaranteed. After all, $9.5 mill is serious cheddar.</t>
  </si>
  <si>
    <t>Why Josh Hawley never talks about a border wall:
Could it be because all 3 of his biggest donors consider themselves libertarians:
MO businessman David Humphreys family: $4.5 million.
Koch brothers: $4 million.
Close friend Peter Thiele: $305,400.</t>
  </si>
  <si>
    <t>RT @RealJack: Sarah Sanders EPICALLY took Kerry, Obama, and Hillary to school on the Iran deal. 
Our Press Secretary is incredible. 
http…</t>
  </si>
  <si>
    <t>RT @David_Hogg16: It is so disrespectful to keep saying "The young people will win" @davidhogg111 You're a teenager, like me.  But, the onl…</t>
  </si>
  <si>
    <t>RT @joel_capizzi: @KamalaHarris A babie's heart begins beating at 3 weeks, can be detected at 6 weeks with CURRENT technology. How is stopp…</t>
  </si>
  <si>
    <t>@KamalaHarris A babie's heart begins beating at 3 weeks, can be detected at 6 weeks with CURRENT technology. How is stopping its heart not taking a life?
https://t.co/Ld3HCmLYDB</t>
  </si>
  <si>
    <t>RT @RealCandaceO: Equal opportunity is only possible when babies are granted their right to be born— there is no such thing as safe and leg…</t>
  </si>
  <si>
    <t>RT @tillmantweets: @magaSTORM7 @RedPilledinNY @joel_capizzi @JohnSantistevan @bdclq @JcDeplorable @The2ndA @619_971 @aligiarc @AliciaTolber…</t>
  </si>
  <si>
    <t>RT @SaraCarterDC: Latest on Flynn - I discussed it this morning on @foxandfriends  https://t.co/uvcay91dgF</t>
  </si>
  <si>
    <t>RT @quickslanding: California citizens are on the move to take back their state. Long fight ahead but worth it. Voters much come together a…</t>
  </si>
  <si>
    <t>RT @ShaneMichaels22: Hope so. CA needs Trump the Most. Under Full on Invasion by Anti American Illegals. Running Foreign Flags and Allegian…</t>
  </si>
  <si>
    <t>RT @jimannaortiz2: To the conservative California residents. Do your part and vote out the Liberal Leftist Socialist Dummocratic Swamp crea…</t>
  </si>
  <si>
    <t>@tgradous @jeremycarl4 @NRO Maybe I'm old fashioned but you rarely hear "mother" anymore. It's almost exclusively "mom" or "mom's" and there's a difference.</t>
  </si>
  <si>
    <t>RT @tgradous: Phyllis McGinley and the Left’s War on American Motherhood
via @jeremycarl4
The 20th-century writer’s life and work is a pe…</t>
  </si>
  <si>
    <t>RT @joel_capizzi: @kaitlinmcglone Did you teach your 5 year old son to say f*ck yet?</t>
  </si>
  <si>
    <t>@kaitlinmcglone Did you teach your 5 year old son to say f*ck yet?</t>
  </si>
  <si>
    <t>RT @joel_capizzi: @realDonaldTrump https://t.co/rxmHNdfqA7</t>
  </si>
  <si>
    <t>@realDonaldTrump https://t.co/rxmHNdfqA7</t>
  </si>
  <si>
    <t>So much for his endorsement by the President. 
https://t.co/2Ag85A1Nj8</t>
  </si>
  <si>
    <t>RT @BigLeague2020: @JeffreyPlunket4 @joel_capizzi @Steffi_Cole @AP4Liberty @AmericaFirstMO WE STAND PROUD FOR COURTLAND SYKES.
HE SERVED O…</t>
  </si>
  <si>
    <t>@JohnnyMacHill 
I'm counting 28+ years. Thanks for your service Master Sergeant Johnny MacHill.</t>
  </si>
  <si>
    <t>@tgradous @realDailyWire @AmandaPresto I miss Heather but the best people move on.</t>
  </si>
  <si>
    <t>RT @tgradous: Nauert: "It's unbelievable that some would try to blame the United States for Iran's actions"
"It’s unbelievable that others…</t>
  </si>
  <si>
    <t>RT @President1Trump: One of the biggest companies in the world is advertising a 10-year-old drag queen in the middle of Times Square! This…</t>
  </si>
  <si>
    <t>@TBruceTrp773 Whoppi needs to submit to a diet.</t>
  </si>
  <si>
    <t>@bbusa617 @mayrasons2 @BreitbartNews She means crumbs.</t>
  </si>
  <si>
    <t>@Joanne1225 @BridgetKF30 @POTUS @realDonaldTrump @CNN @MSNBC Great minds.</t>
  </si>
  <si>
    <t>RT @BigLeague2020: @joel_capizzi @Steffi_Cole @AP4Liberty @AmericaFirstMO The finest REAL MAGA candidate in #MOSEN #MISSOURI
SYKES FOR SEN…</t>
  </si>
  <si>
    <t>RT @joel_capizzi: @WayneDupreeShow Liberals don't have principles, it's about the bottom line.</t>
  </si>
  <si>
    <t>@BigLeague2020 @Varneyco @foxandfriends @seanhannity @TuckerCarlson @cvpayne @SykesforSenate Those are exactly the 5 I would pick. 👍</t>
  </si>
  <si>
    <t>RT @BigLeague2020: @Varneyco @foxandfriends @seanhannity @TuckerCarlson @cvpayne 
A great interview with @SykesforSenate awaits you.
#MOS…</t>
  </si>
  <si>
    <t>RT @joel_capizzi: @BigLeague2020 @Steffi_Cole @AP4Liberty @AmericaFirstMO I'm here to tell you, if Missourians who like Trump don't vote fo…</t>
  </si>
  <si>
    <t>@mayrasons2 @RoseColoredMaga @Rightwingmadman @MartinB45719553 @Smileybcuz @Sissy_USMC @usaviking4trump @The2ndA @EjHirschberger @MissyAnnDavis @nancylee2016 @LisaTomain @RedPilledinNY @jobeeswing @jl_sot @TexasKenJSmith @LusciousLayla98 Yup.</t>
  </si>
  <si>
    <t>RT @mayrasons2: @RoseColoredMaga @Rightwingmadman @MartinB45719553 @Smileybcuz @joel_capizzi @Sissy_USMC @usaviking4trump @The2ndA @EjHirsc…</t>
  </si>
  <si>
    <t>@Shar_n_Shar Not in their happy place.</t>
  </si>
  <si>
    <t>@BigLeague2020 @Steffi_Cole @AP4Liberty @AmericaFirstMO I'm here to tell you, if Missourians who like Trump don't vote for this man they will have blown it big time.</t>
  </si>
  <si>
    <t>RT @BigLeague2020: @joel_capizzi @Steffi_Cole @AP4Liberty Courtland Sykes proved his devotion and commitment to serve and defend America pr…</t>
  </si>
  <si>
    <t>@WayneDupreeShow Liberals don't have principles, it's about the bottom line.</t>
  </si>
  <si>
    <t>RT @WayneDupreeShow: It's Official! FOX Brings Back Tim Allen's Last Man Standing! ⋆ This week has to have been the best week of winning ev…</t>
  </si>
  <si>
    <t>Fox: what's up with the Josh Hawley coziness? Why don't you have all the candidates on?
https://t.co/qXgVxcNbHH</t>
  </si>
  <si>
    <t>RT @CLove406: @President1Trump @joel_capizzi Burn this person down.</t>
  </si>
  <si>
    <t>@ColumbiaBugle @SassySouthern10 Bill Maher's always triggered.</t>
  </si>
  <si>
    <t>RT @joel_capizzi: @President1Trump While you're at it, tie her tubes.</t>
  </si>
  <si>
    <t>RT @BigLeague2020: @joel_capizzi @Steffi_Cole @AP4Liberty #PersuasionUniverse At Play</t>
  </si>
  <si>
    <t>@President1Trump While you're at it, tie her tubes.</t>
  </si>
  <si>
    <t>RT @President1Trump: #ALERT 🚨PLZ RT this Video until this Person is identified and ARRESTED! What kind of an animal does this to a baby or…</t>
  </si>
  <si>
    <t>RT @BigLeague2020: @TheNewRight @joel_capizzi @TrumpChess @POTUS @GovGreitensMO @AmericaFirstMO @SykesforSenate Welcome to The Sykes Side!…</t>
  </si>
  <si>
    <t>@Steffi_Cole @AP4Liberty Besides sidestepping overwhelming evidence AP4 isn't MAGA, he's neither what you say.</t>
  </si>
  <si>
    <t>@RM4Liberty @daniel4missouri @Steffi_Cole @AP4Liberty Is that a threat?</t>
  </si>
  <si>
    <t>RT @joel_capizzi: @RM4Liberty @daniel4missouri @Steffi_Cole @AP4Liberty What kind of "Christian" doesn't have a problem with this? https://…</t>
  </si>
  <si>
    <t>@RM4Liberty @daniel4missouri @Steffi_Cole @AP4Liberty What kind of "Christian" doesn't have a problem with this? https://t.co/rkbaN9ZLQ9</t>
  </si>
  <si>
    <t>RT @BigLeague2020: @daniel4missouri @Steffi_Cole @AP4Liberty Did you read this article today?
Interesting at best!
https://t.co/R5rxR7Ed4L</t>
  </si>
  <si>
    <t>RT @BigLeague2020: @daniel4missouri @Steffi_Cole @AP4Liberty Here is another video🎥
Is this what the fine people of #Missouri want represe…</t>
  </si>
  <si>
    <t>RT @daniel4missouri: @Steffi_Cole @AP4Liberty He is the absolute worse one of the bunch he believes that right and wrong is subjective to e…</t>
  </si>
  <si>
    <t>RT @BigLeague2020: @libertarianJew1 @daniel4missouri @Steffi_Cole @AP4Liberty @realDonaldTrump It’s thanks to @POTUS Trump @realDonaldTrump…</t>
  </si>
  <si>
    <t>RT @BigLeague2020: @libertarianJew1 @daniel4missouri @Steffi_Cole @AP4Liberty @realDonaldTrump Sad! Pathetic!
He deserves the utmost respe…</t>
  </si>
  <si>
    <t>@vxg139 @Joanne1225 @BridgetKF30 @POTUS @realDonaldTrump @CNN @MSNBC If we can get enough of us, WE will be the mainstream media.</t>
  </si>
  <si>
    <t>@BridgetKF30 @Joanne1225 @POTUS @realDonaldTrump @CNN @MSNBC Many restaurants too, spoon fed while eating their Big Mac.</t>
  </si>
  <si>
    <t>@LadyRedStorm @ReneeCarrollAZ @POTUS Probably never wash it. 😅</t>
  </si>
  <si>
    <t>@wes_eastridge @Shawtypepelina @AmericaFirstMO @SykesforSenate Intended for them, not for you. 👍</t>
  </si>
  <si>
    <t>@Ray41801091 @jamesspider4 Not sure. She raised him.</t>
  </si>
  <si>
    <t>@kupcake321 @GrizzleMeister Meant it with all my heart. May God comfort you.</t>
  </si>
  <si>
    <t>@BridgetKF30 @ParisTwatter @aligiarc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@BarackObama @DNC Both, of course.</t>
  </si>
  <si>
    <t>@wes_eastridge @Shawtypepelina @AmericaFirstMO @SykesforSenate So should people who intend to vote for them.</t>
  </si>
  <si>
    <t>@LauraLoomer @jamesspider4 @realDonaldTrump Watch Obama take "credit" for it. Just watch. 😅</t>
  </si>
  <si>
    <t>RT @LauraLoomer: BREAKING: North Korea will hold a ceremony on May 23 to dismantle its nuclear site.
You can thank @realDonaldTrump for th…</t>
  </si>
  <si>
    <t>@jamesspider4 All you need to know.</t>
  </si>
  <si>
    <t>RT @jamesspider4: Once again this story on the corruption of Avenetti needs to Go viral                                      https://t.co/Y…</t>
  </si>
  <si>
    <t>@LovesRemo @BigLeague2020 @TrumpChess @POTUS @GovGreitensMO @AmericaFirstMO @SykesforSenate 😉</t>
  </si>
  <si>
    <t>RT @BigLeague2020: @joel_capizzi @Shawtypepelina @AmericaFirstMO @SykesforSenate To run for PUBLIC OFFICE shouldn’t cost what it does.
Ame…</t>
  </si>
  <si>
    <t>RT @BigLeague2020: @LovesRemo @joel_capizzi @TrumpChess @POTUS @GovGreitensMO @AmericaFirstMO @SykesforSenate Where’s Hawley❓
#PumpingFe…</t>
  </si>
  <si>
    <t>RT @kwilli1046: I finally agree w/Alyssa Milano that #NoNRA member was a mass shooter and the only #MeToo movement sexual predators are lib…</t>
  </si>
  <si>
    <t>RT @TheNewRight: @BigLeague2020 @joel_capizzi @TrumpChess @POTUS @GovGreitensMO @AmericaFirstMO @SykesforSenate agree</t>
  </si>
  <si>
    <t>RT @joel_capizzi: @Shawtypepelina @AmericaFirstMO @SykesforSenate Public office shouldn't go to the highest bidder. Look at who's running,…</t>
  </si>
  <si>
    <t>RT @BigLeague2020: @joel_capizzi @TrumpChess @POTUS @GovGreitensMO Hawley didn’t even show up for the @AmericaFirstMO U. S. Senate Candidat…</t>
  </si>
  <si>
    <t>@BigLeague2020 @TrumpChess @POTUS @GovGreitensMO @AmericaFirstMO @SykesforSenate They tried to "facetime" him from the gym but couldn't get the technology worked out.</t>
  </si>
  <si>
    <t>@Shawtypepelina @AmericaFirstMO @SykesforSenate Public office shouldn't go to the highest bidder. Look at who's running, not their war chests. While Sykes' challengers brag about their "war chests", bear in mind they are beholden to their donors. Elect Sykes and he'll be beholden to you. 
@SykesforSenate https://t.co/5SP9jnCPr0</t>
  </si>
  <si>
    <t>RT @BigLeague2020: @Shawtypepelina @AmericaFirstMO @SykesforSenate A true indicator of Leadership.
Courtland stood firm to his Conservativ…</t>
  </si>
  <si>
    <t>RT @Reederschloss: @joel_capizzi I got news for her.  He's her President too.</t>
  </si>
  <si>
    <t>RT @joel_capizzi: @TrumpChess @POTUS @GovGreitensMO Trial run. If it works, Trump is next and judging from Hawley's sidestepping routine wi…</t>
  </si>
  <si>
    <t>@TrumpChess @POTUS @GovGreitensMO Trial run. If it works, Trump is next and judging from Hawley's sidestepping routine with questions about Trump's behavior towards women, I predict he'll roll on the President as he did with Gov Greitens. 
https://t.co/2Ag85A1Nj8</t>
  </si>
  <si>
    <t>RT @TrumpChess: When red tsunami 2018 candidates win - the left will try and destroy all those winners one by one bc they can't win fair an…</t>
  </si>
  <si>
    <t>RT @Bud_Doggin: https://t.co/QwqGLYGkvN</t>
  </si>
  <si>
    <t>RT @Golfinggary522: 63,000,000 of us voted for Donald Trump. 
I will never leave him. 
I will vote for him in 2020. Will you? RT if yes. 
#…</t>
  </si>
  <si>
    <t>@BridgetKF30 @Daisy49103 @SongBird4Trump @jim_ossman @RealTT2020 @moosemuffinn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@JoeB202 The last part is the Sicilian side. Ask my wife. 😁</t>
  </si>
  <si>
    <t>@kupcake321 @GrizzleMeister Please accept my warm and sincere condolences on your terrible loss. On behalf of a grateful nation, thank you to your son for his service and sacrifice and may he rest in peace.</t>
  </si>
  <si>
    <t>RT @1BamBamtogo: @GrizzleMeister @moneybunnyalice Otto, you will not be forgotten https://t.co/CfRVe3gQkR</t>
  </si>
  <si>
    <t>RT @BrittPonset: @matator358 @DeplorableProf2 @GrizzleMeister Thank you. The Warmbier family can take great solace that Otto has such a hug…</t>
  </si>
  <si>
    <t>@BrittPonset @DeplorableProf2 @matator358 @GrizzleMeister Wonderful idea. Otto will not have died in vain.</t>
  </si>
  <si>
    <t>RT @BrittPonset: @DeplorableProf2 @matator358 @GrizzleMeister 🙏 if a peace accord can be reached all involved will call it the Otto Warmbie…</t>
  </si>
  <si>
    <t>RT @derilchrissy: @GrizzleMeister @MAGAKrissy Prayers for these great parents..</t>
  </si>
  <si>
    <t>RT @GrizzleMeister: This took guts for Otto Warmbier’s mother &amp;amp; father to express their joy for the return of the hostages held in NK to th…</t>
  </si>
  <si>
    <t>RT @Toniraebenedic1: Yes it did, GOD BLESS THE WARMBIER FAMILY. https://t.co/ZCf28DynCn</t>
  </si>
  <si>
    <t>RT @fguzsports: May God bless you and Otto https://t.co/mazzQ6sNhP</t>
  </si>
  <si>
    <t>RT @KatTheHammer1: HERE WE GO AGAIN!!!
MY DEAR FRIEND WHO JUST HAPPENS TO BE A CONSERVATIVE @REALtrumpbureau 👈 WAS HIT AGAIN WITH A 12 HOU…</t>
  </si>
  <si>
    <t>"Taunted" is a reach.
https://t.co/cttxttNebQ</t>
  </si>
  <si>
    <t>Ask Rep Kelly if he gives a sh*t.
https://t.co/WSJycrcNvS</t>
  </si>
  <si>
    <t>RT @SheriffClarke: Kasich is your typical elitist politician who thinks we're too stupid for having voted for @realDonaldTrump for POTUS an…</t>
  </si>
  <si>
    <t>RT @trumpism_45: Trump can play 4 D chess. 
Sessions plays 1 D checkers, and badly.
#DrainTheDeepState #SES https://t.co/UgsgazMjGe</t>
  </si>
  <si>
    <t>@djcip @ReneeCarrollAZ @RealCandaceO Planned Parenthood mission statement by founder Sanger.</t>
  </si>
  <si>
    <t>RT @djcip: @ReneeCarrollAZ @RealCandaceO  https://t.co/eEmxSl0wxL</t>
  </si>
  <si>
    <t>RT @ReneeCarrollAZ: #SaturdayMorning #satchat
#TinyLivesAtStake 🙏🙏
#DefundPlannedParenthood 
"Murdering 800 black babies every single day…</t>
  </si>
  <si>
    <t>RT @DelporableMe: Dear Black People Get Slavery Out Of Your Head !! #KeepAmericaGreat https://t.co/z85tuU9kA2</t>
  </si>
  <si>
    <t>@BridgetKF30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@BarackObama @DNC It was intentional.</t>
  </si>
  <si>
    <t>@Sequencer16 @The2ndA @DrivenByMyFaith @RoseColoredMaga @Pickles0201 @mdwehbie @rocksiphone @MartinB45719553 @vjoycejkl @Dbargen @jl_soto @CothranVicky @MAGA_TD_Corky Thanks Seq. 👍</t>
  </si>
  <si>
    <t>RT @Sequencer16: #Followback and RT
#Followback all who RTs
#TrumpNation👇
@The2ndA 
@DrivenByMyFaith 
@RoseColoredMaga
@Pickles0201 
@mdwe…</t>
  </si>
  <si>
    <t>RT @KidsNeedJustice: @Sequencer16 @The2ndA @DrivenByMyFaith @RoseColoredMaga @Pickles0201 @mdwehbie @rocksiphone @joel_capizzi @MartinB4571…</t>
  </si>
  <si>
    <t>RT @jl_soto: @Sequencer16 @The2ndA @DrivenByMyFaith @RoseColoredMaga @Pickles0201 @mdwehbie @rocksiphone @joel_capizzi @MartinB45719553 @vj…</t>
  </si>
  <si>
    <t>@BridgetKF30 @POTUS @realDonaldTrump Let's see how much coverage there is from CNN and MSNBC, and especially Rachel Kowtow.</t>
  </si>
  <si>
    <t>RT @BridgetKF30: North Korea to hold ‘ceremony’ dismantling nuclear site on May 23-25: state media
https://t.co/46GstPBkXW
#NobelPeacePriz…</t>
  </si>
  <si>
    <t>@Lynn_Thinks @farmerfar55 @BridgetKF30 @ParisTwatter @aligiarc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@BarackObama @DNC #ShutItDown</t>
  </si>
  <si>
    <t>St Louis Post-Dispatch is fake news. 
"Sidesteppin" Josh Hawley is the "mystery candidate", not Courtland Sykes. Sykes has clearly articulated his positions on every issue that's important to Missourians and the Country. Still waiting for Josh.
https://t.co/HcE6C8hPXz</t>
  </si>
  <si>
    <t>@Nov2018election IMHO the country is now ours to lose and this will be a bellwether on our future. We have the numbers, we just have to turn out.</t>
  </si>
  <si>
    <t>RT @tmarx2012: @Nov2018election @SiddonsDan Vote right! The right has a leader with a common sense plan which is maga.</t>
  </si>
  <si>
    <t>RT @BigLeague2020: @Nov2018election #PA9
#VOTETHEVET
MAY 15
SCOTT UEHLINGER FOR CONGRESS
@Scottforpa https://t.co/SCezaJLjZg</t>
  </si>
  <si>
    <t>RT @BridgetKF30: @joel_capizzi @ParisTwatter @aligiarc @Daisy49103 @RealTT2020 @nikdpik @thumperalpha @lilcountryrose @bdclq @TBruceTrp773…</t>
  </si>
  <si>
    <t>RT @ccryan41: @BridgetKF30 @SongBird4Trump @joel_capizzi @ParisTwatter @aligiarc @Daisy49103 @RealTT2020 @nikdpik @thumperalpha @lilcountry…</t>
  </si>
  <si>
    <t>RT @BridgetKF30: @ccryan41 @SongBird4Trump @joel_capizzi @ParisTwatter @aligiarc @Daisy49103 @RealTT2020 @nikdpik @thumperalpha @lilcountry…</t>
  </si>
  <si>
    <t>RT @joel_capizzi: @TrumpsTrucker @AmericaHasBalls @EvOConnor15 @DIDNOTVOTE4HIM @jason_kassin @ouchinagirl @bdclq @Sequencer16 @LisaTomain @…</t>
  </si>
  <si>
    <t>@TrumpsTrucker @AmericaHasBalls @EvOConnor15 @DIDNOTVOTE4HIM @jason_kassin @ouchinagirl @bdclq @Sequencer16 @LisaTomain @RedPilledinNY @inscnc @PrincessDebate @solentgreenis @USAHotLips @rocksiphone @831mylabs @mike4354 @mr65gibson @JoanneTirado09 @mtenorio77 @CraigAr64 You look at where she lives. I look at what she says.</t>
  </si>
  <si>
    <t>@BridgetKF30 @SongBird4Trump @jim_ossman @RealTT2020 @moosemuffinn @Daisy49103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@JoeB202 We should all think like your grandmother. She knew.</t>
  </si>
  <si>
    <t>RT @BridgetKF30: @SongBird4Trump @jim_ossman @joel_capizzi @RealTT2020 @moosemuffinn @Daisy49103 @nikdpik @thumperalpha @lilcountryrose @bd…</t>
  </si>
  <si>
    <t>@BridgetKF30 @SongBird4Trump @ParisTwatter @aligiarc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@JoeB202 @BarackObama @DNC @BobHugin @POTUS @RNC @GOP @RNCResearch @GOPChairwoman What happens in New Jersey happens where you live and I live. Create a social media storm and help out our conservative friends in NJ and elsewhere. That's why I'm on Twitter.</t>
  </si>
  <si>
    <t>RT @BridgetKF30: @SongBird4Trump @joel_capizzi @ParisTwatter @aligiarc @Daisy49103 @RealTT2020 @nikdpik @thumperalpha @lilcountryrose @bdcl…</t>
  </si>
  <si>
    <t>@SongBird4Trump @BridgetKF30 @ParisTwatter @aligiarc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@JoeB202 @BarackObama @DNC #ShutitDown</t>
  </si>
  <si>
    <t>RT @SongBird4Trump: @joel_capizzi @BridgetKF30 @ParisTwatter @aligiarc @Daisy49103 @RealTT2020 @nikdpik @thumperalpha @lilcountryrose @bdcl…</t>
  </si>
  <si>
    <t>RT @SheldonCoraRoth: @BridgetKF30 @elguapo64 @moosemuffinn @tolag @joel_capizzi @RealTT2020 @Daisy49103 @nikdpik @thumperalpha @lilcountryr…</t>
  </si>
  <si>
    <t>@BridgetKF30 @moosemuffinn @tolag @RealTT2020 @Daisy49103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On live TV waiting for my VA appointment.</t>
  </si>
  <si>
    <t>RT @BridgetKF30: @moosemuffinn @tolag @joel_capizzi @RealTT2020 @Daisy49103 @nikdpik @thumperalpha @lilcountryrose @bdclq @TBruceTrp773 @Li…</t>
  </si>
  <si>
    <t>@BarryNMooch Gowdy was and still is hardcore Rubio supporter. All you need to know.</t>
  </si>
  <si>
    <t>RT @BarryNMooch: Gowdy said it was so productive, they are going to have another meeting next week. Chaffetz: Did you get to see the docs?…</t>
  </si>
  <si>
    <t>@moosemuffinn @tolag @BridgetKF30 @RealTT2020 @Daisy49103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No, they don't.</t>
  </si>
  <si>
    <t>RT @moosemuffinn: @tolag @joel_capizzi @BridgetKF30 @RealTT2020 @Daisy49103 @nikdpik @thumperalpha @lilcountryrose @bdclq @TBruceTrp773 @Li…</t>
  </si>
  <si>
    <t>RT @MilitaryEarth: Remember Everyone Deployed https://t.co/zBNo4J89QL</t>
  </si>
  <si>
    <t>RT @DailyCaller: Female Concealed Carry Surges https://t.co/enQYUrm9hV https://t.co/olkENJDWQy</t>
  </si>
  <si>
    <t>RT @joel_capizzi: @MilitaryEarth @allditchdigger "Greater love hath no man than this, that a man lay down his life for his friends". John 1…</t>
  </si>
  <si>
    <t>@MilitaryEarth @allditchdigger "Greater love hath no man than this, that a man lay down his life for his friends". John 15:13.
On behalf of a grateful nation, thank you for paying the ultimate price for freedom. RIP Corporal Kirk. https://t.co/YUCCfwbcxZ</t>
  </si>
  <si>
    <t>RT @MilitaryEarth: Honoring Marine Lance Cpl. Johnathan E. Kirk who selflessly sacrificed his life eleven years ago in Iraq for our great C…</t>
  </si>
  <si>
    <t>RT @Henryhahadavis: BAN THE VANS! LET'S UNITE AND BAN ALL VAN MANUFACTURERS!!!
THEY ARE KILLING PEOPLE!!
#BANTHEVANS https://t.co/OzhDHkGsqN</t>
  </si>
  <si>
    <t>RT @Henryhahadavis: DAM RIGHT KANYE WEST!! I'm with you!!! https://t.co/oxpsi6uMg5</t>
  </si>
  <si>
    <t>RT @Henryhahadavis: @kanyewest @KimKardashian @kloekardashian3 @realDonaldTrump @DiamondandSilk</t>
  </si>
  <si>
    <t>RT @WvTrump: @Henryhahadavis @kanyewest @KimKardashian @kloekardashian3 @realDonaldTrump @DiamondandSilk We love you Henry❣️ Thank you for…</t>
  </si>
  <si>
    <t>RT @JudgeJeanine: A Jerusalem welcome‼️ https://t.co/rgMXiXsbaM</t>
  </si>
  <si>
    <t>RT @flaunttnualf: @joel_capizzi @LauraLoomer @amina_abusharif @realDonaldTrump these are the same "people" who are actively working to forc…</t>
  </si>
  <si>
    <t>RT @Anonamis6: 1000 ReTweets and I'll reveal the identity of "Q" Saturday. Not a joke, just need to get this information out to a large cro…</t>
  </si>
  <si>
    <t>RT @VisioDeiFromLA: Not only is it a witch hunt but it is a threat to our republic on top of a constitutional crisis that the media wont re…</t>
  </si>
  <si>
    <t>RT @RealCandaceO: For the life of me, I’ll never understand how @TheDemocrats can question our President’s sanity while continuing to put @…</t>
  </si>
  <si>
    <t>RT @LovesRemo: @joel_capizzi @HarryBerbely @flaunttnualf @LauraLoomer @amina_abusharif @realDonaldTrump WOW!  Going out on a limb with that…</t>
  </si>
  <si>
    <t>RT @patriotdad56: #IndictBrennanClapperMUELLER #DemsLoseMillennialVote #DemsLoseBlackVote #ProsecuteVoterFraud #DemsRinosOut #ConfirmHaspel…</t>
  </si>
  <si>
    <t>RT @HarryBerbely: @joel_capizzi @flaunttnualf @LauraLoomer @amina_abusharif @realDonaldTrump Yup. And Television. Drum beating. https://t.c…</t>
  </si>
  <si>
    <t>RT @joel_capizzi: MSNBC devoted an entire 30 seconds to the NOKO hostage release, the Rachel Maddow Show didn’t cover it at all. Contrast t…</t>
  </si>
  <si>
    <t>@HarryBerbely @flaunttnualf @LauraLoomer @amina_abusharif @realDonaldTrump Gym boy Josh Hawley in MO blames it all on higher education. Insightful. 
https://t.co/aTLNGTTyT0</t>
  </si>
  <si>
    <t>MSNBC devoted an entire 30 seconds to the NOKO hostage release, the Rachel Maddow Show didn’t cover it at all. Contrast this to wall to wall MSM coverage of the Bergdahl release and you get why Trump hates them.
https://t.co/nRWTHCHoRv</t>
  </si>
  <si>
    <t>RT @joel_capizzi: @CraigAr64 Or worse. Shelving "enhanced interrogation" methods has nothing to do with reality and everything to do with p…</t>
  </si>
  <si>
    <t>@CraigAr64 Or worse. Shelving "enhanced interrogation" methods has nothing to do with reality and everything to do with political correctness run amok. https://t.co/A6rSx9ZQOt</t>
  </si>
  <si>
    <t>RT @HollyBuskirk1: @CraigAr64 Try asking Songbird how it worked for him. . . https://t.co/FzmVH9fqHT</t>
  </si>
  <si>
    <t>RT @CraigAr64: Do these Dems realize if the tables were turned they probably wouldnt water board them just behead them. These people knew w…</t>
  </si>
  <si>
    <t>@CraigAr64 @mtenorio77 Watch "Unthinkable".  Given those circumstances? I'm all about the methodology.</t>
  </si>
  <si>
    <t>@Barouf2 Well said.</t>
  </si>
  <si>
    <t>RT @Barouf2: L'athée n'aime personne ... Un être isolé qui refuse  d'aimer celui qui l'a crée - Un narcissique à cœur a un seul ressort , l…</t>
  </si>
  <si>
    <t>RT @Barouf2: L'athéisme , c'est quoi ?  Un instinct grégaire de certaines âmes égarées à faire du néant , une réalité accompagné de modules…</t>
  </si>
  <si>
    <t>@workbench59 Hadn't thought of it that way but yes.</t>
  </si>
  <si>
    <t>@girl4_trump @JoeManchinWV And change parties.</t>
  </si>
  <si>
    <t>RT @girl4_trump: The problem with #EstablishmentPoliticians like @JoeManchinWV is they’ll say whatever it takes to get elected. 
West Virgi…</t>
  </si>
  <si>
    <t>@HotPokerPrinces @FOX2now AG Hawley couldn't be reached at the gym for comment.</t>
  </si>
  <si>
    <t>RT @HotPokerPrinces: St. Louis circuit attorney Kim Gardner spent over 10K to try to convince a jury without actual evidence 
#greitens #k…</t>
  </si>
  <si>
    <t>RT @HotPokerPrinces: Some Hard Evidence of a #witchhunt in #Greitens   #moleg involvement in Lies
Gov. Greitens' lawyers: 'The lying and c…</t>
  </si>
  <si>
    <t>RT @SykesforSenate: Step down @AGJoshHawley, you have no idea what you're doing and you have no business bypassing #DueProcess to serve you…</t>
  </si>
  <si>
    <t>RT @HotPokerPrinces: Why St. Louis Circuit Attorney Kim Gardner Must Be Investigated—and Stopped https://t.co/LBO1IuK9Nz</t>
  </si>
  <si>
    <t>RT @VisioDeiFromLA: Why #STL CA Kim Gardner Must Be Investigated—and Stopped
"#StLouis CA Kim Gardner has clearly, repeatedly &amp;amp; consistent…</t>
  </si>
  <si>
    <t>RT @HotPokerPrinces: THREAD TIME 
8 THINGS 
THE MEDIA DID NOT TELL YOU 
#GreitensCriminalCase #greitens #Moleg #GreitensImpeachment #greit…</t>
  </si>
  <si>
    <t>RT @HotPokerPrinces: Oh  #Moleg  
Slimey Scott Faughn delivers 70k  cash  &amp;amp; than hides 
To evade a supoena
Bad Times for The Missouri Ti…</t>
  </si>
  <si>
    <t>RT @magathemaga1: ATTENTION #moleg 
Has anybody seen Scott Faughn?
Is anybody asking:
✔Where his money came from?
✔What was it for?
✔Why…</t>
  </si>
  <si>
    <t>RT @VisioDeiFromLA: #DONNYBROOKSTL 
Please discuss #Missouri legislature Collusion 
Thank you https://t.co/KT7DrSTPA9</t>
  </si>
  <si>
    <t>RT @magathemaga1: WitchHunt Still On!
#ScammingScott running media while RUNNING FROM MEDIA!
#MoneyBagsAl got 20k MORE!
#KimShady is, well…</t>
  </si>
  <si>
    <t>RT @MSTLGA: Simply Outrageous Behavior 
Not Shocking Though
This is what the Far Left has Resulted too 
Sumbodybetter start to investigate…</t>
  </si>
  <si>
    <t>RT @HotPokerPrinces: WHEN THE SHERIFF GIVES YOU A HUG  &amp;amp; PATS YOU ONTHE BACK FOR SUPPORT 
YOU KNOW ITS A WITCH HUNT  !    GO GOVERNOR GREI…</t>
  </si>
  <si>
    <t>RT @HotPokerPrinces: Scott Faughn is horse shit &amp;amp; a fake journalist! 
Agree !
Now will #Moleg cancel their subscriptions to this Fake New…</t>
  </si>
  <si>
    <t>RT @HotPokerPrinces: THE MONEY MUST BE FOLLOWED 
WHO PAID 120 K CASH
#greitens #moleg  #missouri  #witchhunt #no Photo https://t.co/EBOyg…</t>
  </si>
  <si>
    <t>RT @HotPokerPrinces: MEDIA, TIME TO STOP GETTING YOUR STRINGS PULLED BY SCOTT FAUGHN
 FOLLOW THE MONEY !
120K CASH BUYS A FAKE SEX SCANDA…</t>
  </si>
  <si>
    <t>RT @magathemaga1: #GreitensTrial
Wonder if any of the potential jurors know #Moleg was coordinating with the circuit attorneys office???…</t>
  </si>
  <si>
    <t>RT @SKOLBLUE1: #DonnybrookSTL can't wait for your show tonight! Hope we can talk about Collusion, Stacey Newman, Scott Faughn and the Corru…</t>
  </si>
  <si>
    <t>RT @HotPokerPrinces: #donnybrookstl Stacey Newman , Kim Gardner  &amp;amp;  Mo House Dem Leadership  conspired, coerced &amp;amp; colluded with Greitens Mi…</t>
  </si>
  <si>
    <t>RT @HotPokerPrinces: Fake News in the making
💰💵 + 👨🏼‍💻👨🏻‍💻 = Nothing Burger 🍔 
#findfaughn #greitens #moleg https://t.co/91Go8i3wjQ</t>
  </si>
  <si>
    <t>RT @HotPokerPrinces: Stacey Newman’s Stepson ?
Oy Vey, Taking out Greitens is a family affair 
https://t.co/rmQhTv09LU</t>
  </si>
  <si>
    <t>RT @VisioDeiFromLA: This really goes to show how far Obama weaponized our justice system and intelligence agencies against political oppone…</t>
  </si>
  <si>
    <t>@bbstackesDj Lovely.</t>
  </si>
  <si>
    <t>RT @joel_capizzi: "It is frightening to see what is happening to our nation when a man who is truly the definition of a facist sits at the…</t>
  </si>
  <si>
    <t>@jon_knepper Thank you sir.</t>
  </si>
  <si>
    <t>RT @JoanneTirado09: #MilitaryAppreciationMonth 
#GodBlessOurTroops 
#GodblessAmerica 
🇺🇸🇺🇸🇺🇸🇺🇸🇺🇸🇺🇸🇺🇸 https://t.co/sLWcXnkqBs</t>
  </si>
  <si>
    <t>RT @JoanneTirado09: GOOD MORNING🌞☀
READY FOR ANOTHER DAY OF WATCHING US DEPLORABLES TAKE BACK AMERICA 🇺🇸
CHEERS TO ALL US 
DEPLORABLES🇺🇸
#K…</t>
  </si>
  <si>
    <t>RT @JoanneTirado09: @conservmia  https://t.co/2trejOEKyy</t>
  </si>
  <si>
    <t>RT @Success87473781: @nytimes is #FakeNews 
However, completely agree and support @POTUS if the following really happened
Trump’s outburs…</t>
  </si>
  <si>
    <t>RT @ouchinagirl: @VoxPop2018 @SamanthaEm10 @FoxBusiness @charliekirk11 @POTUS The bigger issue the lies Obama told &amp;amp;why his tyranny is not…</t>
  </si>
  <si>
    <t>RT @JoanneTirado09: @Chicago1Ray 🇺🇸🇺🇸 https://t.co/9AdvOUiUSF</t>
  </si>
  <si>
    <t>RT @LibberTea: Must Read 👉 The Insurance Policy, The "EC", The 2016 FBI Counterintel Operation, and The Mysterious Informant Who Originated…</t>
  </si>
  <si>
    <t>@CraigAr64 @mtenorio77 That's why it evades you: logic.</t>
  </si>
  <si>
    <t>RT @CraigAr64: @mtenorio77 Thing I find amazing is they are worried about torturing a terrorist who wants you dead to get information to sa…</t>
  </si>
  <si>
    <t>"It is frightening to see what is happening to our nation when a man who is truly the definition of a facist sits at the top of the Republican ticket and if Donald Trump wins the nomination we should revolt"
Who said this? Hillary? Bernie? No, it was Austin Petersen aka AP4. https://t.co/cp9HMFgh97</t>
  </si>
  <si>
    <t>@WhirlyGirl1611 @LauraLoomer @amina_abusharif @realDonaldTrump One word: Trump.</t>
  </si>
  <si>
    <t>@jon_knepper Meant every word patriot friend. God bless you and yours.</t>
  </si>
  <si>
    <t>RT @SykesforSenate: Great seeing you Jamie @jallman971, great setup!
https://t.co/BkVoIWwCkD 
#RadioFreeAllman #MAGA #SendSykes #MOSen ht…</t>
  </si>
  <si>
    <t>RT @sigi_hill: @ChrisHayesTV On the other hand the MO mediamob suppresses the findings on KS aka #KatrinaKittyAnneSneed's phone about her c…</t>
  </si>
  <si>
    <t>RT @sigi_hill: @ChrisHayesTV The real criminals are @staceynewman and @kimgardner77th @AGJoshHawley supported by stripped elitist #MoLeg #M…</t>
  </si>
  <si>
    <t>RT @ChrisHayesTV: We now know what forensic experts found on the Governor's phone. According to the defense, 16,000 images were reviewed &amp;amp;…</t>
  </si>
  <si>
    <t>@jon_knepper A great man. We are in his debt and may we always honor him. 
RIP Mr. Knepper. https://t.co/heSClFBMIf</t>
  </si>
  <si>
    <t>RT @jon_knepper: @joel_capizzi Thank you very much, he fought for America  in WWII &amp;amp; brought me up the right way!</t>
  </si>
  <si>
    <t>RT @TheRealJanel: @BridgetKF30 @LisaTomain @ParisTwatter @aligiarc @Daisy49103 @RealTT2020 @nikdpik @thumperalpha @lilcountryrose @bdclq @T…</t>
  </si>
  <si>
    <t>RT @CoolsGerry: @MeredithFrost @Syberspace One of the Last Heroes that Helped  Save the Benelux from the Nazis... Thank You Sir..!!!</t>
  </si>
  <si>
    <t>RT @sempersooner: @MeredithFrost Forever Grateful Sir 🇺🇸</t>
  </si>
  <si>
    <t>RT @silverlininface: @MeredithFrost @leahmcelrath Happy Birthday and God bless 🎉</t>
  </si>
  <si>
    <t>RT @SaveFindAGrave: @MeredithFrost @Sabihslife Happy birthday!! 🎉</t>
  </si>
  <si>
    <t>RT @WaltonLynn: @MeredithFrost @6549lmartin Happy Birthday! Thank you for your service. Prayers for many more years ahead</t>
  </si>
  <si>
    <t>RT @magrath_linsey: @MeredithFrost @ChelseaClinton HAPPY BIRTHDAY, MR. OVERTON!!! Thank you for your service. Enjoy your special day. ❤❤❤❤⭐…</t>
  </si>
  <si>
    <t>RT @ChrissyBaby66: @MeredithFrost @JMNR Wow! Happy birthday!!</t>
  </si>
  <si>
    <t>RT @AliciavdFlier: @MeredithFrost @ChelseaClinton Happy birthday indeed!  And Thank you 🌷🌷🌷🌷🌷🌷🌷</t>
  </si>
  <si>
    <t>RT @wheatus: @MeredithFrost someone to look up to...made my day. Thx.</t>
  </si>
  <si>
    <t>RT @jeremy_spratt: @MeredithFrost Thank You!!🇺🇸</t>
  </si>
  <si>
    <t>RT @rsboswell1965: @MeredithFrost Happy Birthday! I'll add him to my list of people I'd love to meet! Thank you for your service! ❤️</t>
  </si>
  <si>
    <t>RT @carlaensaar97: @MeredithFrost Happy Birthday Sir Overton !! God bless you ! 🙏</t>
  </si>
  <si>
    <t>RT @chattykathykb1: @MeredithFrost Happy birthday Mr Overton, and thank you for your service!! ❤🎉🎈</t>
  </si>
  <si>
    <t>RT @tus253: @MeredithFrost @LIMilVetNews Happiest of birthdays Sir!</t>
  </si>
  <si>
    <t>RT @PaulVader27: @MeredithFrost @MatthewACherry What an absolute legend and hero. God Bless you Sir from the other side of the pond</t>
  </si>
  <si>
    <t>RT @NotthefakeRFK: @MeredithFrost Wow! That’s an American Hero! Bless him!</t>
  </si>
  <si>
    <t>RT @gonzomg: @MeredithFrost He lives in Austin and it’s awesome to see the morning news run a story on his birthday every year.</t>
  </si>
  <si>
    <t>RT @TanyaMi37632469: @MeredithFrost @tiredlaidback Thank you for your service to our country! And I wish you a very Happy Birthday!</t>
  </si>
  <si>
    <t>RT @Nutsportbowler: @MeredithFrost Heart &amp;amp; Soul of the country..🤙</t>
  </si>
  <si>
    <t>RT @margothenzel: @MeredithFrost That smile!</t>
  </si>
  <si>
    <t>RT @cyndiblaw1: @MeredithFrost @lionsFan886 Happy "112th" Birthday Mr. Overton &amp;amp; Thank You for serving our Country🇺🇸👏🏼👏🏼</t>
  </si>
  <si>
    <t>RT @connie92506: @MeredithFrost Happy birthday! You look fabulous! https://t.co/LbEgURLHoU</t>
  </si>
  <si>
    <t>RT @tablecrumbs: @MeredithFrost ooh, handsome fellow. That is awesome.</t>
  </si>
  <si>
    <t>RT @DineenNick: @MeredithFrost @MorganAuCourant Hard. As. Nails.</t>
  </si>
  <si>
    <t>RT @DinAlpharetta: @MeredithFrost 💛Very Handsome, still smiling what a blessing💛</t>
  </si>
  <si>
    <t>RT @RIBrat: @MeredithFrost Thank You for your Service.  God Bless and have a Great Day https://t.co/L1B46UkmOi</t>
  </si>
  <si>
    <t>RT @RCJHMike: @MeredithFrost A grateful nation thanks you Mr Overton. Happy Birthday  Sir!</t>
  </si>
  <si>
    <t>@JohnDabkovich @MeredithFrost @SDuncovered Smiles</t>
  </si>
  <si>
    <t>RT @19RollTide72: @MeredithFrost @michaeleaves  https://t.co/I960POVyGW</t>
  </si>
  <si>
    <t>RT @jstinson22: @MeredithFrost Happy Birthday and thank you for your service!</t>
  </si>
  <si>
    <t>RT @deplorable_debi: @MeredithFrost @usacsmret Happy happy birthday!  Thank you for your service and God Bless You ❤️🇺🇸❤️🇺🇸❤️🇺🇸🙏🏼</t>
  </si>
  <si>
    <t>RT @MeredithFrost: Happy birthday to Richard Overton, America's oldest living WWII combat veteran, who turns 112 today https://t.co/q9s2BSN…</t>
  </si>
  <si>
    <t>RT @Melstar2013: Thank you for  your service Sir!!! https://t.co/xPObh79pSg</t>
  </si>
  <si>
    <t>@jon_knepper Well said, and my sincerest condolences on your recent loss.</t>
  </si>
  <si>
    <t>@TrumpsTrucker @AmericaHasBalls @EvOConnor15 @DIDNOTVOTE4HIM @jason_kassin @ouchinagirl @bdclq @Sequencer16 @LisaTomain @RedPilledinNY @inscnc @PrincessDebate @solentgreenis @USAHotLips @rocksiphone @831mylabs @mike4354 @mr65gibson @JoanneTirado09 @mtenorio77 @CraigAr64 Then sit inside your white picket fence and sip iced tea while the rest of fight globalist tyranny, and never, given the chance, thank a WWII vet because you don't speak German.</t>
  </si>
  <si>
    <t>@Kim4Zen @politico Operative word is LEGAL numbnuts, but you wouldn't know anything about that.</t>
  </si>
  <si>
    <t>RT @MAGA4TRUMP2020: https://t.co/8zYi1Aaa6p</t>
  </si>
  <si>
    <t>RT @EvOConnor15: @CRASHTalkin People like you are a fucking joke. 
PS...we are Making America Great Again and you are on the wrong side...t…</t>
  </si>
  <si>
    <t>RT @joel_capizzi: Remember. They came for us. https://t.co/sMGpPwVk03</t>
  </si>
  <si>
    <t>Remember. They came for us. https://t.co/sMGpPwVk03</t>
  </si>
  <si>
    <t>RT @NewDayForNJ: We DO have Constitutional protections to stop this &amp;amp; I WILL fight to put them in place at the Congressional level! https:/…</t>
  </si>
  <si>
    <t>RT @joel_capizzi: School choice is the answer.
"the liberal Left is not backing down. They are rallying supporters to advance their agenda…</t>
  </si>
  <si>
    <t>RT @joel_capizzi: @LauraLoomer @amina_abusharif @realDonaldTrump You may disagree, but I believe this is the single most reason the United…</t>
  </si>
  <si>
    <t>School choice is the answer.
"the liberal Left is not backing down. They are rallying supporters to advance their agenda, moving this nation further from the vision of our founding fathers".
https://t.co/4PE55KJ5Vc</t>
  </si>
  <si>
    <t>RT @BridgetKF30: SICK!!  I cannot believe AZ WOULD ALLOW SUCH GRAPHIC NONSENSE INTO THEIR SCHOOLS????!!!!!!  Please read &amp;amp; RT !! 👇👇👇👇👇🤮🤮🆘🆘🆘…</t>
  </si>
  <si>
    <t>@LauraLoomer @amina_abusharif @realDonaldTrump You may disagree, but I believe this is the single most reason the United States is still the United States.
"And I will bless them that bless thee, and curse him that curseth thee: and in thee shall all families of the earth be blessed".
Genesis 12:3</t>
  </si>
  <si>
    <t>@LauraLoomer @amina_abusharif @realDonaldTrump Thank you.</t>
  </si>
  <si>
    <t>RT @LauraLoomer: I’m driving in #Jerusalem right now and this is what it looks like! 
There are “Trump Make #Israel Great” signs on the tr…</t>
  </si>
  <si>
    <t>@ThinBlueLR With all due respect sir, that's a two way street.</t>
  </si>
  <si>
    <t>RT @workbench59: Who do you support for New Jersey Senate race?</t>
  </si>
  <si>
    <t>@BridgetKF30 @ParisTwatter @aligiarc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@BarackObama @DNC We have a golden opportunity to shut the whole damn thing down on Nov. 6.  Shall we?
#DrainTheDamnSwamp 
#NoMoreRINOS https://t.co/GULCKpbLcy</t>
  </si>
  <si>
    <t>@BridgetKF30 @keithellison @DNC Sometimes I trigger them to smoke 'em out then set aside 30 minutes to block a boat load of them. Time well spent. 😁</t>
  </si>
  <si>
    <t>RT @BridgetKF30: @joel_capizzi @keithellison @DNC Joel;  dropped in all rooms I could;  also;  making a YUGE LIST OF RESISTANCE NUT BAGS WH…</t>
  </si>
  <si>
    <t>@BridgetKF30 @moosemuffinn @RealTT2020 @Daisy49103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https://t.co/7dV84BAJzy</t>
  </si>
  <si>
    <t>@vannsmole @SIEMPRE_FIDEL @perlmutations So much for bad a$$ "Sons of Anarchy" biker dude.</t>
  </si>
  <si>
    <t>RT @BridgetKF30: @Daisy49103 @moosemuffinn @RealTT2020 @nikdpik @thumperalpha @lilcountryrose @bdclq @TBruceTrp773 @LisaTomain @Boo3zero5 @…</t>
  </si>
  <si>
    <t>He probably did and the feeling is probably mutual. https://t.co/MCb8D4oaxK</t>
  </si>
  <si>
    <t>RT @AnnaApp91838450: https://t.co/uLo8MS3gqN
🚨TRAITOR JOHN McCain 
Is Determined To Die An Evil Hate Filled Man 💯Megan You Should Reel In Y…</t>
  </si>
  <si>
    <t>RT @SteveMotley: McCain is the absolute worst Senator in U.S. political history and a Traitor to boot! https://t.co/UMrTKlcGoU</t>
  </si>
  <si>
    <t>Just say it's good.
https://t.co/omzTKaKk8r</t>
  </si>
  <si>
    <t>@President1Trump @NancyPelosi No, Trump's dialog with NOKO should be the template for future deals.</t>
  </si>
  <si>
    <t>RT @RedPilledinNY: To the Silent Ranks, the military spouses,
thank you for your service. 
God Bless you.
#MilitarySpouseAppreciationDay…</t>
  </si>
  <si>
    <t>@TrumpsTrucker @AmericaHasBalls @EvOConnor15 @DIDNOTVOTE4HIM @jason_kassin @ouchinagirl @bdclq @Sequencer16 @LisaTomain @RedPilledinNY @inscnc @PrincessDebate @solentgreenis @USAHotLips @rocksiphone @831mylabs @mike4354 @mr65gibson @JoanneTirado09 @mtenorio77 @CraigAr64 Would you favor leaving NATO?
Chani has a dog in this fight because she's concerned about global governance, and so should we. It's why the US  fought in WWII.
https://t.co/G1ks9mNjHb</t>
  </si>
  <si>
    <t>RT @KFortyacre: @joel_capizzi Let’s say NO MORE. Get all politicians that don’t love our country OUT. MAGA 🇺🇸🇺🇸🇺🇸🇺🇸🇺🇸🇺🇸🇺🇸</t>
  </si>
  <si>
    <t>@thenationsrage @amina_abusharif @realDonaldTrump Nonstop coverage on CNN and MSNBC heralding Trump's victory over ISIS. Right.</t>
  </si>
  <si>
    <t>RT @thenationsrage: "...five most wanted #ISIS leaders captured..." ~ @realDonaldTrump
#MAGA #KAG2020
https://t.co/UEdT3eX2MI https://t.co…</t>
  </si>
  <si>
    <t>RT @amina_abusharif: “Even though I walk through the darkest valley, I will fear no evil, for you are with me; your rod and your staff, the…</t>
  </si>
  <si>
    <t>RT @amina_abusharif: I knew an immigrant who came here from Iraq. When I offered to teach her to read and write, she said in Arabic to me t…</t>
  </si>
  <si>
    <t>RT @President1Trump: “Courage, courage is what built this nation. Courage is what sustained this nation. And courage is what is going to sa…</t>
  </si>
  <si>
    <t>RT @amina_abusharif: If you are an immigrant to another country, you do as they do and you “blend.” You don’t expect that country to adapt…</t>
  </si>
  <si>
    <t>RT @amina_abusharif: This is my gun. And this is my Bible. God, guns and freedom is that the USA was founded on.
If you don’t like them, to…</t>
  </si>
  <si>
    <t>@BridgetKF30 @keithellison @DNC Unacceptable. This needs to be retweeted ad infinitum.</t>
  </si>
  <si>
    <t>RT @BridgetKF30: You guys understand he’s the Minority Whip, right?!  @keithellison 👈💩💩💩💩❌🆘🚫🚫🚫🖕🖕🖕Second in the @DNC HE CARRIES AN ANTIFA HA…</t>
  </si>
  <si>
    <t>RT @joel_capizzi: @AjaforCongress Veteran Aja Smith wants to serve her country again.
She's what California needs.
She's what America nee…</t>
  </si>
  <si>
    <t>RT @joel_capizzi: Aja has a serious axe to grind with liberalism and wants to make California Great Again. A hard core Trump supporter who…</t>
  </si>
  <si>
    <t>RT @joel_capizzi: @RealErinCruz I  support Erin Cruz for US Senate. 
Vote @RealErinCruz and MAGA 
#MAGA2018 
#DrainTheSwamp https://t.co/…</t>
  </si>
  <si>
    <t>RT @joel_capizzi: Don't write off California and the many great patriots still living there,  
make it great again!!
Elect great conservat…</t>
  </si>
  <si>
    <t>RT @joel_capizzi: Dianne Feinstein
   Nancy Pelosi
     Adam Schiff and 
        Maxine Waters 
are 4 good reasons to vote for:
Erin Cruz…</t>
  </si>
  <si>
    <t>Next time around, count on @SykesforSenate to be a yes vote. https://t.co/t6dabhoU29</t>
  </si>
  <si>
    <t>These seven Republicans (RINOS) along with every Democrat voted against straight repeal of Obamacare. 
Midterms are crucial.
Let's get it done.
#RepealAndReplace
#DrainTheSwamp 
#MAGA 
#KAG https://t.co/oUHX1AfoFx</t>
  </si>
  <si>
    <t>RT @wildcatmom2013: @On_The_Hook @joel_capizzi He’s got to be one of those dem socialist communist</t>
  </si>
  <si>
    <t>@NevadaJack2 @ntvnyr173 How many batches do we need?</t>
  </si>
  <si>
    <t>@ntvnyr173 Smile</t>
  </si>
  <si>
    <t>This can only be good.
https://t.co/U7CDwRrgEn</t>
  </si>
  <si>
    <t>That's what happens when you win elections. 
https://t.co/RBM80hC4iJ</t>
  </si>
  <si>
    <t>Well?
https://t.co/uNe9vZQ25O</t>
  </si>
  <si>
    <t>@DallasIrey @BobHarr1944 Already following, RTD.</t>
  </si>
  <si>
    <t>RT @DallasIrey: Let’s give a big #Trumpville #ShoutOut to @BobHarr1944 who reached 18K Followers today! 🎉🎉🎉🎉🎉 
We could not be more proud o…</t>
  </si>
  <si>
    <t>RT @weld_james: Side note; https://t.co/72PGKx53gQ</t>
  </si>
  <si>
    <t>RT @ErickBeck9: 'I would do it again,' McCain writes about release of Steele dossier to FBI : I’ve only known TWO TRAITORS in my 66 years,P…</t>
  </si>
  <si>
    <t>RT @r_little_finger: Americans held hostage in North Korea are home!
Yet..
No love
No thanks
No congrats
No job well done
From Obama, Hi…</t>
  </si>
  <si>
    <t>RT @LisaTomain: @AliciaTolbert @DoughnutJane @Daisy49103 @BridgetKF30 @RealTT2020 @nikdpik @thumperalpha @lilcountryrose @bdclq @TBruceTrp7…</t>
  </si>
  <si>
    <t>RT @RealJamesWoods: Ironically 3:00 AM was the time the calls were coming in for Hillary Clinton to respond to the real time ongoing attack…</t>
  </si>
  <si>
    <t>@DallasIrey @RedDragonFly19 @mbradt27 Followed.</t>
  </si>
  <si>
    <t>RT @DallasIrey: #Trumpville would like to congratulate our member @mbradt27 
He reached 6K Followers 🎉🎉🎉🎉
Please #Follow and #Retweet this…</t>
  </si>
  <si>
    <t>RT @ScottPresler: REPUBLICAN WAVE: Here are 4 easy voter maps to help get more Republicans to the polls. 
150,000 more Republicans voted i…</t>
  </si>
  <si>
    <t>RT @joel_capizzi: Courtland Sykes: https://t.co/UNo4lANM3T</t>
  </si>
  <si>
    <t>RT @joel_capizzi: AP4: https://t.co/6DPTdNoW5K</t>
  </si>
  <si>
    <t>RT @joel_capizzi: AP4 vs Trump vs Sykes.
Trump: https://t.co/LMASAsaRGa</t>
  </si>
  <si>
    <t>RT @solentgreenis: But....... MUHHH RUUUSSSIIIIAAAAAAA! https://t.co/uDurlaDEU9</t>
  </si>
  <si>
    <t>@BridgetKF30 @RedPilledinNY @GotschallMark @Thorn105 @SusanBr52194068 @RobertDRoseJr1 @RealTT2020 @nikdpik @thumperalpha @lilcountryrose @bdclq @TBruceTrp773 @LisaTomain @Boo3zero5 @Rightwingmadman @DaveSchreiber3 @TexasKenJSmith @HH_kathy @PGutierrez630 @PradRachael @DilaraEsengil @Iochev9763 @Corp125Vet @Sequencer16 @MartinB45719553 @Dbargen @RealErinCruz @KatTheHammer1 @DanCovfefe1 @AMccloggan01 @CudaDebbie @solentgreenis @Daisy49103 @SongBird4Trump @JoeB202 @badreligion @DoctorGraffin @BrettGurewitz @jay_bentley @GregHetson @brianXbaker Beats me.</t>
  </si>
  <si>
    <t>@RedPilledinNY @GotschallMark @Thorn105 @SusanBr52194068 @RobertDRoseJr1 @BridgetKF30 @RealTT2020 @nikdpik @thumperalpha @lilcountryrose @bdclq @TBruceTrp773 @LisaTomain @Boo3zero5 @Rightwingmadman @DaveSchreiber3 @TexasKenJSmith @HH_kathy @PGutierrez630 @PradRachael @DilaraEsengil @Iochev9763 @Corp125Vet @Sequencer16 @MartinB45719553 @Dbargen @RealErinCruz @KatTheHammer1 @DanCovfefe1 @AMccloggan01 @CudaDebbie @solentgreenis @Daisy49103 @SongBird4Trump @JoeB202 @badreligion @DoctorGraffin @BrettGurewitz @jay_bentley @GregHetson @brianXbaker Thanks Red Pilled and right back at you. 👊</t>
  </si>
  <si>
    <t>RT @RonPaulWasOn: @On_The_Hook @MNoblitt Austin joined https://t.co/ueDQoAIWK1 under an anymous name and got caught. It was so funny. Here…</t>
  </si>
  <si>
    <t>RT @Nov2018election: @On_The_Hook Missouri Support @SykesforSenate https://t.co/rSOjzBiPSo</t>
  </si>
  <si>
    <t>RT @Nov2018election: @On_The_Hook Missouri Support @SykesforSenate https://t.co/D65Eiw3gjg</t>
  </si>
  <si>
    <t>RT @Nov2018election: @On_The_Hook Missouri Support @SykesforSenate https://t.co/pL9mEuzl45</t>
  </si>
  <si>
    <t>RT @BigLeague2020: @On_The_Hook I’m Psyched For Sykes❗️
What About You❓
For more detailed information visit https://t.co/HjLVlWGmjW
Syke…</t>
  </si>
  <si>
    <t>RT @DebbieAAldrich: @On_The_Hook .@AP4Liberty don’t forget it’s not about the man but the agenda the American people voted for.</t>
  </si>
  <si>
    <t>RT @Blackdi51264299: @On_The_Hook If I lived in Missouri, I'd be voting for @SykesforSenate ✔❤🇺🇸#codeofvets https://t.co/bVcEwiaxn7</t>
  </si>
  <si>
    <t>RT @Pickles0201: @Hope4Hopeless1 @Nov2018election @On_The_Hook @SykesforSenate @Monetti4Senate MISSOURI 🇺🇸
VOTE ✔ COURTLAND SYKES 
@Sykesf…</t>
  </si>
  <si>
    <t>RT @Nov2018election: @On_The_Hook Missouri don’t be fooled by Monetti Petersen Hawley💥 Courtland Sykes @SykesforSenate The Bold Conservativ…</t>
  </si>
  <si>
    <t>RT @Hope4Hopeless1: @Mtweetie4848gm2 @On_The_Hook @AP4Liberty Yep! @AP4Liberty
is LYING about who &amp;amp; what HE IS, just so he can get elected!…</t>
  </si>
  <si>
    <t>RT @Hope4Hopeless1: @On_The_Hook Missourians want to know the truth @AP4Liberty #Mosen
 https://t.co/dYsNY3aSJk</t>
  </si>
  <si>
    <t>RT @joel_capizzi: @On_The_Hook Check out @joel_capizzi’s Tweet: https://t.co/TggbZe59pR</t>
  </si>
  <si>
    <t>RT @On_The_Hook: How did this rabid NEVER TRUMPER gain support!? 
#AustinPetersen is a fraud and will not support the #MAGA movement !
Au…</t>
  </si>
  <si>
    <t>RT @AlohaHa59067534: @On_The_Hook Thank you for finding this stuff on this guy!  He is not who he is pretending to be!</t>
  </si>
  <si>
    <t>RT @greg52451: @On_The_Hook This is simple...Globalistism demands open borders that equals anti-nationalism, being anti-patriotic, history…</t>
  </si>
  <si>
    <t>RT @Hope4Hopeless1: @RicciGeri @On_The_Hook https://t.co/pMP7shBOQ0</t>
  </si>
  <si>
    <t>RT @RicciGeri: @On_The_Hook A country without borders ceases to be a country.  We can look to EU to see the result of open borders and abdi…</t>
  </si>
  <si>
    <t>RT @Nov2018election: @On_The_Hook  https://t.co/1qydGYOxc7</t>
  </si>
  <si>
    <t>RT @Nov2018election: @On_The_Hook MISSOURI NEVER TRUMP AUSTIN PETERSEN💥NO TRUMP VOTES FOR YOU!!! https://t.co/K20RjGZ6qm</t>
  </si>
  <si>
    <t>RT @LendaLeeann: @On_The_Hook Closed borders to keep ur people in is communism THATS NOT WHAT OUR WALL IS FOR ITS TOO KEEP OUT THE ENEMY &amp;amp;…</t>
  </si>
  <si>
    <t>RT @Hope4Hopeless1: @On_The_Hook https://t.co/RKsMMDDok2</t>
  </si>
  <si>
    <t>RT @jeffreycook1965: @On_The_Hook This guy is what's wrong with America!!!</t>
  </si>
  <si>
    <t>RT @Nov2018election: @On_The_Hook  https://t.co/1EiLTvp4XW</t>
  </si>
  <si>
    <t>RT @Nov2018election: @On_The_Hook Stay tuned for more to come on “The Real Austin Petersen” The never Trumper,globalist open borders Peters…</t>
  </si>
  <si>
    <t>RT @Nov2018election: @On_The_Hook MO NEVER TRUMP AUSTIN PETERSEN😬 THE INTERNET IS FOREVER AP💥 NO TRUMP VOTES FOR YOU!!! https://t.co/XuUwU9…</t>
  </si>
  <si>
    <t>RT @TinaOrt79591465: @Nov2018election @On_The_Hook This is @AP4Liberty</t>
  </si>
  <si>
    <t>RT @Nov2018election: @On_The_Hook MISSOURI WELL WELL WELL NO TRUMP VOTES FOR YOU AUSTIN PETERSEN https://t.co/wvvfK3d8Hm</t>
  </si>
  <si>
    <t>RT @TrumpTrainMRA4: @joedp1957 @Charliegirl1481 @Tam9182 @On_The_Hook @SykesforSenate Missouri https://t.co/jfEiZVmp8P</t>
  </si>
  <si>
    <t>RT @Charliegirl1481: @Tam9182 @On_The_Hook @SykesforSenate awesome ad</t>
  </si>
  <si>
    <t>RT @TrumpTrainMRA4: @Charliegirl1481 @Tam9182 @On_The_Hook @SykesforSenate  https://t.co/FCHzK3lfRI</t>
  </si>
  <si>
    <t>RT @Tam9182: @On_The_Hook Sykes is 💯% Trump agenda. https://t.co/5RT4lpNo3Q</t>
  </si>
  <si>
    <t>RT @joel_capizzi: @chrisy1118 @On_The_Hook Last time I checked we have a survey/plat that describes our property lines. No open borders for…</t>
  </si>
  <si>
    <t>RT @vogl_tina: @On_The_Hook @bcas41447 Open borders, sounds like another Claire...   I will only support candidates who support President T…</t>
  </si>
  <si>
    <t>RT @joel_capizzi: @vogl_tina @On_The_Hook @bcas41447 Trust me. That would be Sykes.</t>
  </si>
  <si>
    <t>RT @On_The_Hook: “So, If you’re for closed borders Congratulations you’re a freaking commie” 
~Austin Petersen, Senate Candidate #Missouri…</t>
  </si>
  <si>
    <t>RT @mmckee777: @On_The_Hook @RealRoseTaylor1  https://t.co/G7yguPbFef</t>
  </si>
  <si>
    <t>RT @Nov2018election: @On_The_Hook  https://t.co/BhIaeHiYAi</t>
  </si>
  <si>
    <t>RT @On_The_Hook: @dizzypam He a Fraud, running for Senate as a Republican in Missouri</t>
  </si>
  <si>
    <t>RT @On_The_Hook: “The reason why Hispanics favor the Democratic Party is, so many stupid Republicans are idiotic racists like yourselves”
~…</t>
  </si>
  <si>
    <t>RT @Nov2018election: @On_The_Hook  https://t.co/Obe7KrJ9DR</t>
  </si>
  <si>
    <t>RT @Hope4Hopeless1: @On_The_Hook https://t.co/pMP7shBOQ0</t>
  </si>
  <si>
    <t>RT @Nov2018election: @On_The_Hook  https://t.co/gUm7CmBRDU</t>
  </si>
  <si>
    <t>RT @On_The_Hook: #AustinPetersen is 💯% 
‼️ANTI-TRUMP‼️ 
Austin can not be trusted to support the #MAGA agenda, in fact, he thinks it’s stu…</t>
  </si>
  <si>
    <t>RT @SandraVona: @On_The_Hook When I see his tshirt I see a great use for fema camps.</t>
  </si>
  <si>
    <t>RT @enigmagolfer: @On_The_Hook @JoeCoolNJ He is probably paid by Soros...the ultimate deceiver!</t>
  </si>
  <si>
    <t>RT @Nov2018election: @On_The_Hook  https://t.co/kITrqyuHCn</t>
  </si>
  <si>
    <t>RT @BigLeague2020: @On_The_Hook  https://t.co/6ZOYvFMRCa</t>
  </si>
  <si>
    <t>RT @joel_capizzi: @MistyAcresMO @On_The_Hook Considering he's been busy blocking patriots, taking down YouTube videos and deleting tweets,…</t>
  </si>
  <si>
    <t>@MistyAcresMO @On_The_Hook Considering he's been busy blocking patriots, taking down YouTube videos and deleting tweets, there's enough information to ascertain he's hard core open borders. If you agree, you should vote for him.</t>
  </si>
  <si>
    <t>@TSDttu @On_The_Hook @winegirl73 I'll pass the hat around.</t>
  </si>
  <si>
    <t>RT @TSDttu: @On_The_Hook @winegirl73 Yep. Looking at the words on this so-called person’s t-shirt, we need to export his love of Islam to I…</t>
  </si>
  <si>
    <t>RT @reason2sense: @On_The_Hook  https://t.co/aR7LfReInB</t>
  </si>
  <si>
    <t>RT @Nov2018election: @On_The_Hook  https://t.co/xEQZKQqSQr</t>
  </si>
  <si>
    <t>RT @On_The_Hook: Is #AustinPetersen Anti #1A
He agrees with #Antifa‼️
He agrees with erasing American History‼️
Austin, this is just sha…</t>
  </si>
  <si>
    <t>@GotschallMark @Thorn105 @SusanBr52194068 @RobertDRoseJr1 @RedPilledinNY @BridgetKF30 @RealTT2020 @nikdpik @thumperalpha @lilcountryrose @bdclq @TBruceTrp773 @LisaTomain @Boo3zero5 @Rightwingmadman @DaveSchreiber3 @TexasKenJSmith @HH_kathy @PGutierrez630 @PradRachael @DilaraEsengil @Iochev9763 @Corp125Vet @Sequencer16 @MartinB45719553 @Dbargen @RealErinCruz @KatTheHammer1 @DanCovfefe1 @AMccloggan01 @CudaDebbie @solentgreenis @Daisy49103 @SongBird4Trump @JoeB202 @badreligion @DoctorGraffin @BrettGurewitz @jay_bentley @GregHetson @brianXbaker Blocked by #awesomeness @DilaraEsengil.</t>
  </si>
  <si>
    <t>RT @vickibazter: #WINNING. 2018. VOTE!!!!! https://t.co/ff6LtwVRus</t>
  </si>
  <si>
    <t>RT @Hope4Hopeless1: @MaryStewart01 @RealMAGASteve @AP4Liberty @sugardaddymale NO! The ONLY #AmericaFirst Candidate runnining for US Senate…</t>
  </si>
  <si>
    <t>@SammyNavarro63 @ravena68 When they pay the mortgage they can put whatever the hell they want to on my roof.</t>
  </si>
  <si>
    <t>RT @favoriteauntssi: K
A
R
M
A
Avenatti Exposed: Stormy's Lawyer May Face Disbarrment, Legal Action As Past Catches Up | Zero Hedge https:…</t>
  </si>
  <si>
    <t>RT @VisioDeiFromLA: She didnt want 2 come forward cuz consensual affair?
Why wait 3 years, &amp;amp; then husband goes 2 media, not police?
Money…</t>
  </si>
  <si>
    <t>@BridgetKF30 @Daisy49103 @RealTT2020 @nikdpik @thumperalpha @lilcountryrose @bdclq @TBruceTrp773 @LisaTomain @Boo3zero5 @Rightwingmadman @DaveSchreiber3 @TexasKenJSmith @HH_kathy @PGutierrez630 @PradRachael @DilaraEsengil @Iochev9763 @Corp125Vet @Sequencer16 @MartinB45719553 @RedPilledinNY @Dbargen @RealErinCruz @KatTheHammer1 @DanCovfefe1 @AMccloggan01 @CudaDebbie @solentgreenis @SongBird4Trump @JoeB202 @SenFeinstein @SenMcCain @POTUS All of which goes to your urging to get out the vote Nov 6 and to...
#DrainTheSwamp https://t.co/HHrCGHkgVw</t>
  </si>
  <si>
    <t>@Shawtypepelina @HawleyMO 👍</t>
  </si>
  <si>
    <t>RT @PaulLee85: I’m glad we’re taking Border Security Seriously but we need a Wall to virtually eliminate crossing into the United States il…</t>
  </si>
  <si>
    <t>There was joy and fanfare from the left when traitor Bergdahl came home but nothing for the 3 hostages released by NOKO. 
The "D" in Democrat should stand for DISGRACEFUL.</t>
  </si>
  <si>
    <t>*Haspel</t>
  </si>
  <si>
    <t>RT @joel_capizzi: Feminists and Dems should put their gender politics' money where their mouths are and support Haskell solely because she'…</t>
  </si>
  <si>
    <t>@JewhadiTM True colors.</t>
  </si>
  <si>
    <t>RT @JewhadiTM: This is a completely unfair statement
Meghan McCain rails against Gina Haspel: 'What's next? Are we going to be like ISIS a…</t>
  </si>
  <si>
    <t>@Shawtypepelina @SenatorNasheed Gave me the drop on her. Thanks. https://t.co/EWrPsGHUN6</t>
  </si>
  <si>
    <t>RT @BigLeague2020: @joel_capizzi There is no explanation needed.
Hawley is the anointed candidate. https://t.co/IesMcG0Cne</t>
  </si>
  <si>
    <t>RT @LovesRemo: @VP @WilkowMajority @AlexMarlow @mboyle1 @JGilliam_SEAL @realDonaldTrump @SykesforSenate @davidwebbshow @ChanelRion #CQRF #M…</t>
  </si>
  <si>
    <t>RT @kanyewest: I haven't done enough research on conservatives to call myself or be called one. I'm just refusing to be enslaved by monolit…</t>
  </si>
  <si>
    <t>RT @kanyewest: There's a silent majority of people that have been silenced for too long</t>
  </si>
  <si>
    <t>RT @kanyewest: we’re opening up the conversation to the psychologists sociologists and philosophers of the world and we're moving away from…</t>
  </si>
  <si>
    <t>RT @kanyewest: Candace Owens wrote this at the Office yesterday https://t.co/3utFm74k75</t>
  </si>
  <si>
    <t>RT @kanyewest: we are programmed to always talk and fight race issues. We need to update our conversation.</t>
  </si>
  <si>
    <t>RT @kanyewest: free thinking is a super power</t>
  </si>
  <si>
    <t>@SykesforSenate 
👉Outsider
👉Conservative
👉Veteran
👉100% Trump supporter 
👉America first https://t.co/dHIDv8zQMA</t>
  </si>
  <si>
    <t>Never-Trumper and Bushite Karl Rove, who along with Mitch McConnell RECRUITED Josh Hawley, says making the midterms about Trump is a bad idea. 
Somebody explain to me how that makes Hawley the non-establishment candidate.
 https://t.co/Cj3vs3EYAU</t>
  </si>
  <si>
    <t>RT @joel_capizzi: Contrast what Sykes says about Mitch and the establishment GOP to what Mitch McConnell's #1 recruit Josh Hawley says, whi…</t>
  </si>
  <si>
    <t>RT @joel_capizzi: @SykesforSenate If you think Mitch's #1 recruit, ladder climbing, career politician, "no comment" Josh Hawley will "stand…</t>
  </si>
  <si>
    <t>RT @joel_capizzi: When he's not climbing ladders or at the gym, he practices his "sidesteppin" moves.
👇👇👇👇 https://t.co/Pl1HxzyMMA</t>
  </si>
  <si>
    <t>RT @joel_capizzi: 2/2
He sidestepped questions about your "behavior toward women".
Should you be in the crosshairs of the next Gov Greiten…</t>
  </si>
  <si>
    <t>RT @joel_capizzi: I/2
@realDonaldTrump 
Mr President, please reconsider your endorsement of Josh Hawley and endorse @SykesforSenate instea…</t>
  </si>
  <si>
    <t>RT @RealCandaceO: So what’s the strategy for 2020 @TheDemocrats?
Because if my inbox is any indication,   you won’t be cracking the whip in…</t>
  </si>
  <si>
    <t>Why not?
https://t.co/yngKOhXvNX</t>
  </si>
  <si>
    <t>@BigLeague2020 @USAHotLips He and Anderson had a hot date.</t>
  </si>
  <si>
    <t>RT @magathemaga1: Hmmm..... 
#MoLeg #MoGov #GreitensTrial #Greitens #stlouis #missouri #stl #kcmo https://t.co/CBrGbcgACF</t>
  </si>
  <si>
    <t>RT @SykesforSenate: Reserve your free tickets to our Campaign Kickoff in Branson, Mo. #FIRECLAIRE #SENDSYKES ---&amp;gt; https://t.co/QDBfKkL8Fx</t>
  </si>
  <si>
    <t>RT @SykesforSenate: Join us tomorrow for the Show-Me Trump U.S. Senate Candidate Forum 7pm CST. Livestream available. Special thank you to…</t>
  </si>
  <si>
    <t>RT @SykesforSenate: Save the Date! June 16th, 12pm-6pm will be the Battle for Mo for Courtland Sykes all day concert -- 5 bands, Good Food,…</t>
  </si>
  <si>
    <t>RT @michaelbeatty3: Who voted to confirm JOHN BRENNAN❓
(Gina Haspel's boss)
HERE IS THE COMPLETE ROLL CALL
(hint John McCain)
#democrats #M…</t>
  </si>
  <si>
    <t>RT @robyns323: This person 👇🏼 is repulsive and should sit out his final days in a 9X10. 
I’ve never witnessed such cruel, nasty, and evil e…</t>
  </si>
  <si>
    <t>RT @Sticknstones4: 3) constitutually unable to present Evidence
* He did say he would speak to committee after criminal case was over   👇👇…</t>
  </si>
  <si>
    <t>RT @Sticknstones4: 2) consensual 👇👇👇 https://t.co/cxINmWMs65</t>
  </si>
  <si>
    <t>RT @Sticknstones4: 4) The Proscutor Kim Gardner has repeatedly lied 
Judge Rex Burlison says the case reeks of sanctions 
👇👇👇 https://t.co/…</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</si>
  <si>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</si>
  <si>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</si>
  <si>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@Sticknstones4: How Many 
Feel Lied To by the Media  ?
Feel Betrayed By #Moleg House Investigative Committee ?   🙋‍♂️🙋🏽‍♀️🙋‍♂️🙋🏻‍♂️…</t>
  </si>
  <si>
    <t>RT @HotPokerPrinces: The Acuser never said she was coerced into a sex act
In fact she said she gave consent. relations were consensual 
Th…</t>
  </si>
  <si>
    <t>RT @HotPokerPrinces: The “NAKED TRUTHS”
No Photo or Copy has ever been seen
Accuser Never told the Committee
She used FaceTime with Greit…</t>
  </si>
  <si>
    <t>RT @HotPokerPrinces: There’s No Device this Alledged Photo was taken
The Acuser has Never seen the Alledged Photo
No Evidence the Alledge…</t>
  </si>
  <si>
    <t>RT @HotPokerPrinces: “Reeks of Sactions” is what Judge Burlison has said of Prosecution. The bad stench of Lies. 
Follow Along  ⬇️⬇️⬇️
#G…</t>
  </si>
  <si>
    <t>RT @HotPokerPrinces: House Committee has not yet heard Greitens side of the story.  He has stated, post trial he will be able to share his…</t>
  </si>
  <si>
    <t>RT @HotPokerPrinces: Closed Door House Investigative committee Never Cross Examined witness that they found credible.
What’s a sexy workou…</t>
  </si>
  <si>
    <t>RT @Sticknstones4: #KimShady is really Shady and this one Has nothing to do with Eric Greitens
We saw the carnage of Stockley, We’re livin…</t>
  </si>
  <si>
    <t>RT @MSTLGA: FOLLOW THE MONEY
Who was the source of the 120K Cash ?
#Moleg #MoGov #Greitens https://t.co/d1nMvvWoBc</t>
  </si>
  <si>
    <t>RT @magathemaga1: Good Morning #MoLeg
We need to talk
We still dont know where Scott Faughn is
We still dont know where the money came f…</t>
  </si>
  <si>
    <t>RT @Sticknstones4: @ksdknews I wish the judge would enforce the rules on the Prosecutor 
Kim Gardner.  Sanctions Must be issued for the Pro…</t>
  </si>
  <si>
    <t>RT @BluewaterPalms: @TKORachael @joel_capizzi Ms Harris, it's a yes or no answer.
You're not answering the question Ms Harris
We might as w…</t>
  </si>
  <si>
    <t>@realDonaldTrump https://t.co/6QcPzIMTbm</t>
  </si>
  <si>
    <t>@thebradfordfile How can this be? Have they jettisoned their humanity too?</t>
  </si>
  <si>
    <t>RT @thebradfordfile: NoKo Hostages are home:
STILL NO RICE CONGRATS.
STILL NO KERRY CONGRATS.
STILL NO OBAMA CONGRATS.
STILL NO HILLARY…</t>
  </si>
  <si>
    <t>RT @BigLeague2020: Simply The Best! https://t.co/rvh1srXvoN</t>
  </si>
  <si>
    <t>RT @herredness66: McCain: Releasing Steele Dossier Was &amp;amp;#8216;Duty,&amp;amp;#8217; Anyone Who Disagrees Can &amp;amp;#8216;Go to Hell&amp;amp;#8217; https://t.co/4…</t>
  </si>
  <si>
    <t>RT @make_end: @realDonaldTrump  https://t.co/BArrhqR41d</t>
  </si>
  <si>
    <t>@TKORachael Never happen.</t>
  </si>
  <si>
    <t>RT @joel_capizzi: @LauraLoomer In my wildest dreams I wouldn't portend to lecture you on Israeli matters. Seriously Frank?</t>
  </si>
  <si>
    <t>@velezusmc It's my honor sir.</t>
  </si>
  <si>
    <t>@velezusmc Thanks Marine, and thanks for your service.</t>
  </si>
  <si>
    <t>RT @velezusmc: Ooorah Semper Fi to all #MAGA patriots.good day to support our POTUS</t>
  </si>
  <si>
    <t>@1776Stonewall @ThinBlueLR Good. Send him over.</t>
  </si>
  <si>
    <t>@MARTY2064 @mflynnJR It's what the man said.</t>
  </si>
  <si>
    <t>RT @pollsofpolitics: Do you Agree with @realDonaldTrump that the #IranDeal was a bad deal for America??
Vote and retweet to spread poll!!…</t>
  </si>
  <si>
    <t>RT @marklevinshow: Very sad, Senator.  Haspel deserves the nation’s thanks. https://t.co/k4dvhtdH8u</t>
  </si>
  <si>
    <t>@liberal_monster @favoriteauntssi This is the era of "Person Scouts". You don't wanna do that.</t>
  </si>
  <si>
    <t>@favoriteauntssi Oysters?</t>
  </si>
  <si>
    <t>RT @favoriteauntssi: It’s SEXploding https://t.co/Lb79uXtXXI</t>
  </si>
  <si>
    <t>@ThinBlueLR Switch with Rand.</t>
  </si>
  <si>
    <t>RT @favoriteauntssi: He looks like a Christmas present https://t.co/8Q7HFFP97W</t>
  </si>
  <si>
    <t>@favoriteauntssi I'm thinking coal.</t>
  </si>
  <si>
    <t>RT @joel_capizzi: A RINO term limit pledge by the same people who "pledged" to repeal Obamacare for 8 years isn't worth the paper it's prin…</t>
  </si>
  <si>
    <t>RT @joel_capizzi: @knap957 @President1Trump "the children shall rise up against their parents, and cause them to be put to death". Matt 10:…</t>
  </si>
  <si>
    <t>@knap957 @President1Trump "the children shall rise up against their parents, and cause them to be put to death". Matt 10:21b.
This day was foretold long ago.</t>
  </si>
  <si>
    <t>RT @knap957: @President1Trump This is flipping authority on it's head. Putting children in authority over parents. What would this lead to…</t>
  </si>
  <si>
    <t>RT @joel_capizzi: @KeepTexasRed7 @SenJohnMcCain "It won't be long now" said the cat as he got his tail caught in the fan.</t>
  </si>
  <si>
    <t>RT @favoriteauntssi: Bait?  He handed our DOJ over to the DEEP STATE! https://t.co/5XCYhIGnui</t>
  </si>
  <si>
    <t>@KeepTexasRed7 @SenJohnMcCain "It won't be long now" said the cat as he got his tail caught in the fan.</t>
  </si>
  <si>
    <t>RT @KeepTexasRed7: #ItStillAmazesMe that @SenJohnMcCain CONFIRMS he gave #FakeRussianDossier to Comey.....
#ResignMcCain 
We already knew t…</t>
  </si>
  <si>
    <t>RT @KeepTexasRed7: #ItStillAmazesMe #NoVote hasnt been told to #StepDown and give AZ representation
#FakeRussianDossier 
Worked directly wi…</t>
  </si>
  <si>
    <t>RT @favoriteauntssi: Assume your position. https://t.co/ohSsOhUKMI</t>
  </si>
  <si>
    <t>RT @CB618444: #JOHN MCCAIN will be remembered 4 SCREWING the very people that gave him his job.  Nice legacy shit head.
#Songbird traitor…</t>
  </si>
  <si>
    <t>@RobertiLax @SykesforSenate If it's "alive" for the sake of argument, "you don't appreciate the significance" of the Constitution" clearly stating "life" is an "unalienable" right.</t>
  </si>
  <si>
    <t>@ntvnyr173 @policyoftruth69 @AIIAmericanGirI @LSUJEFF @gammawcarol @KenWahl1 @mclatterbu @qkode @MJoemal19 Worse. Didn't know he campaigned on it.</t>
  </si>
  <si>
    <t>RT @ntvnyr173: @joel_capizzi @policyoftruth69 @AIIAmericanGirI @LSUJEFF @gammawcarol @KenWahl1 @mclatterbu @qkode @MJoemal19 he campaigned…</t>
  </si>
  <si>
    <t>@RobertiLax @SykesforSenate The slopes very slippery and you're on it.</t>
  </si>
  <si>
    <t>@ntvnyr173 @policyoftruth69 @AIIAmericanGirI @LSUJEFF @gammawcarol @KenWahl1 @mclatterbu @qkode @MJoemal19 Every time.</t>
  </si>
  <si>
    <t>RT @ntvnyr173: @joel_capizzi @policyoftruth69 @AIIAmericanGirI @LSUJEFF @gammawcarol @KenWahl1 @mclatterbu @qkode @MJoemal19 they get what…</t>
  </si>
  <si>
    <t>@RobertiLax @SykesforSenate You can't or won't answer  and the issue is very much "whether it's alive".</t>
  </si>
  <si>
    <t>@hammetjohn @FoxNews @seanhannity Refreshing change from Juan.</t>
  </si>
  <si>
    <t>RT @joel_capizzi: @OnlyJball @mflynnJR I don't know how you defend your family, but in an "us vs them" situation, it will be them every tim…</t>
  </si>
  <si>
    <t>@OnlyJball @mflynnJR I don't know how you defend your family, but in an "us vs them" situation, it will be them every time in my household.</t>
  </si>
  <si>
    <t>@RobertiLax @SykesforSenate If you can't tell me when the unborn is a life, and you can't, stop trifling in the womb with your sterile stainless steel instruments.</t>
  </si>
  <si>
    <t>@favoriteauntssi Precisely the point.</t>
  </si>
  <si>
    <t>RT @favoriteauntssi: @joel_capizzi His position is putting the potus and our lives in danger though.</t>
  </si>
  <si>
    <t>@LovesRemo @VP Evidently.</t>
  </si>
  <si>
    <t>@RobertiLax @SykesforSenate Going to redo for typo. Twitter seriously needs an edit button...hold on...</t>
  </si>
  <si>
    <t>RT @LovesRemo: @joel_capizzi Evidently that’s what @VP wants... another establishment, empty suit, never trumper to take miserable McCaskil…</t>
  </si>
  <si>
    <t>@policyoftruth69 @ntvnyr173 @AIIAmericanGirI @LSUJEFF @gammawcarol @KenWahl1 @mclatterbu @qkode @MJoemal19 Would imagine there's some buyer's remorse in the Garden State.</t>
  </si>
  <si>
    <t>RT @policyoftruth69: NJ Gov. Phil Murphy signed a bill regarding financial aid for immigrants!!!!
WAKE UP PEOPLE!!!!! VETS OVER ILLEGALS!!!…</t>
  </si>
  <si>
    <t>RT @joel_capizzi: @RobertiLax @SykesforSenate Exactly not backwards. If not conception then when?</t>
  </si>
  <si>
    <t>@favoriteauntssi So is Sessions.</t>
  </si>
  <si>
    <t>@LauraLoomer In my wildest dreams I wouldn't portend to lecture you on Israeli matters. Seriously Frank?</t>
  </si>
  <si>
    <t>RT @LauraLoomer: Dude,
I’m one of the only American reporters reporting LIVE from the #GolanHeights today, the same place where Iranian-Sy…</t>
  </si>
  <si>
    <t>@favoriteauntssi Gowdy is watching his political bread to see which side should be buttered.</t>
  </si>
  <si>
    <t>@RobertiLax @SykesforSenate Exactly not backwards. If not conception then when?</t>
  </si>
  <si>
    <t>@Shawtypepelina @HawleyMO What's your dogs name?</t>
  </si>
  <si>
    <t>RT @Hope4Hopeless1: https://t.co/MpnD1BJT8m</t>
  </si>
  <si>
    <t>Still waiting for yours Josh.  https://t.co/Di6krnz0pE</t>
  </si>
  <si>
    <t>RT @ChanelRion: @BenjiBeeb @joel_capizzi @SykesforSenate Thank you, patriot! 
✅WATCH https://t.co/2xxq7DQVJC
✅LEARN MORE https://t.co/pzwfw…</t>
  </si>
  <si>
    <t>@CharlotteGran1 https://t.co/2BzvKNpYDY</t>
  </si>
  <si>
    <t>RT @CharlotteGran1: Yes, yes, yes!!! https://t.co/YHrfcvGoC4</t>
  </si>
  <si>
    <t>RT @joel_capizzi: @SykesforSenate https://t.co/eggjQec7x6</t>
  </si>
  <si>
    <t>RT @joel_capizzi: Or this? https://t.co/xSRboVJWTU</t>
  </si>
  <si>
    <t>RT @joel_capizzi: Is this what you want in DC?
https://t.co/M42lnSGGrL</t>
  </si>
  <si>
    <t>RT @CharlotteGran1: I’m just sick of these repeat offender Criminals, Sessions, why is this lawyer not in prison today, if you can’t do you…</t>
  </si>
  <si>
    <t>RT @joel_capizzi: @CharlotteGran1 Which is why I urge Missouri to elect and POTUS to support term limits candidate @SykesforSenate https://…</t>
  </si>
  <si>
    <t>@CharlotteGran1 Which is why I urge Missouri to elect and POTUS to support term limits candidate @SykesforSenate https://t.co/UHaZH75ghu</t>
  </si>
  <si>
    <t>RT @Hope4Hopeless1: Is this .@AP4Liberty #AustinPetersen's https://t.co/09VcByYNGI or https://t.co/QhxkDvid10 prof pic he uses to CON #Miss…</t>
  </si>
  <si>
    <t>RT @joel_capizzi: @mflynnJR My brother in law is a Green Beret. My brother in law experienced water boarding as part of his training and sa…</t>
  </si>
  <si>
    <t>@SykesforSenate https://t.co/eggjQec7x6</t>
  </si>
  <si>
    <t>Or this? https://t.co/xSRboVJWTU</t>
  </si>
  <si>
    <t>Is this what you want in DC?
https://t.co/M42lnSGGrL</t>
  </si>
  <si>
    <t>Too easy. For you Josh.
https://t.co/AGktNWxTa7</t>
  </si>
  <si>
    <t>It's not about politics. It's about principle. 
#DitchMitch 
#DrainTheSwamp
#MAGA 
https://t.co/uBSJr42Vqp</t>
  </si>
  <si>
    <t>@RogueICEOfficer 👀👍</t>
  </si>
  <si>
    <t>RT @RogueICEOfficer: As I get closer to 5000 followers Twitter is silencing me and shadow banning me...If you can see this let me know.</t>
  </si>
  <si>
    <t>RT @solentgreenis: The winning is strong with this one! 
https://t.co/hqXprjuwxv</t>
  </si>
  <si>
    <t>RT @knap957: @joel_capizzi @mflynnJR I kinda suspected as much. But the know-nothing masses with shallow thoughts are gullible. And ‘they’…</t>
  </si>
  <si>
    <t>RT @LillyMunster3: People are so clueless... I will protect life unless it is in the womb? What EXACTLY should the Fed be doing for us? Mos…</t>
  </si>
  <si>
    <t>RT @ThinBlueLR: Oh, and also: 
Police chiefs in Democrat run cities (I worked in one) fudge the crime figures. Our chief got caught massag…</t>
  </si>
  <si>
    <t>@mflynnJR My brother in law is a Green Beret. My brother in law experienced water boarding as part of his training and said Joel, it's really not a big deal. 
I believe my brother in law.</t>
  </si>
  <si>
    <t>@IvanTrumpovic1 Smiling...good one.</t>
  </si>
  <si>
    <t>RT @IvanTrumpovic1: Debating a liberal. https://t.co/l2ymwq2Qns</t>
  </si>
  <si>
    <t>Rand Paul is the only Republican voting no to Trump's pick for CIA director. 
Rand Paul shouldn't call himself a Republican. 
Rand Paul isn't a Republican.
Rand Paul is a RINO. 
https://t.co/3k8DSVq3Sa</t>
  </si>
  <si>
    <t>@Shawtypepelina @USAloveGOD @NeilStruharik @BigLeague2020 @LovesRemo @magathemaga1 @NoMoSocialism75 @realDonaldTrump @SykesforSenate @AP4Liberty @POTUS What did he sing? "Delta Dawn"?</t>
  </si>
  <si>
    <t>@Shawtypepelina @USAloveGOD @NeilStruharik @BigLeague2020 @LovesRemo @magathemaga1 @NoMoSocialism75 @realDonaldTrump @SykesforSenate @AP4Liberty @POTUS But can he juggle?</t>
  </si>
  <si>
    <t>@GartrellLinda Sore loser. Not flattering.</t>
  </si>
  <si>
    <t>RT @GartrellLinda: Bitter, #TraitorMcCain Proudly Admits He Would BACK STAB Trump AGAIN if He Could 
He sent an aide to pick up the fake do…</t>
  </si>
  <si>
    <t>RT @8richard6: Poor Gina, Democrats have no accountability! Holder’s ATF sold 2000 Assault rifles to the drug Cartels &amp;amp; HE’S RUNNING FOR PO…</t>
  </si>
  <si>
    <t>RT @battleofever: May is #MilitaryAppreciationMonth! 🇺🇸
Thank you to all who have served our great country!!! We love you! ❤️🇺🇸
#Military…</t>
  </si>
  <si>
    <t>RT @mackenziein6: The #Ivoterguide chose me as the most #conservative in my race 🇺🇸Check out what I believe and see why I #standalone as yo…</t>
  </si>
  <si>
    <t>RT @mackenziein6: Click the button below if you have the courage, I dare you 👊These 61 seconds will put #AmericaFirst &amp;amp; #MAGA 🇺🇸 Vote for M…</t>
  </si>
  <si>
    <t>Under Obama's watch NOKO hostages come home to die. Under Trump's they come home  to live.</t>
  </si>
  <si>
    <t>RT @Kurt61823: Democrats agree with Iran when they scream “death to America”!!! https://t.co/ViICtAVKf2</t>
  </si>
  <si>
    <t>RT @LdicassioLorri: When our @POTUS gets up in the middle of the night, it’s not to fly pallets of money to terrorists, but to welcome home…</t>
  </si>
  <si>
    <t>RT @HDowning113: @Nov2018election @KressFCambers VOTE! https://t.co/ZcARvJ4Tt8</t>
  </si>
  <si>
    <t>RT @Nov2018election: @annvandersteel https://t.co/e8zk4PsAic</t>
  </si>
  <si>
    <t>RT @favoriteauntssi: WAKE UP AMERICA 
Oregon Gun Ban Petition Meets MASS RESISTANCE https://t.co/dtjf5UpLt2</t>
  </si>
  <si>
    <t>@d_harvey29 @PalmerReport @realDonaldTrump Pathetic.</t>
  </si>
  <si>
    <t>RT @ColumbiaBugle: @realDonaldTrump Give this man the Nobel Peace Prize!! https://t.co/3OHQdTed9C</t>
  </si>
  <si>
    <t>RT @The_Trump_Train: @realDonaldTrump Obama would have let them sit and rot in North Korea. 
THANK GOD FOR TRUMP!</t>
  </si>
  <si>
    <t>RT @RPCovit: @thebradfordfile @AngPenn3 @realDonaldTrump The Plea will be set aside, you should not need to be pardoned for what should nev…</t>
  </si>
  <si>
    <t>RT @thebradfordfile: @realDonaldTrump  https://t.co/siw1MJAAwE</t>
  </si>
  <si>
    <t>RT @thebradfordfile: @realDonaldTrump Next up: PARDON FLYNN! https://t.co/xakHRpN6gH</t>
  </si>
  <si>
    <t>RT @thebradfordfile: @realDonaldTrump America THANKS our PRESIDENT!
Finally--A WINNER IN OFFICE!</t>
  </si>
  <si>
    <t>RT @realDonaldTrump: Looking forward to greeting the Hostages (no longer) at 2:00 A.M.</t>
  </si>
  <si>
    <t>RT @Nov2018election: @BigLeague2020  https://t.co/dCnRB6qE6B</t>
  </si>
  <si>
    <t>RT @BigLeague2020: @Nov2018election #ClimbHigher #MOSEN https://t.co/hypsHrco3g</t>
  </si>
  <si>
    <t>RT @Nov2018election: @BigLeague2020 DON’T FORGET PETERSEN’S https://t.co/ObPyX1UcC6 PROFILE😬 WHO IS THE SUGAR DADDY THOUGH🤔 https://t.co/LN…</t>
  </si>
  <si>
    <t>RT @BigLeague2020: LIBERTARIAN Austin Petersen Wants ‘A World Where Gay Married Couples Can Defend Their Marijuana Fields’
#MISSOURI Don’t…</t>
  </si>
  <si>
    <t>RT @PalmCoastDad: #Robertsrooms Supporting Anti Trump Candidates. Roberts Rooms Takes SOROS CASH to push open borders. https://t.co/oek4FBM…</t>
  </si>
  <si>
    <t>RT @Hope4Hopeless1: #MISSOURIANS BEWARE!!!
.@AP4Liberty IS A LYING #NeverTRUMP #RINO ADMITTEDLY only SAYING he's "Republican" to CON #MOSE…</t>
  </si>
  <si>
    <t>@favoriteauntssi @Farrier1959 Impossible. 😁</t>
  </si>
  <si>
    <t>@favoriteauntssi @Farrier1959 Wasn't, am now. Thank you. 👍</t>
  </si>
  <si>
    <t>RT @favoriteauntssi: @joel_capizzi @Farrier1959 I hope you follow @Farrier1959 he is awesome</t>
  </si>
  <si>
    <t>@favoriteauntssi @Farrier1959 Lol I know.</t>
  </si>
  <si>
    <t>RT @favoriteauntssi: @joel_capizzi @Farrier1959 Lmao.  It’s like a puzzle without the corner pieces. That’s where you start.  Lol.</t>
  </si>
  <si>
    <t>@Farrier1959 @favoriteauntssi This is what happens when you try to get a handle on liberals. Nothing makes sense. Haha</t>
  </si>
  <si>
    <t>@Farrier1959 @favoriteauntssi Are they liberal cuz they're stupid or stupid because they're liberal?</t>
  </si>
  <si>
    <t>@Farrier1959 @favoriteauntssi Humor me.</t>
  </si>
  <si>
    <t>@favoriteauntssi Is Juan liberal or just stupid?
Please vote and RT cuz I really want to know. 😁</t>
  </si>
  <si>
    <t>Austin Petersen in all his foul mouthed narcissistic glory.
WARNING: VERY STRONG LANGUAGE. https://t.co/L0elwIA0Rj</t>
  </si>
  <si>
    <t>RT @magathemaga1: @Shawtypepelina @NeilStruharik @joel_capizzi @LovesRemo @NoMoSocialism75 @BigLeague2020 @realDonaldTrump @SykesforSenate…</t>
  </si>
  <si>
    <t>@NeilStruharik @BigLeague2020 @LovesRemo @magathemaga1 @NoMoSocialism75 @realDonaldTrump @SykesforSenate @AP4Liberty @POTUS You know what insults me Neil? Austin Petersen's filthy mouth and arrogance offend me and they should offend you too:
WARNING: STRONG LANGUAGE: https://t.co/WryffIYXZV</t>
  </si>
  <si>
    <t>@NeilStruharik @BigLeague2020 @LovesRemo @magathemaga1 @NoMoSocialism75 @realDonaldTrump @SykesforSenate @AP4Liberty @POTUS You want to know what insults me Neil? Your candidates arrogance and foul mouth insult me.
Warning: Strong language: https://t.co/zptIwiGRBK</t>
  </si>
  <si>
    <t>@magathemaga1 @NeilStruharik @LovesRemo @NoMoSocialism75 @BigLeague2020 @realDonaldTrump @SykesforSenate @AP4Liberty @POTUS Hard to say. IMHO independents, not the base put him over the top.</t>
  </si>
  <si>
    <t>RT @joel_capizzi: AP4 insists his "conversion" from never-Trumper to MAGA candidate is real while maintaining his opposition to a border wa…</t>
  </si>
  <si>
    <t>@magathemaga1 @NeilStruharik @LovesRemo @NoMoSocialism75 @BigLeague2020 @realDonaldTrump @SykesforSenate @AP4Liberty @POTUS Correct.</t>
  </si>
  <si>
    <t>RT @magathemaga1: @NeilStruharik @joel_capizzi @LovesRemo @NoMoSocialism75 @BigLeague2020 @realDonaldTrump @SykesforSenate @AP4Liberty @POT…</t>
  </si>
  <si>
    <t>@magathemaga1 @NeilStruharik @LovesRemo @NoMoSocialism75 @BigLeague2020 @realDonaldTrump @SykesforSenate @AP4Liberty @POTUS Liberals aren't born, they're made Rod. The battlefield's the mind and unless we get a handle on educating our kids at school and in the home, we'll keep cranking out more David Hoggs and are doomed as a nation.</t>
  </si>
  <si>
    <t>RT @BigLeague2020: @NeilStruharik @joel_capizzi @LovesRemo @magathemaga1 @NoMoSocialism75 @realDonaldTrump @SykesforSenate @AP4Liberty @POT…</t>
  </si>
  <si>
    <t>RT @BigLeague2020: @NeilStruharik @LovesRemo @magathemaga1 @joel_capizzi @NoMoSocialism75 @realDonaldTrump @SykesforSenate @AP4Liberty @POT…</t>
  </si>
  <si>
    <t>RT @joel_capizzi: @LovesRemo @NeilStruharik @magathemaga1 @NoMoSocialism75 @BigLeague2020 @realDonaldTrump @SykesforSenate @AP4Liberty @POT…</t>
  </si>
  <si>
    <t>RT @LovesRemo: @NeilStruharik @magathemaga1 @joel_capizzi @NoMoSocialism75 @BigLeague2020 @realDonaldTrump @SykesforSenate @AP4Liberty @POT…</t>
  </si>
  <si>
    <t>@NeilStruharik @BigLeague2020 @LovesRemo @magathemaga1 @NoMoSocialism75 @realDonaldTrump @SykesforSenate @AP4Liberty @POTUS Not insulted Neil. You're a good guy, just not paying attention.</t>
  </si>
  <si>
    <t>@LovesRemo @NeilStruharik @magathemaga1 @NoMoSocialism75 @BigLeague2020 @realDonaldTrump @SykesforSenate @AP4Liberty @POTUS Let me answer that for him Remo. He's on record as recently as Oct 16, 2017 opposing a border wall saying it's "not very conservative". 
Now you're both being dishonest Neil. 
https://t.co/x1bZYmuVE9</t>
  </si>
  <si>
    <t>@NeilStruharik @LovesRemo @magathemaga1 @NoMoSocialism75 @BigLeague2020 @realDonaldTrump @SykesforSenate @AP4Liberty @POTUS And you accuse ME of using a "straw man" argument Neal? Nobody's talking about Roy Moore any more.</t>
  </si>
  <si>
    <t>@NeilStruharik @LovesRemo @magathemaga1 @NoMoSocialism75 @BigLeague2020 @realDonaldTrump @SykesforSenate @AP4Liberty @POTUS What does that have to do with policy Neil? And you accuse me of using a "straw man" argument? Get real.</t>
  </si>
  <si>
    <t>@NeilStruharik @magathemaga1 @LovesRemo @NoMoSocialism75 @BigLeague2020 @realDonaldTrump @SykesforSenate @AP4Liberty @POTUS Not only is Austin Petersen for open borders, he says closed borders is for commies. https://t.co/m6B727lNPY</t>
  </si>
  <si>
    <t>@Patriot261 @TheListener69 Still looks like a dude to me.</t>
  </si>
  <si>
    <t>RT @joel_capizzi: Siding with eugenicist Planned Parenthood founder Margaret Sanger,Austin Petersen's "although I am Pro-life" position is…</t>
  </si>
  <si>
    <t>RT @vannsmole: Abortion is NOT healthcare because it's not an illness or a disease  ...it's murder in the 1st degree. 
Why '1st degree' ?…</t>
  </si>
  <si>
    <t>RT @RealCandaceO: I am truly honored and humbled by this. I was just a girl on YouTube who had an idea that black people could rise above t…</t>
  </si>
  <si>
    <t>RT @realDonaldTrump: Candace Owens of Turning Point USA is having a big impact on politics in our Country. She represents an ever expanding…</t>
  </si>
  <si>
    <t>RT @johnTwhiteman: @EverleashLLC @joel_capizzi @Da_Trendz @Sandman_HQ @codeofvets @Stump_for_Trump The indictments are just chalk marls on…</t>
  </si>
  <si>
    <t>@TheRealHublife @LovesRemo Big smile</t>
  </si>
  <si>
    <t>RT @TheRealHublife: John McCain: President Trump you're not invited to my funeral!
President Trump: ... https://t.co/6e1DZXupp9</t>
  </si>
  <si>
    <t>RT @joel_capizzi: "Judges send message to Missouri AG Josh Hawley: Do your job".
Cut him some slack judge. Can't you see he's busy with hi…</t>
  </si>
  <si>
    <t>RT @LovesRemo: @NeilStruharik @NoMoSocialism75 @BigLeague2020 @magathemaga1 @realDonaldTrump @SykesforSenate @AP4Liberty @POTUS $400k+ and…</t>
  </si>
  <si>
    <t>RT @joel_capizzi: @NeilStruharik @LovesRemo @NoMoSocialism75 @BigLeague2020 @magathemaga1 @realDonaldTrump @SykesforSenate @AP4Liberty @POT…</t>
  </si>
  <si>
    <t>RT @JoanneTirado09: @Chicago1Ray Best Presidents ever REAGAN AND TRUMP...🇺🇸🇺🇸
Worst Presidents ever Clinton and Obama✔✔ https://t.co/MBbqQ…</t>
  </si>
  <si>
    <t>RT @magathemaga1: Can somebody ask Maria what she meant by her tweet:
"Scott Faughn-Tilley-Parson-Republic Services-Exelon connection"
Is…</t>
  </si>
  <si>
    <t>RT @JosephJFlynn1: Happy 37th Anniversary to @GenFlynn and Lori, you are both a huge inspiration to all of us about true love and sticking…</t>
  </si>
  <si>
    <t>RT @favoriteauntssi: DO IT!
Trump Blasts "Always Negative" 'Fake News', Threatens To Remove Credentials | Zero Hedge https://t.co/zOhynm9N…</t>
  </si>
  <si>
    <t>RT @8richard6: Think Obama hates Trump, just wait till 2019 &amp;amp; watch Rubio with the Bush’s backing! Slick Snake https://t.co/FYWFeNb9hl</t>
  </si>
  <si>
    <t>@NeilStruharik @LovesRemo @NoMoSocialism75 @BigLeague2020 @magathemaga1 @realDonaldTrump @SykesforSenate @AP4Liberty @POTUS Neil's for open borders.</t>
  </si>
  <si>
    <t>RT @Nov2018election: ORDER YOUR ANTONIO SABATO JR MERCHANDISE TODAY!! https://t.co/AfKNgdIa6e A GREAT WAY TO CONTRIBUTE TO HIS CAMPAIGN🇺🇸 #…</t>
  </si>
  <si>
    <t>RT @Nov2018election: #SABATO4CONGRESS https://t.co/s0JaQUP1Zf</t>
  </si>
  <si>
    <t>RT @Nov2018election: #SABATO4CONGRESS https://t.co/TDOj3Ag693</t>
  </si>
  <si>
    <t>RT @Da_Trendz: @EverleashLLC @johnTwhiteman @joel_capizzi @Sandman_HQ @codeofvets @Stump_for_Trump We will just have to agree to disagree.…</t>
  </si>
  <si>
    <t>RT @BigLeague2020: @Shawtypepelina @Monetti4Senate @SykesforSenate @ChanelRion SYKES FOR SENATE
THE REAL MAGA CONSERVATIVE
#MOSEN #MISSOU…</t>
  </si>
  <si>
    <t>@Shawtypepelina @Monetti4Senate @SykesforSenate @ChanelRion Pull yourself together Tony.</t>
  </si>
  <si>
    <t>@windh1 @JDugudichi @2cowboys4u @ACatholicKnight @RacySicilian @The_PC_Jab @USA_Patri0t @FiestaDaysRodeo @JuliaGarza10 @mark60c @pamelaval @H_Hawks16 @Peach3462 @losangeles1961 @KingKaiser201 @graceisnotgiven @DGHallow @Dekedog @PatriotArmy50 @robmay_1969 Still blocked by: https://t.co/YXllMDcuj1</t>
  </si>
  <si>
    <t>@Shawtypepelina Most welcome Shawty.</t>
  </si>
  <si>
    <t>@Da_Trendz @EverleashLLC @johnTwhiteman @Sandman_HQ @codeofvets @Stump_for_Trump Among others. Not happy with Sessions.</t>
  </si>
  <si>
    <t>RT @Da_Trendz: @EverleashLLC @johnTwhiteman @joel_capizzi @Sandman_HQ @codeofvets @Stump_for_Trump I have been skeptical/critic of Hannity…</t>
  </si>
  <si>
    <t>@Shawtypepelina Congrats on 17K Shawty and thanks for insightful tweets on behalf of MAGA! https://t.co/FNvobMtc6u</t>
  </si>
  <si>
    <t>RT @Scottforpa: WLBR 1270 Lebanon Broadcasting Company hosting the Candidates Debate tonight. Team Uehlinger out in full force! I will not…</t>
  </si>
  <si>
    <t>RT @Nov2018election: @Scottforpa PA SCOTT UEHLINGER FOR CONGRESS #PA09 #PA9 #PAGOP https://t.co/9usYFySjHY</t>
  </si>
  <si>
    <t>@Shawtypepelina @zuma02 @SKOLBLUE1 Thanks Shawty. 👊</t>
  </si>
  <si>
    <t>RT @EvOConnor15: Does anyone else take immense satisfaction knowing Alyssa has been triggered since her bestie Hills lost &amp;amp; will never be P…</t>
  </si>
  <si>
    <t>RT @joel_capizzi: @rocksiphone @SykesforSenate @HawleyMO @SenateMajLdr For sure. Don't be stuck with him for 6 long swampy years Missouri.…</t>
  </si>
  <si>
    <t>I voted for this. Promise kept.
https://t.co/DGdIaEYYSp</t>
  </si>
  <si>
    <t>RT @girl4_trump: #JohnMcCain your legacy will be Disgrace. This will be how you're remembered. Hatefilled to the bitter end. 
#SadOldMan #P…</t>
  </si>
  <si>
    <t>RT @andersonsc78: @joel_capizzi @HDowning113 American's want a tall wall built n we want people who love USA, end chain migration, end catc…</t>
  </si>
  <si>
    <t>RT @joel_capizzi: AP4 calling Trump a "socialist" not campaign rhetoric. He meant it then and he means it now. https://t.co/5PRk72D4nW</t>
  </si>
  <si>
    <t>Well, whaddaya know. https://t.co/Xg9EdpCQfv</t>
  </si>
  <si>
    <t>Feminists and Dems should put their gender politics' money where their mouths are and support Haskell solely because she's a woman.
https://t.co/OnY0FRAucf</t>
  </si>
  <si>
    <t>RT @slimjhc: @joel_capizzi Seems AP4 is an ass. America isn’t for closed borders but for LEGAL IMMIGRATION. Every country has borders and c…</t>
  </si>
  <si>
    <t>Leave it laying around Tom, no one will steal it.
https://t.co/9a6UoQLkQY</t>
  </si>
  <si>
    <t>Never? 
#NeverTrump is like saying #NeverGeorgeWashington.
Both happened.
#NeverHillary or #NeverWalterMondale make more sense. 
Neither did.</t>
  </si>
  <si>
    <t>@mijoda3 @RealDrGina @Alyssa_Milano What about you? Do you want to abolish the 2nd Amendment? I'll wait.</t>
  </si>
  <si>
    <t>AP4 calling Trump a "socialist" not campaign rhetoric. He meant it then and he means it now. https://t.co/5PRk72D4nW</t>
  </si>
  <si>
    <t>RT @EOLeinberger: Rino two faced snake! https://t.co/BYfYINer4K</t>
  </si>
  <si>
    <t>RT @daisydorie: @joel_capizzi @BigLeague2020 We have a real conservative. More people are finding Peterson a flip flop. #MOSen https://t.co…</t>
  </si>
  <si>
    <t>RT @SykesforSenate: There's no substitute for being on the ground. This is how we're winning. #EVERYDAY #MOSen #MAGA https://t.co/eS9priail0</t>
  </si>
  <si>
    <t>RT @dr_palazzolo: @pjbowles4 @startpackin @RARRRRR @terrybailey568 @Americanvet1219 @ronaldauman @retireleo @suprdupe @1badveteran @usmc_ar…</t>
  </si>
  <si>
    <t>RT @joel_capizzi: @SykesforSenate 
#BuildTheWall 
#AmericaFirst 
#MAGA https://t.co/GusBc0ITOg</t>
  </si>
  <si>
    <t>@ouchinagirl @CraigAr64 @KB4America @RedPilledinNY @Sequencer16 @LisaTomain @MartinB45719553 @JcDeplorable @mike4354 @LekkerLie @jason_kassin @mtenorio77 @bronxhoops2033 @KidsNeedJustice @Tracy_S_Webster Who Jenny?</t>
  </si>
  <si>
    <t>RT @MsAvaArmstrong: You’re not a racist if you want to build a wall and want immigration laws enforced.
In my book, that makes you a patri…</t>
  </si>
  <si>
    <t>"Judges send message to Missouri AG Josh Hawley: Do your job".
Cut him some slack judge. Can't you see he's busy with his witch hunt against Gov Greitens, sucking up to the GOP establishment for cheddar and working out at the gym?
https://t.co/eHmzurXiUu</t>
  </si>
  <si>
    <t>RT @AngelLight2U: WTH??
There are currently 25 states that ALLOW children of ANY age to get married???
What kind of insanity is this?
Thi…</t>
  </si>
  <si>
    <t>@SykesforSenate 
#BuildTheWall 
#AmericaFirst 
#MAGA https://t.co/GusBc0ITOg</t>
  </si>
  <si>
    <t>AP4 insists his "conversion" from never-Trumper to MAGA candidate is real while maintaining his opposition to a border wall. 
"Trump’s goal of a massive wall along the U.S.-Mexico border...that doesn’t sound very conservative to me.”
https://t.co/xbGD150RG6</t>
  </si>
  <si>
    <t>RT @RealCandaceO: Black lives have never mattered. Black votes always have.</t>
  </si>
  <si>
    <t>RT @magathemaga1: FYI #GreitensCriminalCase
This is a complete and total witch hunt!
@RealTravisCook 
@Eric_Schmitt 
@MOHouseGOP 
@Missou…</t>
  </si>
  <si>
    <t>@FernBrackens @marybell922 @PIRATEDANTRAIN @deanbc1 @13231amo @cheneysmiles68 @Fear_Less_baby @fouchelauren @fugginflorida @jaywilliams9 @jcguppy @Jeh57John @jschneiter @judithMx @KrajacicJodi @lisamwagner1 @MarciaD97650789 @pinkie467 @provost_john @ricka057 @SamGCHQ @SOttenbacher @TEbergie @jimlibertarian @garmac63 @bbusa617 @GmanFan45 @BlueSea1964 @TruthMaga @tapp_cheryl @ArizonaKayte You're welcome.</t>
  </si>
  <si>
    <t>RT @joel_capizzi: And now... https://t.co/pWd1qPohUm</t>
  </si>
  <si>
    <t>RT @joel_capizzi: Tracking women's progress...
Then. https://t.co/4i2QQULhzZ</t>
  </si>
  <si>
    <t>And now... https://t.co/pWd1qPohUm</t>
  </si>
  <si>
    <t>Tracking women's progress...
Then. https://t.co/4i2QQULhzZ</t>
  </si>
  <si>
    <t>RT @BigLeague2020: 🇺🇸SYKES FOR SENATE🇺🇸
BOLD♦️CONSERVATIVE♦️VETERAN
AMERICA FIRST🇺🇸BUILD THAT WALL🇺🇸FREEDOMS
♦️GO BOLD #MISSOURI♦️
🇺🇸SU…</t>
  </si>
  <si>
    <t>@RealEagleWings @michellemalkin Aka CARP.
https://t.co/ukYDTi1zgN</t>
  </si>
  <si>
    <t>RT @RealEagleWings: .@michellemalkin
🦀 Crab in the Bucket Syndrome 🦀 
Perfect metaphor for identity politics Can’t stand a free thinker tha…</t>
  </si>
  <si>
    <t>RT @NewDayForNJ: I’m the only US Senate Candidate in NJ who will demand an end to this witch hunt.  Reagan appointee Judge Ellison slams Mu…</t>
  </si>
  <si>
    <t>RT @gaye_gallops: TOO TOUGH ON TERROR...DEMS SCREAM!Gina Haspel  was at a covert detention site in Thailand where WATERBOARDING was perform…</t>
  </si>
  <si>
    <t>@marybell922 @PIRATEDANTRAIN @deanbc1 @13231amo @cheneysmiles68 @Fear_Less_baby @fouchelauren @fugginflorida @jaywilliams9 @jcguppy @Jeh57John @jschneiter @judithMx @KrajacicJodi @lisamwagner1 @MarciaD97650789 @pinkie467 @provost_john @ricka057 @SamGCHQ @SOttenbacher @TEbergie @jimlibertarian @garmac63 @bbusa617 @GmanFan45 @BlueSea1964 @FernBrackens @TruthMaga @tapp_cheryl @ArizonaKayte No Mary. 🚫 https://t.co/YdyU9fKlHc</t>
  </si>
  <si>
    <t>RT @NewDayForNJ: Let’s continue this historic voting momentum with a 2018 mid term that sends a #MAGA wave across our Country from sea to s…</t>
  </si>
  <si>
    <t>RT @PatriotBorn: @GovMikeHuckabee 🇺🇸Governor Huckabee American Patriots Love ❤️ and stand with you and your amazing, beautiful, eloquent, d…</t>
  </si>
  <si>
    <t>RT @GovMikeHuckabee: A recent poll found that while young voters still lean heavily toward the Democrats (nice work biased media and leftis…</t>
  </si>
  <si>
    <t>RT @bstevewhite: At some point @TGowdySC decided he no longer wanted to advocate for those who elected him. Instead he wants to be neutral…</t>
  </si>
  <si>
    <t>RT @DanitaEwing5: @joel_capizzi @AvrilMai91 @RepublicanPeter @AP4Liberty @realDonaldTrump NOT AP!!! Not here!!!!</t>
  </si>
  <si>
    <t>RT @BigLeague2020: @daisydorie @joel_capizzi @WeirdUncleTed_ @Nov2018election @SykesforSenate @Varneyco @foxandfriends @seanhannity “Make s…</t>
  </si>
  <si>
    <t>@WeirdUncleTed_ @Nov2018election @SykesforSenate @Varneyco @foxandfriends @seanhannity Personal preference. https://t.co/JWl1YNZl9R</t>
  </si>
  <si>
    <t>RT @HDowning113: @Nov2018election @SykesforSenate @Varneyco @foxandfriends @seanhannity Weird</t>
  </si>
  <si>
    <t>RT @BigLeague2020: @WeirdUncleTed_ @Nov2018election @SykesforSenate @Varneyco @foxandfriends @seanhannity Instead of wanting to change it;…</t>
  </si>
  <si>
    <t>RT @Nov2018election: FOX MEET COURTLAND SYKES @SykesforSenate MISSOURI’S CONSERVATIVE CHOICE #MOSEN #MOGOP #MOPOL #MOPOLITICS @Varneyco @fo…</t>
  </si>
  <si>
    <t>RT @Nov2018election: 🇺🇸FOX THIS TWEET’S FOR YOU! MISSOURI’S CONSERVATIVE BOLD SENATE CANDIDATE IS VETERAN COURTLAND SYKES @SykesforSenate #…</t>
  </si>
  <si>
    <t>RT @joel_capizzi: @ouchinagirl @GirlFreedom Creating basket cases instead of self-sufficient adults is how Dems expand their base.</t>
  </si>
  <si>
    <t>@ericamerovich @JoanneTirado09 @thedude132aur @OccupyBawlStree @Mmarty1230 @SaraCarterDC @DevinNunes Gowdy knows what side his political bread is buttered on, endorsed Trump when his guy lost. I was shocked and very disappointed when he endorsed Rubio instead of Trump. Spoke volumes.</t>
  </si>
  <si>
    <t>RT @ericamerovich: @joel_capizzi @JoanneTirado09 @thedude132aur @OccupyBawlStree @Mmarty1230 @SaraCarterDC @DevinNunes Gowdy has always bee…</t>
  </si>
  <si>
    <t>@BigLeague2020 @trthseeker549 @Nov2018election @POTUS @realDonaldTrump You want info about MO race and the candidates? Team Sykes is your one stop resource. No bluster, no fake news, no kidding. 
Sykes served his country while Hawley shuffled college papers and AP4 was listing in his lonely hearts club.
Go figure.
@SykesforSenate 
#MAGA https://t.co/VRiwoUGSQj</t>
  </si>
  <si>
    <t>@solentgreenis Entertainment with a twist. 👍</t>
  </si>
  <si>
    <t>RT @marklevinshow: The disastrous Iran deal; kill it https://t.co/l7A0ZxmfJt</t>
  </si>
  <si>
    <t>@CraigAr64 @AmericaHasBalls @EvOConnor15 @DIDNOTVOTE4HIM @jason_kassin @ouchinagirl @bdclq @Sequencer16 @LisaTomain @RedPilledinNY @inscnc @PrincessDebate @solentgreenis @USAHotLips @rocksiphone @831mylabs @mike4354 @mr65gibson @JoanneTirado09 @mtenorio77 Tweet of the day Craig. Good one. 😅</t>
  </si>
  <si>
    <t>RT @CraigAr64: @AmericaHasBalls @EvOConnor15 @DIDNOTVOTE4HIM @jason_kassin @ouchinagirl @bdclq @Sequencer16 @LisaTomain @RedPilledinNY @ins…</t>
  </si>
  <si>
    <t>RT @Nov2018election: @trthseeker549 @BigLeague2020 @joel_capizzi Here are all the 2018 Midterm Senate candidates for Missouri 🇺🇸 Please Vot…</t>
  </si>
  <si>
    <t>@mduke2k @mitchellvii Trump will never testify under oath.</t>
  </si>
  <si>
    <t>RT @HDowning113: @Nov2018election @TracyJordan4GA That is TRACY JORDAN 
OF GEORGIA FOR 
INS. COMMISSIONER
VOTE TRACY
        VOTE TRACY…</t>
  </si>
  <si>
    <t>RT @mduke2k: @mitchellvii Or if he testifies! Get one date wrong, you lied to the federal government and you're screwed! I'm on the Trump t…</t>
  </si>
  <si>
    <t>RT @Nov2018election: @parscale @realDonaldTrump 🔴GEORGIA TRACY JORDAN FOR GA INSURANCE COMMISSIONER @TracyJordan4GA #GAGOP #GAPOL #GA #JORD…</t>
  </si>
  <si>
    <t>RT @BigLeague2020: @trthseeker549 @Nov2018election @joel_capizzi 🇺🇸Mighty MO🇺🇸</t>
  </si>
  <si>
    <t>@KidsNeedJustice @AmericaHasBalls @CraigAr64 @EvOConnor15 @DIDNOTVOTE4HIM @jason_kassin @ouchinagirl @bdclq @Sequencer16 @LisaTomain @RedPilledinNY @inscnc @PrincessDebate @solentgreenis @USAHotLips @rocksiphone @831mylabs @mike4354 @mr65gibson @JoanneTirado09 @mtenorio77 Busted: good investigative reporting.</t>
  </si>
  <si>
    <t>RT @KidsNeedJustice: @AmericaHasBalls @CraigAr64 @EvOConnor15 @DIDNOTVOTE4HIM @jason_kassin @ouchinagirl @bdclq @Sequencer16 @LisaTomain @R…</t>
  </si>
  <si>
    <t>RT @joel_capizzi: @JW1057 @HotPokerPrinces @SykesforSenate @HawleyMO @stlcao Corrupt cloistered college "Yalie" Hawley wouldn't know a scru…</t>
  </si>
  <si>
    <t>RT @BigLeague2020: @trthseeker549 @joel_capizzi @Nov2018election @POTUS @realDonaldTrump Yes. 
“We are the Mighty MO.” ~ Courtland Sykes…</t>
  </si>
  <si>
    <t>RT @BigLeague2020: @trthseeker549 @joel_capizzi @Nov2018election @POTUS @realDonaldTrump Here is the link to sign up for the weekly updates…</t>
  </si>
  <si>
    <t>@JW1057 @HotPokerPrinces @SykesforSenate @HawleyMO @stlcao Corrupt cloistered college "Yalie" Hawley wouldn't know a scruple if he bumped into one in a 2 X 4 closet, whereas Navy veteran @SykesforSenate served his country honorably and wishes to continue to do so. https://t.co/goNVLzJcsD</t>
  </si>
  <si>
    <t>RT @JW1057: @joel_capizzi @HotPokerPrinces @SykesforSenate Poor little LadderBoy, @HawleyMO, decided to climb into bed with the corrupt @st…</t>
  </si>
  <si>
    <t>@ouchinagirl @GirlFreedom Creating basket cases instead of self-sufficient adults is how Dems expand their base.</t>
  </si>
  <si>
    <t>RT @ouchinagirl: @GirlFreedom Agree, When America’s children #CantTellTime nor count back change but are herded toward LEFT activismprotect…</t>
  </si>
  <si>
    <t>RT @joel_capizzi: @thedude132aur @OccupyBawlStree @Mmarty1230 @SaraCarterDC @DevinNunes Gowdy to Trump: "IF you're innocent act like it".…</t>
  </si>
  <si>
    <t>RT @trthseeker549: @BigLeague2020 @joel_capizzi @Nov2018election @POTUS @realDonaldTrump In MO</t>
  </si>
  <si>
    <t>RT @Sundncefn: @joel_capizzi @thedude132aur @OccupyBawlStree @Mmarty1230 @SaraCarterDC @DevinNunes Yeah, I used to like Trey, but over the…</t>
  </si>
  <si>
    <t>RT @joel_capizzi: @HotPokerPrinces Greitens takedown is another "rung" on Hawley's political ladder.
@SykesforSenate https://t.co/7eeZU0NM…</t>
  </si>
  <si>
    <t>RT @trthseeker549: @BigLeague2020 @joel_capizzi @Nov2018election @POTUS @realDonaldTrump for MO Sykes for MO!</t>
  </si>
  <si>
    <t>@HotPokerPrinces Greitens takedown is another "rung" on Hawley's political ladder.
@SykesforSenate https://t.co/7eeZU0NMBF</t>
  </si>
  <si>
    <t>RT @HotPokerPrinces: THE NAKED TRUTH THE MEDIA REFUSES TO TELL YOU
KS testified in her deposition n June 2015 she used FaceTime with greit…</t>
  </si>
  <si>
    <t>@thedude132aur @OccupyBawlStree @Mmarty1230 @SaraCarterDC @DevinNunes Gowdy to Trump: "IF you're innocent act like it". 
Recall also he was a Rubio acolyte during the campaign. 
Good prosecutor, but  swamp whereas Giuliani is Trump's trusted ally.
#RicoRudyForAG  
https://t.co/kHyS9MXIjG</t>
  </si>
  <si>
    <t>RT @thedude132aur: @OccupyBawlStree @Mmarty1230 @SaraCarterDC @DevinNunes He finally came to the “realization” that America does INDEED nee…</t>
  </si>
  <si>
    <t>RT @SaraCarterDC: .@DevinNunes sent classified letter to AG Sessons asking for info/ AG Sessions DOJ ignored—-Move forward with contempt re…</t>
  </si>
  <si>
    <t>RT @Nov2018election: @trthseeker549 @BigLeague2020 @joel_capizzi Ballotpedia gives you ALL candidates</t>
  </si>
  <si>
    <t>RT @slimjhc: @joel_capizzi He should enter Mexico illegally and see how fast he’ll get locked up with s cattle prod in his ass. They enforc…</t>
  </si>
  <si>
    <t>@AvrilMai91 @HawleyMO @AP4Liberty @Steffi_Cole @GOP AP4 expresses his own "fear of talking to others" by indiscriminately blocking them.</t>
  </si>
  <si>
    <t>RT @LovesRemo: @AvrilMai91 @FN4AP @HawleyMO @AP4Liberty @Steffi_Cole @GOP Can you help AP answer questions about this? https://t.co/TEf1MPM…</t>
  </si>
  <si>
    <t>@13231amo @PIRATEDANTRAIN @cheneysmiles68 @Fear_Less_baby @fouchelauren @fugginflorida @jaywilliams9 @jcguppy @Jeh57John @jschneiter @judithMx @KrajacicJodi @lisamwagner1 @MarciaD97650789 @pinkie467 @provost_john @ricka057 @SamGCHQ @SOttenbacher @TEbergie @jimlibertarian @garmac63 @bbusa617 @GmanFan45 @BlueSea1964 @FernBrackens @TruthMaga @tapp_cheryl @ArizonaKayte No worries, just whenever.</t>
  </si>
  <si>
    <t>RT @SaRaAshcraft: "BIDEN / CHINA.
BIG DEVELOPMENT.
TRAITORS EVERYWHERE.
AMERICA FOR SALE"
Post 953
Mar 17 2018 14:03:41 (EST)
"Follow the…</t>
  </si>
  <si>
    <t>RT @SaRaAshcraft: "CONFIRMED.
https://t.co/cuaRLmosxh
Why did HUSSEIN travel ahead of POTUS?
"Trump would not be in office for long, sugges…</t>
  </si>
  <si>
    <t>RT @SaRaAshcraft: YESSSS! THIS 👇👇👇💜🙏🚨 Where we go ONE we go ALL. 
#TheGreatAwakening #WeThePeople #WWG1WGA #MAGA #TheSTorm @POTUS #HivitesG…</t>
  </si>
  <si>
    <t>RT @joel_capizzi: @atensnut This one must go viral.</t>
  </si>
  <si>
    <t>RT @joel_capizzi: @atensnut The Clintons must be exposed. Thank you for your bravery and God bless you.</t>
  </si>
  <si>
    <t>RT @atensnut: I was 35 years old when Bill Clinton, Ark. Attorney General raped me and Hillary tried to silence me.  I am now 73....it neve…</t>
  </si>
  <si>
    <t>RT @SaRaAshcraft: I was only 8 when I encountered Hillary as part of an occult ritual abuse event. I'm now 36. It never goes away. As a fel…</t>
  </si>
  <si>
    <t>RT @Nov2018election: @joel_capizzi @AvrilMai91 @RepublicanPeter @AP4Liberty @realDonaldTrump Might want to read his https://t.co/zrc6l7aURd…</t>
  </si>
  <si>
    <t>RT @RonPaulWasOn: @On_The_Hook @MNoblitt  https://t.co/W0UGTybczk</t>
  </si>
  <si>
    <t>RT @Nov2018election: @joel_capizzi @AvrilMai91 @RepublicanPeter @AP4Liberty @realDonaldTrump Missouri Meet the real Austin Petersen! https:…</t>
  </si>
  <si>
    <t>RT @Nov2018election: @Hope4Hopeless1 @On_The_Hook @AP4Liberty OMG!!! https://t.co/mbmLJxNMNK</t>
  </si>
  <si>
    <t>RT @Nov2018election: @joel_capizzi @AvrilMai91 @RepublicanPeter @AP4Liberty @realDonaldTrump Nope. He’s doesn’t represent you!! Here’s the…</t>
  </si>
  <si>
    <t>@AvrilMai91 @RepublicanPeter @AP4Liberty @realDonaldTrump I'll tell you exactly what he stands for: open borders and illegal immigration for starters. This is my country you're talking about and as far as I'm concerned if you support AP4, you are NOT the same kind of American I am. Block me. 🚫🚫🚫</t>
  </si>
  <si>
    <t>RT @Nov2018election: @RepublicanPeter @AP4Liberty @realDonaldTrump https://t.co/DTbexZRlIu</t>
  </si>
  <si>
    <t>RT @Nov2018election: @RepublicanPeter @AP4Liberty @realDonaldTrump https://t.co/KmYXcRMoLY</t>
  </si>
  <si>
    <t>RT @Nov2018election: @RepublicanPeter @AP4Liberty @realDonaldTrump https://t.co/qm3zpdKPgC</t>
  </si>
  <si>
    <t>RT @Nov2018election: @RepublicanPeter @AP4Liberty @realDonaldTrump https://t.co/fZWyFwh1IS</t>
  </si>
  <si>
    <t>RT @Nov2018election: @RepublicanPeter @AP4Liberty @realDonaldTrump https://t.co/CbT1WfPUuu</t>
  </si>
  <si>
    <t>RT @Nov2018election: @RepublicanPeter @AP4Liberty @realDonaldTrump https://t.co/P56OVaasvt</t>
  </si>
  <si>
    <t>RT @Nov2018election: @RepublicanPeter @AP4Liberty @realDonaldTrump https://t.co/sb4VQBhGJf</t>
  </si>
  <si>
    <t>RT @EvOConnor15: @CraigAr64 @TrumpsTrucker @inscnc @Sequencer16 @AmericaHasBalls @DIDNOTVOTE4HIM @jason_kassin @ouchinagirl @bdclq @LisaTom…</t>
  </si>
  <si>
    <t>RT @CraigAr64: @TrumpsTrucker @inscnc @Sequencer16 @AmericaHasBalls @EvOConnor15 @DIDNOTVOTE4HIM @jason_kassin @ouchinagirl @bdclq @LisaTom…</t>
  </si>
  <si>
    <t>RT @TrumpsTrucker: @mtenorio77 @CraigAr64 @inscnc @Sequencer16 @AmericaHasBalls @EvOConnor15 @DIDNOTVOTE4HIM @jason_kassin @ouchinagirl @bd…</t>
  </si>
  <si>
    <t>@ThinBlueLR Shep.</t>
  </si>
  <si>
    <t>RT @ThinBlueLR: Someone buy insufferable asshat Chris Wallace a pussy hat. 
And an extra one for Juan.</t>
  </si>
  <si>
    <t>RT @jamestrumpster1: @joel_capizzi RINO Fool https://t.co/jgzPBV5uie</t>
  </si>
  <si>
    <t>When he's not climbing ladders or at the gym, he practices his "sidesteppin" moves.
👇👇👇👇 https://t.co/Pl1HxzyMMA</t>
  </si>
  <si>
    <t>RT @joel_capizzi: “The political class doesn’t even pretend to listen." Josh Hawley.
And you do? How can he say that when he's Swamp King…</t>
  </si>
  <si>
    <t>@fmaxjtc #WhoreMe Stormy. Go away slut.</t>
  </si>
  <si>
    <t>RT @fmaxjtc: Fox news turn off the Stormy Daniels Schtick or I turn you off. I am so sick of this name and the nothing news.....</t>
  </si>
  <si>
    <t>@girl4_trump @poconomtn @TruthMaga @TestyTarheel @DeplorablAnnJoy @hickorymtnman @jenn_027 @Imabitc35666572 @SuzaSusza @Real_PeachyKeen @AnthemRespect People were tortured and died in the Hanoi Hilton because of Songbird McCain. Zero sympathy, will be glad when he's gone and good riddance.</t>
  </si>
  <si>
    <t>RT @girl4_trump: Yea it’s a little crude, but F*@k it, it’s funny. 🤣🤣🤣🤣
#McCainFuneral https://t.co/DMqntWg1H6</t>
  </si>
  <si>
    <t>RT @DeniseAnn410: @joel_capizzi Anything is allowed if you’re a liberal, including these repugnant categories.</t>
  </si>
  <si>
    <t>@ThinBlueLR Don't be.</t>
  </si>
  <si>
    <t>RT @ThinBlueLR: I despise Chris Wallace. 
Sorry.</t>
  </si>
  <si>
    <t>@magathemaga1 @EricGreitens @mikeparson If Greitens goes down, let's ensure he takes AG Josh "ladder-boy" Hawley down with him. At the very LEAST do NOT reward him with a seat in the US Senate.
Vote @SykesforSenate.
Honesty 
Integrity
Respect for the rule of law. 
#MAGA 
#DrainTheSwamp https://t.co/S3ZynZzO4t</t>
  </si>
  <si>
    <t>RT @magathemaga1: 🚨 POLL TIME 🚨 
Good evening #MoLeg #MoGov
In the event that @EricGreitens resigns or is impeached over this witch hunt…</t>
  </si>
  <si>
    <t>@solentgreenis @Rosie It will always age well.</t>
  </si>
  <si>
    <t>RT @solentgreenis: The first @rosie movie i made.......The last of our Rosathon......Who you gonna call? https://t.co/nQqUAMXYNE</t>
  </si>
  <si>
    <t>RT @rocksiphone: @ouchinagirl @RoseColoredMaga @LisaTomain @LisaDaugh1 @Sequencer16 @AmericaHasBalls @EvOConnor15 @DIDNOTVOTE4HIM @jason_ka…</t>
  </si>
  <si>
    <t>@SykesforSenate  https://t.co/mgLAvWr2wA</t>
  </si>
  <si>
    <t>RT @SykesforSenate: More support pouring in from Webster County! Thank you for having us. #MOSEN #MAGA https://t.co/cZT0aEwzW0</t>
  </si>
  <si>
    <t>Twitter's rules do not include categories for adult or graphic content, porn, bestiality or pedophilia. Everything but. Deliberate? https://t.co/R1GknQcfOE</t>
  </si>
  <si>
    <t>RT @rocksiphone: @TrumpsTrucker @AmericaHasBalls @EvOConnor15 @DIDNOTVOTE4HIM @jason_kassin @ouchinagirl @bdclq @Sequencer16 @LisaTomain @R…</t>
  </si>
  <si>
    <t>RT @SometimesYouDie: #MeToo https://t.co/J9ybLNO1V1</t>
  </si>
  <si>
    <t>RT @DeploreableDoc: Rosenstein is the Chief Hypocrite!  #Farce  #ShutItDown  #FireMueller  #QAnon  #TrumpTrain https://t.co/8EAiFAgUeG</t>
  </si>
  <si>
    <t>ICYMI:
#RudyForAG
#DrainTheSwamp
#MAGA
https://t.co/TwtaO000RX</t>
  </si>
  <si>
    <t>RT @BigLeague2020: @anon_10 @Nov2018election @NoMoSocialism75 @magathemaga1 @realDonaldTrump @SykesforSenate @AP4Liberty @POTUS Thank you v…</t>
  </si>
  <si>
    <t>RT @anon_10: @BigLeague2020 @Nov2018election @NoMoSocialism75 @magathemaga1 @realDonaldTrump @SykesforSenate @AP4Liberty @POTUS Voting for…</t>
  </si>
  <si>
    <t>RT @BigLeague2020: @NoMoSocialism75 @magathemaga1 @realDonaldTrump @SykesforSenate @AP4Liberty @POTUS Activism❓
The perfect setting for po…</t>
  </si>
  <si>
    <t>RT @BigLeague2020: @X1Titan @LovesRemo @NoMoSocialism75 @magathemaga1 @realDonaldTrump @SykesforSenate @AP4Liberty @POTUS AP has referred t…</t>
  </si>
  <si>
    <t>RT @X1Titan: @BigLeague2020 @LovesRemo @NoMoSocialism75 @magathemaga1 @realDonaldTrump @SykesforSenate @AP4Liberty @POTUS He doesn't think…</t>
  </si>
  <si>
    <t>RT @BigLeague2020: @NoMoSocialism75 @magathemaga1 @realDonaldTrump @SykesforSenate @AP4Liberty "If Donald Trump wins the nomination we shou…</t>
  </si>
  <si>
    <t>RT @BigLeague2020: @magathemaga1 @realDonaldTrump “If your actions inspire others to dream more, learn more, do more and become more, you a…</t>
  </si>
  <si>
    <t>RT @Nov2018election: Please donate directly to the candidate on their website!!! Thank you.</t>
  </si>
  <si>
    <t>RT @Nov2018election: PRIMARY DATES https://t.co/Fu2oMpfPlT</t>
  </si>
  <si>
    <t>RT @Nov2018election: 💰PLEASE DONATE TO OUR MIDTERM CANDIDATES TODAY💰 THEY NEED US TO HELP FUND THEIR CAMPAIGNS❤️🇺🇸❤️ MIDTERM PRIMARIES HAVE…</t>
  </si>
  <si>
    <t>RT @thepatriotusa_1: #ShepIsResistance                     https://t.co/DpHAdjVjqF https://t.co/l2r7EY43EG</t>
  </si>
  <si>
    <t>RT @LisaDaugh1: @pjbowles4 @TheeAndroidRulz Thank you all branches, for your service to our great nation! We are forever grateful 🇺🇸😘ooh-Ra…</t>
  </si>
  <si>
    <t>RT @Nov2018election: @joel_capizzi We need to drain that swamp so we can...VOTE🔽🔽🔽 https://t.co/LLBU3Fl8d0</t>
  </si>
  <si>
    <t>RT @joel_capizzi: Alveda King, niece of Dr Martin Luther King:
"President Trump is not a racist"
"Haiti and Africa are hell holes". In ot…</t>
  </si>
  <si>
    <t>RT @RealCandaceO: White people make up over 63% of America. If this country was fundamentally racist, Obama could NOT have served two terms…</t>
  </si>
  <si>
    <t>RT @barringerbits: Love you Candace, keep up the great work!
@realDonaldTrump 
@RedAlert 
@BreitbartNews 
@DRUDGE 
@SavageNation 
@RealAlex…</t>
  </si>
  <si>
    <t>RT @ARedPillReport: WATCH: GOP Rep Calls Mueller, Rosenstein ‘Sadistic Voyeurs That Ought to Be Punished’ https://t.co/fAKkH97Us8</t>
  </si>
  <si>
    <t>Senate rules obstruct MAGA, unlikely to change before election. Cast your vote, drain the swamp and let's get this show on the road.
#DrainTheSwamp
#MAGA
#MAGA2018 
https://t.co/IuIuVRq71l</t>
  </si>
  <si>
    <t>RT @LibberTea: Special Counsel Tells Federal Court Rosenstein Investigative Scope Was Detailed in Super-Secret Verbal Instructions...
Time…</t>
  </si>
  <si>
    <t>RT @joel_capizzi: St Louis Circuit Atty Kim Gardner Greitens witch hunt grossly Illegal and @AGJoshHawley is in up to his eyeballs.
No pla…</t>
  </si>
  <si>
    <t>RT @joel_capizzi: Fox is CNN Lite.
#ShepIsResistance 
#MarieHarfIsResistance
#JuanWilliamsIsResistance 
#JessicaTarlovIsResistance 
https…</t>
  </si>
  <si>
    <t>RT @MorMor65596702: @DeplorableKel2 @newtgingrich @JoinTravisAllen @AllenVolunteers Please spread the word. Across the country Newt is endo…</t>
  </si>
  <si>
    <t>RT @desertratjean: @DeplorableKel2 @newtgingrich @JoinTravisAllen @AllenVolunteers The majority of Californian's will be voting for @JoinTr…</t>
  </si>
  <si>
    <t>RT @DeplorableKel2: @newtgingrich Californians want @JoinTravisAllen as our next Governor! NOT John Cox! Please withdraw your endorsement &amp;amp;…</t>
  </si>
  <si>
    <t>RT @rsultzba: Newt, we in California strongly disagree with loser Cox. Please reevaluate &amp;amp; look at Travis Allen. The guy is a fighter like…</t>
  </si>
  <si>
    <t>RT @youlosenordys: @rsultzba Hey @newtgingrich... we don’t want any more #RINOs in office!  We are trying to #DrainTheSwamp. Your boy #Neve…</t>
  </si>
  <si>
    <t>@carolmuth1967 No hysteria. Just facts.</t>
  </si>
  <si>
    <t>St Louis Circuit Atty Kim Gardner Greitens witch hunt grossly Illegal and @AGJoshHawley is in up to his eyeballs.
No plausible deniability @AGJoshHawley. If you didn't know then you know now. 
https://t.co/upGgnL7xwT</t>
  </si>
  <si>
    <t>RT @1Romans58: YES! Do IT!  Do it NOW!  LOCK HIM UP! 
House Intel Committee Chairman Nunes: "Send in the G-Men" to Arrest John Kerry for V…</t>
  </si>
  <si>
    <t>RT @Chris_A10_USA: Never underestimate an old man in a profession where men usually die young- #Veterans #Vets #Respect #honor https://t.co…</t>
  </si>
  <si>
    <t>Fox is CNN Lite.
#ShepIsResistance 
#MarieHarfIsResistance
#JuanWilliamsIsResistance 
#JessicaTarlovIsResistance 
https://t.co/FZDAoUBINC</t>
  </si>
  <si>
    <t>RT @magathemaga1: #MoSen #MoGov #MoLeg 
🚨 POLL TIME 🚨
Which Senate candidate will back @realDonaldTrump the most and end this UNCONSTITUT…</t>
  </si>
  <si>
    <t>RT @wee_the_people: @joel_capizzi @is_remo @LovesRemo  his new account</t>
  </si>
  <si>
    <t>RT @lyndiejay: #loganact   #johnkerry  #treason  #lockhimup https://t.co/1QgkmxIAu4</t>
  </si>
  <si>
    <t>RT @LibberTea: LOCK THEM UP! Newly Released Unredacted Documents Were Not a National Security Threat - Instead Show DOJ-FBI was PROTECTING…</t>
  </si>
  <si>
    <t>RT @rocksiphone: @RoseColoredMaga @LisaTomain @LisaDaugh1 @ouchinagirl @Sequencer16 @AmericaHasBalls @EvOConnor15 @DIDNOTVOTE4HIM @jason_ka…</t>
  </si>
  <si>
    <t>RT @BigLeague2020: @NoMoSocialism75 @magathemaga1 @realDonaldTrump @SykesforSenate @AP4Liberty Happy Cinco de Mayo
#MOSEN
https://t.co/6e…</t>
  </si>
  <si>
    <t>RT @Pickles0201: @BigLeague2020 @NoMoSocialism75 @magathemaga1 @realDonaldTrump @SykesforSenate @AP4Liberty @POTUS 🇺🇸 PATRIOTS 🇺🇸
PLEASE v…</t>
  </si>
  <si>
    <t>@inscnc @MissMaryCovfefe @LisaDaugh1 @ouchinagirl @mtenorio77 @Sequencer16 @AmericaHasBalls @EvOConnor15 @DIDNOTVOTE4HIM @jason_kassin @bdclq @LisaTomain @RedPilledinNY @PrincessDebate @solentgreenis @USAHotLips @rocksiphone @831mylabs @mike4354 @mr65gibson @JoanneTirado09 @CraigAr64 Agreed.</t>
  </si>
  <si>
    <t>RT @rocksiphone: @Greg86611108 @LisaTomain @Sequencer16 @mr65gibson @Pokeyathome @EvOConnor15 @JcDeplorable @ouchinagirl @AmericaHasBalls @…</t>
  </si>
  <si>
    <t>Somebody tell me how this isn t true:
"US President Donald Trump has outraged French opinion by suggesting the 2015 attacks on Paris could have been stopped by giving people guns".
https://t.co/7nej5y2Zy7</t>
  </si>
  <si>
    <t>RT @AlohaHa59067534: @On_The_Hook Keep up the great work @On_The_Hook!  Everybody needs to see who this guy really is!</t>
  </si>
  <si>
    <t>RT @usaforyoubruv: @On_The_Hook @AP4Liberty Don't bother running as a MAGA candidate. You have lost my family's support.</t>
  </si>
  <si>
    <t>RT @Nov2018election: @On_The_Hook Support @SykesforSenate https://t.co/OPvbrDXvqS</t>
  </si>
  <si>
    <t>RT @Nov2018election: @On_The_Hook Follow @SykesforSenate https://t.co/iLBb2b9SpG</t>
  </si>
  <si>
    <t>RT @MAGAGunslinger: @On_The_Hook  https://t.co/9nUkbqSyQr</t>
  </si>
  <si>
    <t>RT @Nov2018election: @On_The_Hook Vote @SykesforSenate https://t.co/7SW074LUjS</t>
  </si>
  <si>
    <t>RT @Nov2018election: @HDowning113 @On_The_Hook AP IS MIA.... LOST IN SPACE😬 MIGHT BE THE BEST PLACE FOR HIM!! https://t.co/I3gb2LVfMy</t>
  </si>
  <si>
    <t>RT @HDowning113: @On_The_Hook @Nov2018election A PETERSEN YOU HAVE BEEN CAUGHT
YOU DON'T HAVE A TICKET.  👺
GET OFF THE TRAIN YOU HOBO👎👎</t>
  </si>
  <si>
    <t>RT @justice69hall: @On_The_Hook @GrizzleMaximus @AP4Liberty ummmm... what's this?https://t.co/VhpuqWmNRO</t>
  </si>
  <si>
    <t>RT @On_The_Hook: Will the REAL #AustinPetersen please stand up!
Kindly remove all reference to the #MAGA movement and step aside, we have…</t>
  </si>
  <si>
    <t>RT @gspatton007: @Pickles0201 @LovesRemo Followed this PATRIOT. 
An Honor</t>
  </si>
  <si>
    <t>RT @brenda_lummus: @Pickles0201 @LovesRemo I've got this Patriot Joely ! Glad to follow him &amp;amp; other Patriots ! We must stick together , sta…</t>
  </si>
  <si>
    <t>RT @Real_PeachyKeen: @Pickles0201 @LovesRemo Done!</t>
  </si>
  <si>
    <t>RT @Maggieb1B: @Pickles0201 @LovesRemo Followed, Thank you, Joely!♥️♥️♥️😘</t>
  </si>
  <si>
    <t>RT @SykesforSenate: Bring back men who lead with Judeo-Christian values. Our #FoundingFathers were men who prayed each day for guidance. We…</t>
  </si>
  <si>
    <t>@TrumpsTrucker @inscnc @CraigAr64 @jason_kassin @Sequencer16 @AmericaHasBalls @EvOConnor15 @DIDNOTVOTE4HIM @ouchinagirl @bdclq @LisaTomain @RedPilledinNY @PrincessDebate @solentgreenis @USAHotLips @rocksiphone @831mylabs @mike4354 @mr65gibson @JoanneTirado09 @mtenorio77 @realDonaldTrump That's the problem Sandy, you don't see "the world". It's all connected.</t>
  </si>
  <si>
    <t>@inscnc @CraigAr64 @jason_kassin @TrumpsTrucker @Sequencer16 @AmericaHasBalls @EvOConnor15 @DIDNOTVOTE4HIM @ouchinagirl @bdclq @LisaTomain @RedPilledinNY @PrincessDebate @solentgreenis @USAHotLips @rocksiphone @831mylabs @mike4354 @mr65gibson @JoanneTirado09 @mtenorio77 @realDonaldTrump Old age is a gift. Respect for authority, manners, work ethic, loyalty, integrity, honesty, and in-tact 2 parent homes. When we go, most of that goes with us. Have a nice life kids.</t>
  </si>
  <si>
    <t>RT @inscnc: @CraigAr64 @jason_kassin @TrumpsTrucker @Sequencer16 @AmericaHasBalls @EvOConnor15 @DIDNOTVOTE4HIM @ouchinagirl @bdclq @LisaTom…</t>
  </si>
  <si>
    <t>@mtenorio77 @CraigAr64 👊 https://t.co/nk5j8oGMzs</t>
  </si>
  <si>
    <t>@TrumpsTrucker @AmericaHasBalls @EvOConnor15 @DIDNOTVOTE4HIM @jason_kassin @ouchinagirl @bdclq @Sequencer16 @LisaTomain @RedPilledinNY @inscnc @PrincessDebate @solentgreenis @USAHotLips @rocksiphone @831mylabs @mike4354 @mr65gibson @JoanneTirado09 @mtenorio77 @CraigAr64 Why don't you ask Nigel Farage that question?</t>
  </si>
  <si>
    <t>RT @LisaTomain: @jason_kassin @CraigAr64 @AmericaHasBalls @TrumpsTrucker @EvOConnor15 @DIDNOTVOTE4HIM @ouchinagirl @bdclq @Sequencer16 @Red…</t>
  </si>
  <si>
    <t>RT @joel_capizzi: @TrumpsTrucker @Sequencer16 @AmericaHasBalls @EvOConnor15 @DIDNOTVOTE4HIM @jason_kassin @ouchinagirl @bdclq @LisaTomain @…</t>
  </si>
  <si>
    <t>RT @EvOConnor15: @joel_capizzi @CraigAr64 @inscnc @AmericaHasBalls @ouchinagirl @DIDNOTVOTE4HIM @jason_kassin @bdclq @Sequencer16 @LisaToma…</t>
  </si>
  <si>
    <t>RT @RedPilledinNY: @TrumpsTrucker @joel_capizzi @AmericaHasBalls @EvOConnor15 @DIDNOTVOTE4HIM @jason_kassin @ouchinagirl @bdclq @Sequencer1…</t>
  </si>
  <si>
    <t>RT @inscnc: @CraigAr64 @TrumpsTrucker @Sequencer16 @AmericaHasBalls @EvOConnor15 @DIDNOTVOTE4HIM @jason_kassin @ouchinagirl @bdclq @LisaTom…</t>
  </si>
  <si>
    <t>@TrumpsTrucker @AmericaHasBalls @EvOConnor15 @DIDNOTVOTE4HIM @jason_kassin @ouchinagirl @bdclq @Sequencer16 @LisaTomain @RedPilledinNY @inscnc @PrincessDebate @solentgreenis @USAHotLips @rocksiphone @831mylabs @mike4354 @mr65gibson @JoanneTirado09 @mtenorio77 @CraigAr64 You don't care about Western civilization, she does. So what?</t>
  </si>
  <si>
    <t>@TrumpsTrucker @Sequencer16 @AmericaHasBalls @EvOConnor15 @DIDNOTVOTE4HIM @jason_kassin @ouchinagirl @bdclq @LisaTomain @RedPilledinNY @inscnc @PrincessDebate @solentgreenis @USAHotLips @rocksiphone @831mylabs @mike4354 @mr65gibson @JoanneTirado09 @mtenorio77 @CraigAr64 I do. Politics are global, tyranny vs Western civilization.  That's why we have a Secretary of State and a foreign policy. What happens everywhere else in the world utimately happens here. Brush up on your history.</t>
  </si>
  <si>
    <t>RT @bronxhoops2033: @jason_kassin @LisaTomain @CraigAr64 @AmericaHasBalls @TrumpsTrucker @EvOConnor15 @DIDNOTVOTE4HIM @ouchinagirl @bdclq @…</t>
  </si>
  <si>
    <t>RT @mtenorio77: @TrumpsTrucker @joel_capizzi @AmericaHasBalls @EvOConnor15 @DIDNOTVOTE4HIM @jason_kassin @ouchinagirl @bdclq @Sequencer16 @…</t>
  </si>
  <si>
    <t>RT @FBeauchard: @joel_capizzi Petersen, not Capizzi.</t>
  </si>
  <si>
    <t>RT @FBeauchard: @joel_capizzi I think you’re revolting enough, already.</t>
  </si>
  <si>
    <t>RT @jeannine_holly: #Shadowbanning Conservatives must 🛑 ✋ stop!!!! https://t.co/MRKNWiErOf</t>
  </si>
  <si>
    <t>@DaveSchreiber3 @is_remo Thanks Dave.</t>
  </si>
  <si>
    <t>RT @DaveSchreiber3: @joel_capizzi @is_remo Done</t>
  </si>
  <si>
    <t>@ouchinagirl @AmericaHasBalls @CraigAr64 @TrumpsTrucker @EvOConnor15 @DIDNOTVOTE4HIM @jason_kassin @bdclq @Sequencer16 @LisaTomain @RedPilledinNY @inscnc @PrincessDebate @solentgreenis @USAHotLips @rocksiphone @831mylabs @mike4354 @mr65gibson @JoanneTirado09 @mtenorio77 True. Going to take a breath.</t>
  </si>
  <si>
    <t>RT @ouchinagirl: @AmericaHasBalls @CraigAr64 @TrumpsTrucker @EvOConnor15 @DIDNOTVOTE4HIM @jason_kassin @bdclq @Sequencer16 @LisaTomain @Red…</t>
  </si>
  <si>
    <t>RT @Sequencer16: @TrumpsTrucker @AmericaHasBalls @EvOConnor15 @DIDNOTVOTE4HIM @jason_kassin @ouchinagirl @bdclq @LisaTomain @RedPilledinNY…</t>
  </si>
  <si>
    <t>@EvOConnor15 @CraigAr64 @inscnc @AmericaHasBalls @ouchinagirl @DIDNOTVOTE4HIM @jason_kassin @bdclq @Sequencer16 @LisaTomain @RedPilledinNY @PrincessDebate @solentgreenis @USAHotLips @rocksiphone @831mylabs @mike4354 @mr65gibson @JoanneTirado09 @mtenorio77 Thank you.
🇺🇸🇺🇸🇺🇸</t>
  </si>
  <si>
    <t>RT @CraigAr64: @EvOConnor15 @GrassrootsArmy Because they have never been told NO or had to work for what they have the parents are to gener…</t>
  </si>
  <si>
    <t>RT @JoanneTirado09: @Chicago1Ray  https://t.co/8FtwITyKOq</t>
  </si>
  <si>
    <t>RT @EvOConnor15: @joel_capizzi @TrumpsTrucker @AmericaHasBalls @DIDNOTVOTE4HIM @jason_kassin @ouchinagirl @bdclq @Sequencer16 @LisaTomain @…</t>
  </si>
  <si>
    <t>@TrumpsTrucker @AmericaHasBalls @EvOConnor15 @DIDNOTVOTE4HIM @jason_kassin @ouchinagirl @bdclq @Sequencer16 @LisaTomain @RedPilledinNY @inscnc @PrincessDebate @solentgreenis @USAHotLips @rocksiphone @831mylabs @mike4354 @mr65gibson @JoanneTirado09 @mtenorio77 @CraigAr64 South Africa. It's in her bio and there's no Nigerian (troll) dots to connect. Nice try.</t>
  </si>
  <si>
    <t>RT @EvOConnor15: @CraigAr64 @inscnc @AmericaHasBalls @ouchinagirl @DIDNOTVOTE4HIM @jason_kassin @bdclq @Sequencer16 @LisaTomain @RedPilledi…</t>
  </si>
  <si>
    <t>@CraigAr64 @inscnc @AmericaHasBalls @ouchinagirl @EvOConnor15 @DIDNOTVOTE4HIM @jason_kassin @bdclq @Sequencer16 @LisaTomain @RedPilledinNY @PrincessDebate @solentgreenis @USAHotLips @rocksiphone @831mylabs @mike4354 @mr65gibson @JoanneTirado09 @mtenorio77 Agreed. Wasn't afraid to die for my country when I served, not afraid now, they can "say hello to my little friend".</t>
  </si>
  <si>
    <t>RT @joel_capizzi: @larryelder That's "former" Secretary of State, now private citizen John Kerry. Arrest this man: https://t.co/VbkwXyE1Nh</t>
  </si>
  <si>
    <t>RT @CraigAr64: @inscnc @AmericaHasBalls @ouchinagirl @EvOConnor15 @DIDNOTVOTE4HIM @jason_kassin @bdclq @Sequencer16 @LisaTomain @RedPilledi…</t>
  </si>
  <si>
    <t>RT @ouchinagirl: @RedPilledinNY @EvOConnor15 @TrumpsTrucker @AmericaHasBalls @DIDNOTVOTE4HIM @jason_kassin @bdclq @Sequencer16 @LisaTomain…</t>
  </si>
  <si>
    <t>@DLoesch Busted.</t>
  </si>
  <si>
    <t>RT @DLoesch: Shannon, this is a lie. I’m having lunch with my family right now outside of Dallas. Shame on you. https://t.co/rY6KIMvdJE</t>
  </si>
  <si>
    <t>@larryelder That's "former" Secretary of State, now private citizen John Kerry. Arrest this man: https://t.co/VbkwXyE1Nh</t>
  </si>
  <si>
    <t>RT @larryelder: Attn. Special Counsel Mueller:
Good news. I think we've found some...COLLUSION!!!
"John Kerry Working To Undermine Trump…</t>
  </si>
  <si>
    <t>RT @inscnc: @AmericaHasBalls @ouchinagirl @EvOConnor15 @DIDNOTVOTE4HIM @jason_kassin @bdclq @Sequencer16 @LisaTomain @RedPilledinNY @Prince…</t>
  </si>
  <si>
    <t>RT @JoanneTirado09: @LisaDaugh1 @ladydiblu1 @Baby___Del @HeavensDove2952 @Eliz_Hightower @mynana707 @uniquedeehan1 @TeedIsMe @Smartassy4now…</t>
  </si>
  <si>
    <t>RT @KeithOB224: Man Has The Best Argument Against Gun Control Ever https://t.co/G7Kex4yJdn via @YouTube.     This man says it best</t>
  </si>
  <si>
    <t>RT @jcpenni7maga: 15k Patriot 🇺🇸Bikers from across the country are heading to Washington DC to demand the #MuellerWitchHunt be SHUTDOWN!  L…</t>
  </si>
  <si>
    <t>RT @Kurxxp1: @FoxNews @kanyewest Kanye, for all the sheep you lose you are connecting with a whole new audience like me. I’m a free thinkin…</t>
  </si>
  <si>
    <t>RT @KidsNeedJustice: @AmericaHasBalls @joel_capizzi @ouchinagirl @EvOConnor15 @DIDNOTVOTE4HIM @jason_kassin @bdclq @Sequencer16 @LisaTomain…</t>
  </si>
  <si>
    <t>RT @EvOConnor15: @KidsNeedJustice @AmericaHasBalls @joel_capizzi @ouchinagirl @DIDNOTVOTE4HIM @jason_kassin @bdclq @Sequencer16 @LisaTomain…</t>
  </si>
  <si>
    <t>RT @EvOConnor15: @inscnc @truthforHim1224 @joel_capizzi @PrincessDebate @Rightwingmadman @LisaTomain @JcDeplorable @ouchinagirl @AmericaHas…</t>
  </si>
  <si>
    <t>Following @Dylswife11. Good luck.</t>
  </si>
  <si>
    <t>@INXSBella @harleygrl3465 @is_remo Thank you.</t>
  </si>
  <si>
    <t>RT @INXSBella: @joel_capizzi @harleygrl3465 @is_remo Followed! #MAGA 🇺🇸🚂</t>
  </si>
  <si>
    <t>@EvOConnor15 @is_remo Thank you.</t>
  </si>
  <si>
    <t>RT @EvOConnor15: @joel_capizzi @is_remo Done 👊🏻🇺🇸</t>
  </si>
  <si>
    <t>@donald_aper @Donald4presiden Likewise my friend, likewise.</t>
  </si>
  <si>
    <t>@KidsNeedJustice @AmericaHasBalls @ouchinagirl @EvOConnor15 @DIDNOTVOTE4HIM @jason_kassin @bdclq @Sequencer16 @LisaTomain @RedPilledinNY @inscnc @PrincessDebate @solentgreenis @USAHotLips @rocksiphone @831mylabs @mike4354 @mr65gibson @JoanneTirado09 @mtenorio77 @CraigAr64 Good work. If he had any, and you could find them, which he didn't and you couldn't, he'd be singing soprano.</t>
  </si>
  <si>
    <t>RT @KidsNeedJustice: @AmericaHasBalls @LisaTomain @ouchinagirl @EvOConnor15 @DIDNOTVOTE4HIM @jason_kassin @bdclq @Sequencer16 @RedPilledinN…</t>
  </si>
  <si>
    <t>@KidsNeedJustice @AmericaHasBalls @ouchinagirl @EvOConnor15 @DIDNOTVOTE4HIM @jason_kassin @bdclq @Sequencer16 @LisaTomain @RedPilledinNY @inscnc @PrincessDebate @solentgreenis @USAHotLips @rocksiphone @831mylabs @mike4354 @mr65gibson @JoanneTirado09 @mtenorio77 @CraigAr64 #JimHasNoBalls</t>
  </si>
  <si>
    <t>RT @KidsNeedJustice: @AmericaHasBalls @ouchinagirl @EvOConnor15 @DIDNOTVOTE4HIM @jason_kassin @bdclq @Sequencer16 @LisaTomain @RedPilledinN…</t>
  </si>
  <si>
    <t>@inscnc @JcDeplorable @EvOConnor15 @ouchinagirl @AmericaHasBalls @DIDNOTVOTE4HIM @jason_kassin @bdclq @Sequencer16 @LisaTomain @RedPilledinNY @PrincessDebate @solentgreenis @USAHotLips @rocksiphone @831mylabs @mike4354 @mr65gibson @JoanneTirado09 @mtenorio77 @CraigAr64 No need to explain. Thank you.</t>
  </si>
  <si>
    <t>RT @inscnc: @JcDeplorable @EvOConnor15 @ouchinagirl @AmericaHasBalls @DIDNOTVOTE4HIM @jason_kassin @bdclq @Sequencer16 @LisaTomain @RedPill…</t>
  </si>
  <si>
    <t>@BoltTheBorders @is_remo Thank you.</t>
  </si>
  <si>
    <t>RT @BoltTheBorders: @joel_capizzi @is_remo Done &amp;amp; retweeted. 
#MAGA</t>
  </si>
  <si>
    <t>@magathemaga1 Josh?</t>
  </si>
  <si>
    <t>RT @JeanieSmithKSDK: Today, Governor @EricGreitens authorized the deployment of Missouri Army National Guard troops and resources to the so…</t>
  </si>
  <si>
    <t>RT @Sticknstones4: That is a problem. How in hell can you know someone is guilty but not know what he is guilty of? Sounds like a sham to m…</t>
  </si>
  <si>
    <t>@RebekahWorsham @magathemaga1 I heard the food's crappy.</t>
  </si>
  <si>
    <t>RT @RebekahWorsham: I know where I won't be eating any longer in Dallas...#2A https://t.co/q9s26Jk1b9</t>
  </si>
  <si>
    <t>@PrisonPlanet @magathemaga1 Need one that says "never did".</t>
  </si>
  <si>
    <t>RT @poconomtn: @ClintonMSix141 #NoOneCares
Who cares who Trump had sex with! If we knew the half of what our congress and senate were doing…</t>
  </si>
  <si>
    <t>@is_remo @mtenorio77 Most welcome always, shipmate.</t>
  </si>
  <si>
    <t>RT @joel_capizzi: @seanhannity @MaddyMaga We both know if Mueller did what he said he'd do and what he's supposed to do, it would lead him…</t>
  </si>
  <si>
    <t>@seanhannity @MaddyMaga We both know if Mueller did what he said he'd do and what he's supposed to do, it would lead him right to Hillary's front door.</t>
  </si>
  <si>
    <t>RT @DLoesch: Let me know when @shannonrwatts finds the decency to apologize for outright lying about me. Meanwhile, I’ll be heading down to…</t>
  </si>
  <si>
    <t>RT @joel_capizzi: @is_remo Please help this solid conservative rebuild with a follow. Any one of us might be next. https://t.co/DpklwRCVCc</t>
  </si>
  <si>
    <t>RT @AntonioSabatoJr: Campaigning is going so well Fantastic actually, thank you to all for making our run a success! 
🇺🇸..........🇺🇸.......…</t>
  </si>
  <si>
    <t>@is_remo Please help this solid conservative rebuild with a follow. Any one of us might be next. https://t.co/DpklwRCVCc</t>
  </si>
  <si>
    <t>RT @ouchinagirl: @LisaDaugh1 @AmericaHasBalls @EvOConnor15 @DIDNOTVOTE4HIM @jason_kassin @bdclq @Sequencer16 @LisaTomain @RedPilledinNY @in…</t>
  </si>
  <si>
    <t>@poconomtn @girl4_trump Thank you.</t>
  </si>
  <si>
    <t>RT @poconomtn: . @girl4_trump is on a 12 hour suspension...she wants everyone to know she will follow back all fellow Deplorables as soon a…</t>
  </si>
  <si>
    <t>RT @tgradous: Exclusive Interview: Ben Carson on Draining the Swamp, Fighting Poverty, and Kanye West
@DailySignal
via @genevievewood  htt…</t>
  </si>
  <si>
    <t>RT @inscnc: 3.2M new jobs in the Trump economy, 800,000 since the tax cuts! Wow! Thank you, @realDonaldTrump! 🚂🇺🇸🇺🇸🇺🇸🇺🇸#VoteMAGA #LoveMyPot…</t>
  </si>
  <si>
    <t>RT @ItsGoneAwry: Thanks to Trump more people have jobs, and I get more $ every month bc of his tax plan. But the left is still trying to be…</t>
  </si>
  <si>
    <t>@ItsGoneAwry Facts talk. Bullsh*t walks. https://t.co/TQm27nLXoD</t>
  </si>
  <si>
    <t>@DonnaMahoney14 They still can't tell us when it's a person.</t>
  </si>
  <si>
    <t>RT @DonnaMahoney14: Congratulations to Iowa Governor who listens to the voice of the people! Only God should stop a beating heart!</t>
  </si>
  <si>
    <t>RT @MartinB45719553: Let that sink in https://t.co/b4BOsX09eI</t>
  </si>
  <si>
    <t>@donald_aper Nicely said by a trucker. My son's one. 👍
A plug:
#AmericaMovesOnTrucks.</t>
  </si>
  <si>
    <t>RT @donald_aper: Well Bill........
Forgive us ‘real’ conservatives......but as this is the first Federal Judge that hasn’t been an activist…</t>
  </si>
  <si>
    <t>RT @donald_aper: Who in the hell do you think you are to tell anyone else......in America......what to celebrate or can’t?
A 200 follower L…</t>
  </si>
  <si>
    <t>RT @CountryJazz4: If You're in Dallas and enjoy your constitutional rights....avoid eating at Ellen's.  
I object to private companies dire…</t>
  </si>
  <si>
    <t>@1776NeverForget  https://t.co/iHuYysnYFl</t>
  </si>
  <si>
    <t>@EvOConnor15 @Rightwingmadman @JcDeplorable @ouchinagirl @AmericaHasBalls @DIDNOTVOTE4HIM @jason_kassin @bdclq @Sequencer16 @LisaTomain @RedPilledinNY @inscnc @PrincessDebate @solentgreenis @USAHotLips @rocksiphone @831mylabs @mike4354 @mr65gibson @JoanneTirado09 @mtenorio77 @CraigAr64 Everyone's circumstances are different. Mine allow it.</t>
  </si>
  <si>
    <t>RT @EvOConnor15: @joel_capizzi @Rightwingmadman @JcDeplorable @ouchinagirl @AmericaHasBalls @DIDNOTVOTE4HIM @jason_kassin @bdclq @Sequencer…</t>
  </si>
  <si>
    <t>RT @jaasak: @EvOConnor15 @joel_capizzi @Rightwingmadman @JcDeplorable @ouchinagirl @AmericaHasBalls @DIDNOTVOTE4HIM @jason_kassin @bdclq @S…</t>
  </si>
  <si>
    <t>RT @joel_capizzi: The repeal of the Second Amendment doesn't take away your right to keep and bear arms because it never gave it. 
The prea…</t>
  </si>
  <si>
    <t>RT @VetApologist: @LisaDaugh1 @AnthonyCortese8 @thumperalpha @MEL2AUSA Heston rocked! https://t.co/598bhSm0TR</t>
  </si>
  <si>
    <t>@hulahick @YouwinIquittt Fair enough. No gray here:
 https://t.co/uzBfmsKSQR</t>
  </si>
  <si>
    <t>@EvOConnor15 True.</t>
  </si>
  <si>
    <t>RT @EvOConnor15: @joel_capizzi They are worse than liberals if you ask me.</t>
  </si>
  <si>
    <t>If you think "former" never-Trumpers are MAGA because they had an epiphany you're being naive.</t>
  </si>
  <si>
    <t>@Psycotic70 Goes to show you it's not about principle, it's about money.</t>
  </si>
  <si>
    <t>RT @Psycotic70: America Wins! Last Man Standing Will Return to Fox https://t.co/CQyy3aMv2s</t>
  </si>
  <si>
    <t>@Rightwingmadman @JcDeplorable @EvOConnor15 @ouchinagirl @AmericaHasBalls @DIDNOTVOTE4HIM @jason_kassin @bdclq @Sequencer16 @LisaTomain @RedPilledinNY @inscnc @PrincessDebate @solentgreenis @USAHotLips @rocksiphone @831mylabs @mike4354 @mr65gibson @JoanneTirado09 @mtenorio77 @CraigAr64 Easy to corroborate when I have a wife and 3 sons with same last name on Twitter. The only way I can keep that straight is because it's true. Haha</t>
  </si>
  <si>
    <t>@truthforHim1224 @Rightwingmadman @LisaTomain @JcDeplorable @EvOConnor15 @ouchinagirl @AmericaHasBalls @DIDNOTVOTE4HIM @jason_kassin @bdclq @Sequencer16 @RedPilledinNY @inscnc @PrincessDebate @solentgreenis @USAHotLips @rocksiphone @831mylabs @mike4354 @mr65gibson @JoanneTirado09 @mtenorio77 @CraigAr64 Personal preference and I respect that.</t>
  </si>
  <si>
    <t>RT @jj20101: @Rightwingmadman @LisaTomain @JcDeplorable @EvOConnor15 @ouchinagirl @AmericaHasBalls @DIDNOTVOTE4HIM @jason_kassin @bdclq @Se…</t>
  </si>
  <si>
    <t>@EvOConnor15 @PrincessDebate @Rightwingmadman @truthforHim1224 @LisaTomain @JcDeplorable @ouchinagirl @AmericaHasBalls @DIDNOTVOTE4HIM @jason_kassin @bdclq @Sequencer16 @RedPilledinNY @inscnc @solentgreenis @USAHotLips @rocksiphone @831mylabs @mike4354 @mr65gibson @JoanneTirado09 @mtenorio77 @CraigAr64 True and true.</t>
  </si>
  <si>
    <t>RT @joel_capizzi: @RedRisingUSA @SykesforSenate 
Republican MAGA veteran for US Senate MO. https://t.co/eoojtFaLsD</t>
  </si>
  <si>
    <t>RT @EvOConnor15: @joel_capizzi @PrincessDebate @Rightwingmadman @truthforHim1224 @LisaTomain @JcDeplorable @ouchinagirl @AmericaHasBalls @D…</t>
  </si>
  <si>
    <t>@RedRisingUSA @SykesforSenate 
Republican MAGA veteran for US Senate MO. https://t.co/eoojtFaLsD</t>
  </si>
  <si>
    <t>RT @RedRisingUSA: Please patriots support us, #VeteransFamily don't turn your back thank you. Please Vote Support Follow our Veterans Candi…</t>
  </si>
  <si>
    <t>RT @joel_capizzi: @PrincessDebate @Rightwingmadman @truthforHim1224 @LisaTomain @JcDeplorable @EvOConnor15 @ouchinagirl @AmericaHasBalls @D…</t>
  </si>
  <si>
    <t>@PrincessDebate @Rightwingmadman @truthforHim1224 @LisaTomain @JcDeplorable @EvOConnor15 @ouchinagirl @AmericaHasBalls @DIDNOTVOTE4HIM @jason_kassin @bdclq @Sequencer16 @RedPilledinNY @inscnc @solentgreenis @USAHotLips @rocksiphone @831mylabs @mike4354 @mr65gibson @JoanneTirado09 @mtenorio77 @CraigAr64 Real name and photo means they can find and visit Fort Capizzi if they choose to.</t>
  </si>
  <si>
    <t>RT @joel_capizzi: @1776NeverForget The question to ask is who benefits the most doing a 180 from never-Trumper to riding the coat tails of…</t>
  </si>
  <si>
    <t>RT @Rightwingmadman: @PrincessDebate @truthforHim1224 @LisaTomain @JcDeplorable @EvOConnor15 @ouchinagirl @AmericaHasBalls @DIDNOTVOTE4HIM…</t>
  </si>
  <si>
    <t>RT @USAHotLips: @AmericaHasBalls @EvOConnor15 @DIDNOTVOTE4HIM @jason_kassin @ouchinagirl @bdclq @Sequencer16 @LisaTomain @RedPilledinNY @in…</t>
  </si>
  <si>
    <t>RT @BigLeague2020: @bvanhauen1 @SykesforSenate Follow TeamSykes @SykesforSenate 
WHY❓
We Like Sykes‼️
SYKES FOR SENATE
THE REAL MAGA CA…</t>
  </si>
  <si>
    <t>RT @Nov2018election: @bvanhauen1 @SykesforSenate I LIKE SYKES #MOSEN #MOGOP #MOPOL https://t.co/UyrhEL7p8R</t>
  </si>
  <si>
    <t>RT @Nov2018election: @bvanhauen1 @SykesforSenate MISSOURI COURTLAND SYKES FOR US SENATE #MOSEN #MOGOP #MOPOL #MO https://t.co/nH6xWOcd45</t>
  </si>
  <si>
    <t>RT @Rightwingmadman: @JcDeplorable @EvOConnor15 @ouchinagirl @AmericaHasBalls @DIDNOTVOTE4HIM @jason_kassin @bdclq @Sequencer16 @LisaTomain…</t>
  </si>
  <si>
    <t>RT @Sequencer16: @JcDeplorable @EvOConnor15 @ouchinagirl @AmericaHasBalls @DIDNOTVOTE4HIM @jason_kassin @bdclq @LisaTomain @RedPilledinNY @…</t>
  </si>
  <si>
    <t>RT @JcDeplorable: @EvOConnor15 @ouchinagirl @AmericaHasBalls @DIDNOTVOTE4HIM @jason_kassin @bdclq @Sequencer16 @LisaTomain @RedPilledinNY @…</t>
  </si>
  <si>
    <t>RT @JcDeplorable: @AmericaHasBalls @EvOConnor15 @ouchinagirl @DIDNOTVOTE4HIM @jason_kassin @bdclq @Sequencer16 @LisaTomain @RedPilledinNY @…</t>
  </si>
  <si>
    <t>RT @BigLeague2020: “Your Second Amendment Rights are under siege. But they will never, ever be under siege as long as I am your president.”…</t>
  </si>
  <si>
    <t>RT @Sequencer16: @ouchinagirl @AmericaHasBalls @EvOConnor15 @DIDNOTVOTE4HIM @jason_kassin @bdclq @LisaTomain @RedPilledinNY @inscnc @Prince…</t>
  </si>
  <si>
    <t>RT @Hope4Hopeless1: @magathemaga1 @realDonaldTrump https://t.co/3mqCk0jQYB
Please listen to US Senate Candidate #MOSEN .@SykesforSenate fro…</t>
  </si>
  <si>
    <t>RT @SykesforSenate: You don't say. There are a lot of nervous senators in Washington right now @SenateMajLdr. Shedding light on your little…</t>
  </si>
  <si>
    <t>RT @bvanhauen1: Grabbed a coffee this morning at Papa’s Coffee Express in Liberty and met this young man! Was very impressed by @SykesforSe…</t>
  </si>
  <si>
    <t>RT @CraigAr64: @EvOConnor15 @ouchinagirl @AmericaHasBalls @DIDNOTVOTE4HIM @jason_kassin @bdclq @Sequencer16 @LisaTomain @RedPilledinNY @ins…</t>
  </si>
  <si>
    <t>@AmericaHasBalls @EvOConnor15 @DIDNOTVOTE4HIM @jason_kassin @ouchinagirl @bdclq @Sequencer16 @LisaTomain @RedPilledinNY @inscnc @PrincessDebate @solentgreenis @USAHotLips @rocksiphone @831mylabs @mike4354 @mr65gibson @JoanneTirado09 @mtenorio77 @CraigAr64 Fake? Hold on a second pal. I was hasty before I realized what you were saying and I resent it. Do you know how many Jim's or Joel's there are? The only thing fake here is you, your contrived bullshit, and Chani's doing just fine. https://t.co/Y56ujrnA28</t>
  </si>
  <si>
    <t>RT @joel_capizzi: "If Donald Trump wins the nomination we should revolt". Austin Petersen. https://t.co/rhHqIe0QHl</t>
  </si>
  <si>
    <t>@AmericaHasBalls @ouchinagirl @EvOConnor15 @DIDNOTVOTE4HIM @jason_kassin @bdclq @Sequencer16 @LisaTomain @RedPilledinNY @inscnc @PrincessDebate @solentgreenis @USAHotLips @rocksiphone @831mylabs @mike4354 @mr65gibson @JoanneTirado09 @mtenorio77 @CraigAr64 Run? You don't.  I'm doing good if I can keep up just BEING in three.</t>
  </si>
  <si>
    <t>@jason_kassin @ouchinagirl @bdclq @Sequencer16 @LisaTomain @RedPilledinNY @inscnc @PrincessDebate @solentgreenis @USAHotLips @rocksiphone @831mylabs @mike4354 @mr65gibson @JoanneTirado09 @mtenorio77 @EvOConnor15 @CraigAr64 Why? Pure and simple 👇 https://t.co/HFAApCQEQi</t>
  </si>
  <si>
    <t>RT @1776NeverForget: @joel_capizzi I think there are 2 kinds of never Trumpers. 1)Those who promote the agenda to fit their purpose and 2)T…</t>
  </si>
  <si>
    <t>RT @ouchinagirl: @AmericaHasBalls @EvOConnor15 @DIDNOTVOTE4HIM @jason_kassin @bdclq @Sequencer16 @LisaTomain @RedPilledinNY @inscnc @Prince…</t>
  </si>
  <si>
    <t>RT @ouchinagirl: THIS IS OBSCENE‼️ ONLY THING #Mueller HAS IS TO TARGET ANYTHING TRUMP &amp;amp; WILL DO WHATEVER IT TAKES TO COVER HIS ASS INCLUDI…</t>
  </si>
  <si>
    <t>@solentgreenis Do you need an agent Sol? Haha. Nice work.</t>
  </si>
  <si>
    <t>RT @solentgreenis: Lets get the party started!
oldie but goodie.... https://t.co/WcJBqH5SIC</t>
  </si>
  <si>
    <t>RT @CraigAr64: They can add one more the Mueller and his fishing party to the list.   Wastebook: Taxpayers Billed for Computers to Binge Wa…</t>
  </si>
  <si>
    <t>@mtenorio77 Holy cow.</t>
  </si>
  <si>
    <t>RT @mtenorio77: I am so glad I’m a Conservative Man! https://t.co/Uk3oOB8KE5</t>
  </si>
  <si>
    <t>RT @EvOConnor15: @joel_capizzi @1776NeverForget 👊🏻</t>
  </si>
  <si>
    <t>RT @JoanneTirado09: @Chicago1Ray  https://t.co/QCynkKhRms</t>
  </si>
  <si>
    <t>RT @RyanAFournier: Retweet if you’re voting Republican in 2018!
Find a friend, register them to vote, make arrangements today, to vote on…</t>
  </si>
  <si>
    <t>RT @EvOConnor15: @DIDNOTVOTE4HIM @jason_kassin @ouchinagirl @bdclq @Sequencer16 @LisaTomain @RedPilledinNY @inscnc @PrincessDebate @solentg…</t>
  </si>
  <si>
    <t>@1776NeverForget The question to ask is who benefits the most doing a 180 from never-Trumper to riding the coat tails of a President whose popularity is soaring. You?</t>
  </si>
  <si>
    <t>RT @1776NeverForget: @joel_capizzi We need to keep reminding everyone who the never-Trumps are until they recant, apologize and actively wo…</t>
  </si>
  <si>
    <t>RT @cathy54covell: @McGovernJeffrey @joel_capizzi What the hell does a ho eruption from 10 years ago have to do with election collusion wit…</t>
  </si>
  <si>
    <t>RT @joel_capizzi: @Wild_Phil @SykesforSenate Thank you Phil,happy to have you aboard!!!</t>
  </si>
  <si>
    <t>@Wild_Phil @SykesforSenate God bless you Phil. Your support and help are greatly appreciated. https://t.co/JgUmCHG3lM</t>
  </si>
  <si>
    <t>RT @Wild_Phil: @joel_capizzi @SykesforSenate You Are Very Welcome Joel, I Am Happy To Be Aboard With Patriots Who Know What Needs To Be Don…</t>
  </si>
  <si>
    <t>@Wild_Phil @SykesforSenate Thank you Phil.</t>
  </si>
  <si>
    <t>RT @Wild_Phil: @joel_capizzi @SykesforSenate Thank You Joel, I Am Now Following @SykesforSenate</t>
  </si>
  <si>
    <t>@realDonaldTrump
@USAGSessions
Mueller investigation isn't  just about Trump. It's about the Constitution and attacks every American's civil liberties.
Using KJB tactics, Mueller has violated Trump's fourth, fifth and sixth Amendment rights.
https://t.co/dSOU5sYWmf</t>
  </si>
  <si>
    <t>@McGovernJeffrey #CmonMan</t>
  </si>
  <si>
    <t>RT @McGovernJeffrey: #CmonMan https://t.co/x4pn2BSZc8</t>
  </si>
  <si>
    <t>What does what Manafort did in 2005 have to do with "Russian collusion" 11 years later?
Yeah, "c'mon man".
https://t.co/v9OGiIuEW7</t>
  </si>
  <si>
    <t>RT @DIDNOTVOTE4HIM: @jason_kassin @ouchinagirl @bdclq @Sequencer16 @LisaTomain @RedPilledinNY @inscnc @PrincessDebate @solentgreenis @USAHo…</t>
  </si>
  <si>
    <t>@ARedPillReport Should have thrown fat a$$ a churro to shut her up.</t>
  </si>
  <si>
    <t>@jerome_corsi "For there are certain men crept in unawares, who were before of old ordained to this condemnation, ungodly men, turning the grace of our God into lasciviousness, and denying the only Lord God, and our Lord Jesus Christ". Jude 1:4</t>
  </si>
  <si>
    <t>@MichelleTrain79 Thank you.</t>
  </si>
  <si>
    <t>RT @1Romans58: It is my obligation as American citizen to call you a moron.  This man is nothing but a petty race baiting liar, who will se…</t>
  </si>
  <si>
    <t>"It is frightening to see what is happening to our country when the man who sits at the top of the ticket is truly the definition of a facist." Austin Petersen. https://t.co/rhHqIe0QHl</t>
  </si>
  <si>
    <t>"If Donald Trump wins the nomination we should revolt". Austin Petersen. https://t.co/rhHqIe0QHl</t>
  </si>
  <si>
    <t>RT @KatTheHammer1: Do you support or oppose stricter gun laws in the United States?
According to the latest poll 63% support and 32% oppos…</t>
  </si>
  <si>
    <t>RT @BridgetKF30: @dentalfloss48 @bdclq @LisaTomain @Sequencer16 @RedPilledinNY @jason_kassin @JannaWilkinso69 @KidsNeedJustice @Rightwingma…</t>
  </si>
  <si>
    <t>RT @Hope4Hopeless1: @JoshAlterity @Vets4AP @joel_capizzi @HotlineJosh @AP4Liberty @Judgenap Look its clear to anyone reading your tweets th…</t>
  </si>
  <si>
    <t>RT @Hope4Hopeless1: @JoshAlterity @RobertiLax @joel_capizzi @SykesforSenate @AP4Liberty FALSE accusations of lying won't silence me or quas…</t>
  </si>
  <si>
    <t>@Chiefdodd1 Great point. 👍</t>
  </si>
  <si>
    <t>RT @RealCandaceO: Race is a business—don’t you ever forget that. People like Al Sharpton, Maxine Waters, and Jesse Jackson are the top exec…</t>
  </si>
  <si>
    <t>RT @ARedPillReport: Donald Trump Fully Endorses Ted Cruz for Senate https://t.co/fYWbg05H4r</t>
  </si>
  <si>
    <t>@michie1266 @knh1222 I'll recycle this for Paul. Talk's cheap.</t>
  </si>
  <si>
    <t>RT @jorica207: @bdclq @killabeas69 @JcDeplorable @The2ndA @Rightwingmadman @MartinB45719553 @TexasKenJSmith @Loveusalway @LisaTomain @USAHo…</t>
  </si>
  <si>
    <t>Here's what MSM can't do: show us were not better off now than when Trump took office.
They fear this more than anything and they should. https://t.co/yJxb1Z2A4E</t>
  </si>
  <si>
    <t>RT @2_2Alpha: @Shawtypepelina  https://t.co/2FQFFrXzal</t>
  </si>
  <si>
    <t>RT @BigLeague2020: President Trump’s Address at #NRAAM
https://t.co/5Lpxdd7phM</t>
  </si>
  <si>
    <t>RT @BigLeague2020: “We believe that our liberties are a gift from our Creator, and that no government can ever take them away.” .@realDonal…</t>
  </si>
  <si>
    <t>@girl4_trump @realDonaldTrump Indeed. He's doing ALL the heavy lifting. All we have to do is get out of our comfortable chairs and vote.</t>
  </si>
  <si>
    <t>RT @girl4_trump: This will only happen if we stay diligent. We must keep the pressure on the #DemCong. Expose their lies, hate, #corruption…</t>
  </si>
  <si>
    <t>RT @ConservaMomUSA: More proof that Leftists are the ACTUAL fascists...
#FreeThinker #1A #2A #Freedom #2ADefenders #MolonLabe #NRA #MAGA #…</t>
  </si>
  <si>
    <t>@ouchinagirl @bdclq @dentalfloss48 @LisaTomain @Sequencer16 @RedPilledinNY @jason_kassin @JannaWilkinso69 @KidsNeedJustice @Rightwingmadman @DaveSchreiber3 @PrincessDebate @LaunaSallai @Lost_Literati @lauer_nancy @BridgetKF30 @JcDeplorable Peggy? 😅</t>
  </si>
  <si>
    <t>@spinson7746 @CB618444 @PressSec When we have an AG with stones.
#RudyForAG 
#RIcoRudy 
#LockThemAllUp</t>
  </si>
  <si>
    <t>@PatrickParsons9 @BridgetKF30 @ouchinagirl @bdclq @dentalfloss48 @LisaTomain @Sequencer16 @RedPilledinNY @jason_kassin @JannaWilkinso69 @KidsNeedJustice @Rightwingmadman @DaveSchreiber3 @PrincessDebate @LaunaSallai @Lost_Literati @lauer_nancy @JcDeplorable Peggy? https://t.co/ESqF2Szs5J</t>
  </si>
  <si>
    <t>RT @JacobAWohl: BOMBSHELL: Federal Judge in Manafort hearing accuses Special Counsel Robert Mueller of LYING about the scope of the investi…</t>
  </si>
  <si>
    <t>RT @Truthseeker126: This is so great. Tables are turning! #MAGA https://t.co/NCPMPWA67i</t>
  </si>
  <si>
    <t>@BridgetKF30 @LisaTomain @dentalfloss48 @bdclq @Sequencer16 @RedPilledinNY @jason_kassin @JannaWilkinso69 @KidsNeedJustice @Rightwingmadman @DaveSchreiber3 @PrincessDebate @LaunaSallai @Lost_Literati @lauer_nancy @JcDeplorable  https://t.co/gMncztb0UF</t>
  </si>
  <si>
    <t>@Colonel_Infidel Outstanding article.</t>
  </si>
  <si>
    <t>RT @Colonel_Infidel: Hallelujah! A journalist with some good sense. I feel like it's my birthday!
Lauren Appell: Backlash over Sarah Sande…</t>
  </si>
  <si>
    <t>@DonnaSeay3 @MAJMO50 @Smartassy4now True. https://t.co/vwVFGYmQb1</t>
  </si>
  <si>
    <t>RT @RyanAFournier: BREAKING: A federal judge accuses Mueller’s team of ‘lying,’ trying to target Trump.</t>
  </si>
  <si>
    <t>RT @Toughenupworld: @joel_capizzi @Norasmith1000 @Shawtypepelina @staceynewman @SenatorNasheed @LacyClayMO1 @brucefranksjr @MariaChappelleN…</t>
  </si>
  <si>
    <t>@1776Stonewall  https://t.co/OXUK3Isy3f</t>
  </si>
  <si>
    <t>RT @joel_capizzi: @BigLeague2020 @Nov2018election @POTUS True colors always come out and you just sh*t in your Cheerios Sam. Good luck with…</t>
  </si>
  <si>
    <t>@Shawtypepelina Jeff?</t>
  </si>
  <si>
    <t>@ConservaMomUSA @MSNBC Still not caring. 
#WhoreMeDaniels  
Pfft.</t>
  </si>
  <si>
    <t>RT @joel_capizzi: @StormyDaniels No, but raised Holsteins. We give tours free of charge.</t>
  </si>
  <si>
    <t>@StormyDaniels No, but raised Holsteins. We give tours free of charge.</t>
  </si>
  <si>
    <t>@dentalfloss48 @bdclq @LisaTomain @Sequencer16 @RedPilledinNY @jason_kassin @JannaWilkinso69 @KidsNeedJustice @Rightwingmadman @DaveSchreiber3 @PrincessDebate @LaunaSallai @Lost_Literati @lauer_nancy @BridgetKF30 @JcDeplorable Alan, Alan. We don't like to see you like this. Very bad for the ticker.</t>
  </si>
  <si>
    <t>RT @SaraCarterDC: Sara Carter: IG Report On McCabe Is "Just The Tip Of The Iceberg"  https://t.co/XXtmcKlkkl</t>
  </si>
  <si>
    <t>@PatrickParsons9 @ouchinagirl @bdclq @dentalfloss48 @LisaTomain @Sequencer16 @RedPilledinNY @jason_kassin @JannaWilkinso69 @KidsNeedJustice @Rightwingmadman @DaveSchreiber3 @PrincessDebate @LaunaSallai @Lost_Literati @lauer_nancy @BridgetKF30 @JcDeplorable And of all specialties he chooses cardiologist. 🤔</t>
  </si>
  <si>
    <t>RT @ouchinagirl: @bdclq @dentalfloss48 @LisaTomain @Sequencer16 @RedPilledinNY @jason_kassin @JannaWilkinso69 @KidsNeedJustice @Rightwingma…</t>
  </si>
  <si>
    <t>RT @ConservaMomUSA: Given the stellar job @FBI did investigating both the Parkland shooter &amp;amp; HillaryClinton, I’d like to suggest that they…</t>
  </si>
  <si>
    <t>@james65878144 @ARedPillReport Bare knuckle.</t>
  </si>
  <si>
    <t>RT @james65878144: @ARedPillReport Love James! What a hero. The Feisty Irish genes!</t>
  </si>
  <si>
    <t>RT @ARedPillReport: O'KEEFE STRIKES AGAIN: 2 teachers union presidents suspended after undercover video... https://t.co/fvhenS9AoS</t>
  </si>
  <si>
    <t>RT @EvOConnor15: @joel_capizzi @realDonaldTrump Fkn right. 👊🏻</t>
  </si>
  <si>
    <t>RT @Toughenupworld: @Shawtypepelina @Norasmith1000 @joel_capizzi @staceynewman @SenatorNasheed @LacyClayMO1 @brucefranksjr @MariaChappelleN…</t>
  </si>
  <si>
    <t>RT @David802Bates: @dentalfloss48 @bdclq @LisaTomain @Sequencer16 @RedPilledinNY @jason_kassin @JannaWilkinso69 @KidsNeedJustice @Rightwing…</t>
  </si>
  <si>
    <t>RT @ARedPillReport: Gun CONFISCATION Plan Proposed by CA Democrat, Tucker REACTS https://t.co/4XWhuomjXl</t>
  </si>
  <si>
    <t>RT @CB618444: #AprilRyan should be BARRED from #WhiteHouse press room, PERIOD.  All she does is SAVAGE @PressSec She's a prop 4 the #Resist…</t>
  </si>
  <si>
    <t>RT @jpyoung27: @bdclq @Sequencer16 @LisaTomain @RedPilledinNY @inscnc @PrincessDebate @solentgreenis @USAHotLips @rocksiphone @831mylabs @m…</t>
  </si>
  <si>
    <t>RT @LisaTomain: @jpyoung27 @bdclq @Sequencer16 @RedPilledinNY @inscnc @PrincessDebate @solentgreenis @USAHotLips @rocksiphone @831mylabs @m…</t>
  </si>
  <si>
    <t>RT @ConservaMomUSA: #FridayFeeling: the long standing policy of #CatchAndRelease is an imminent threat to America’s sovereignty!
#BuildThe…</t>
  </si>
  <si>
    <t>RT @KatTheHammer1: PLEASE RETWEET: 
It's simple,  this amazing patriot @GenFlynn has devoted his life in service to this great Nation! 
T…</t>
  </si>
  <si>
    <t>@Toughenupworld @Norasmith1000 @Shawtypepelina @staceynewman @SenatorNasheed @LacyClayMO1 @brucefranksjr @MariaChappelleN @ElliottDavisTV @SykesforSenate Hawley's swamp.
Petersen is an open borders NWO never-trumper.
No brainer.
@SykesforSenate https://t.co/Xeg6z7MuiI</t>
  </si>
  <si>
    <t>@RuthieRedSox @ConservaMomUSA @PhilMcCrackin44 @DanCovfefe1 @ArizonaKayte @Fuctupmind @ClintonMSix141 Not caring
#WhoreMeDaniels</t>
  </si>
  <si>
    <t>RT @joel_capizzi: @Norasmith1000 @Shawtypepelina @staceynewman @SenatorNasheed @LacyClayMO1 @brucefranksjr @MariaChappelleN @ElliottDavisTV…</t>
  </si>
  <si>
    <t>@Norasmith1000 @Shawtypepelina @staceynewman @SenatorNasheed @LacyClayMO1 @brucefranksjr @MariaChappelleN @ElliottDavisTV @SykesforSenate https://t.co/08ldxPl1YN</t>
  </si>
  <si>
    <t>RT @Norasmith1000: @Shawtypepelina @staceynewman @SenatorNasheed @LacyClayMO1 @brucefranksjr @MariaChappelleN @ElliottDavisTV That's how it…</t>
  </si>
  <si>
    <t>RT @Pellegrino1791: @Monetti4Senate I didn't vote for Hawley so he could run for another office before he completes the term he was elected…</t>
  </si>
  <si>
    <t>RT @Norasmith1000: Lot of people feel the same way @HawleyMO you will not get my vote either!
#mosen https://t.co/MNWhYzT2If</t>
  </si>
  <si>
    <t>RT @Norasmith1000: That's what a lot of people were saying about that time you wished the President of the United States was assassinated.…</t>
  </si>
  <si>
    <t>RT @JcDeplorable: 🤓#KAG #MAGA If you know me you know I find no book more profound than the #Bible. However I'm recommending a pretty profo…</t>
  </si>
  <si>
    <t>RT @BigLeague2020: Tell me Sammy, why are you attacking Terre @Nov2018election?
Let the fine IDAHOANS decide who will be their governor.…</t>
  </si>
  <si>
    <t>@BigLeague2020 @Nov2018election @POTUS True colors always come out and you just sh*t in your Cheerios Sam. Good luck with that.</t>
  </si>
  <si>
    <t>RT @bigkqueen: @bdclq @MinMtwit @JcDeplorable @Sequencer16 @LisaTomain @USAHotLips @Lost_Literati @ouchinagirl @Pickles0201 @joel_capizzi @…</t>
  </si>
  <si>
    <t>RT @joel_capizzi: #WinOneMoreForTheGipper
#MakeCaliforniaGreatAgain 
#MakeCaliforniaGoldenAgain 
#MakeAmericaGreatAgain https://t.co/AMUy2y…</t>
  </si>
  <si>
    <t>#WinOneMoreForTheGipper
#MakeCaliforniaGreatAgain 
#MakeCaliforniaGoldenAgain 
#MakeAmericaGreatAgain https://t.co/AMUy2yCokU</t>
  </si>
  <si>
    <t>RT @NewDayForNJ: @joel_capizzi @Nov2018election @SykesforSenate @kelliwardaz @AjaforCongress @SaarioBrandon @AntonioSabato @Scottforpa @Cor…</t>
  </si>
  <si>
    <t>RT @CuteBabyTrump: We love you Mr. President. The dumb dems and FAKE NEWS are the new terrorist worse than ISIS. The negative written direc…</t>
  </si>
  <si>
    <t>@EvOConnor15 @jpyoung27 @jacquelinedora3 @Jonwooderman @bdclq @TeddyFlorida @JcDeplorable @Sequencer16 @LisaTomain @USAHotLips @Lost_Literati @ouchinagirl @Pickles0201 @PrincessDebate @CraigAr64 @mtenorio77 @JoanneTirado09 @RedPilledinNY @The2ndA @Rightwingmadman If it walks like a commie, talks like a commie, quacks like a commie...</t>
  </si>
  <si>
    <t>RT @EvOConnor15: @joel_capizzi @jpyoung27 @jacquelinedora3 @Jonwooderman @bdclq @TeddyFlorida @JcDeplorable @Sequencer16 @LisaTomain @USAHo…</t>
  </si>
  <si>
    <t>RT @joel_capizzi: @Steffi_Cole @SpazzBhabie @BigLeague2020 @HawleyMO @AP4Liberty @SykesforSenate I'm sure Petersen sticks to his "principle…</t>
  </si>
  <si>
    <t>@Steffi_Cole @SpazzBhabie @BigLeague2020 @HawleyMO @AP4Liberty @SykesforSenate I'm sure Petersen sticks to his "principles", just the wrong ones. Open borders, Trump's a facist and "Trumpkins" are mindless sheep, all from his own mouth. I don't know you Steffi, I sense your patriotism but if you want Trump principles you have the wrong man. I wish you well.</t>
  </si>
  <si>
    <t>@CaryLynnWolfe1 @RuralVoiceOhio Done.</t>
  </si>
  <si>
    <t>RT @CaryLynnWolfe1: Calling on all Patriots to please follow @RuralVoiceOhio please help our awesome Patriot reach 7K. We all need to ban t…</t>
  </si>
  <si>
    <t>RT @JackPosobiec: He's only been on the job 15 months and Donald Trump has already defeated ISIS, ended the Korean War, and got America to…</t>
  </si>
  <si>
    <t>RT @RealCandaceO: It’s best we build the wall. If for nothing else, to contain the awful, racist, bigoted, misogynist, sexist Americans, be…</t>
  </si>
  <si>
    <t>RT @LisaTomain: @JannaWilkinso69 @bdclq @dentalfloss48 @Sequencer16 @RedPilledinNY @jason_kassin @KidsNeedJustice @Rightwingmadman @DaveSch…</t>
  </si>
  <si>
    <t>@Irwoodstock56 👍</t>
  </si>
  <si>
    <t>RT @Irwoodstock56: @joel_capizzi Yep. Including his tax returns. Media wanted to nail down his worth, my opinion. 
Today we Know Pres Trump…</t>
  </si>
  <si>
    <t>@JcDeplorable @solentgreenis @kanyewest @RealCandaceO *repudiation at the polls. Edit option Twitter!</t>
  </si>
  <si>
    <t>RT @Hoosiers1986: Sorry Michelle, MY "Forever First Lady" sees me as an American, NOT a color!
I've had enough of Liberal Democrats making…</t>
  </si>
  <si>
    <t>RT @hickorymtnman: Our values win at the ballot box
Smaller govt
Lower taxes
Protect individual rights
Appoint good judges
Secure borders…</t>
  </si>
  <si>
    <t>RT @SierraWhiskee: .@MichelleObama has an oversized ego if she thinks I AM her &amp;amp; she's my forever First Lady! 
Thankfully, we have a @FLOT…</t>
  </si>
  <si>
    <t>@ConservaMomUSA @StormyDaniels @therealroseanne This one too. 😂</t>
  </si>
  <si>
    <t>RT @ConservaMomUSA: Wow- @StormyDaniels unleashes some scathing words on @therealroseanne in an attempt to prove that even washed-up, middl…</t>
  </si>
  <si>
    <t>@ConservaMomUSA This is really good. 😅</t>
  </si>
  <si>
    <t>RT @ConservaMomUSA: TRUMP is YOUR President!
TRUMP is YOUR President! 
TRUMP is YOUR President! 
TRUMP is YOUR President! 
TRUMP is YOUR Pr…</t>
  </si>
  <si>
    <t>@ConservaMomUSA @StormyDaniels @therealroseanne Not caring, #WhoreMeDaniels</t>
  </si>
  <si>
    <t>RT @Success87473781: @bdclq @JcDeplorable @Sequencer16 @LisaTomain @USAHotLips @Lost_Literati @ouchinagirl @Pickles0201 @joel_capizzi @Prin…</t>
  </si>
  <si>
    <t>@Irwoodstock56 Including his nothing burger tax returns. Who cares? 😅</t>
  </si>
  <si>
    <t>@ouchinagirl @ifinishiti @Chairmnoomowmow @CNNTonight @CNN @donlemon Watch total low follower, low energy, Bobby G smackdown by Jenny. 
You heard the lady, now pi$$ off you disgusting bucket of sewage.
Jenny 👇 https://t.co/oUZPahyUHl</t>
  </si>
  <si>
    <t>RT @ouchinagirl: @ifinishiti @Chairmnoomowmow @CNNTonight @CNN @donlemon LOL 60 followers❣️ BLOW💨 You masked low numbers commie core Russia…</t>
  </si>
  <si>
    <t>RT @JoanneTirado09: TRUMP HONORED 
THE TEACHER  WHO WON TEACHER OF THE YEAR,
WHO REFUSED TO CLAP OR SHAKE HIS HAND!!
THIS IS TEACHER OF THE…</t>
  </si>
  <si>
    <t>RT @HikerDog67: @bdclq @JcDeplorable @Sequencer16 @LisaTomain @USAHotLips @Lost_Literati @ouchinagirl @Pickles0201 @joel_capizzi @PrincessD…</t>
  </si>
  <si>
    <t>RT @jacquelinedora3: @joel_capizzi @jpyoung27 @Jonwooderman @bdclq @TeddyFlorida @JcDeplorable @Sequencer16 @LisaTomain @USAHotLips @Lost_L…</t>
  </si>
  <si>
    <t>@JackPosobiec How's that for the tail wagging the dog?</t>
  </si>
  <si>
    <t>RT @BridgetKF30: @bdclq @Rightwingmadman @JcDeplorable @MartinB45719553 @RedPilledinNY @luvnewinfo @americanjanes @FrasierRae @bronxhoops20…</t>
  </si>
  <si>
    <t>RT @joel_capizzi: @Nov2018election @SykesforSenate @kelliwardaz @AjaforCongress @SaarioBrandon @AntonioSabato @Scottforpa @CoreyStewartVA @…</t>
  </si>
  <si>
    <t>RT @joel_capizzi: @jpyoung27 @jacquelinedora3 @Jonwooderman @bdclq @TeddyFlorida @JcDeplorable @Sequencer16 @LisaTomain @USAHotLips @Lost_L…</t>
  </si>
  <si>
    <t>@jpyoung27 @jacquelinedora3 @Jonwooderman @bdclq @TeddyFlorida @JcDeplorable @Sequencer16 @LisaTomain @USAHotLips @Lost_Literati @ouchinagirl @Pickles0201 @PrincessDebate @CraigAr64 @mtenorio77 @JoanneTirado09 @RedPilledinNY @The2ndA @Rightwingmadman @USAHotLips has been targeted/banned by Twitter and is rebuilding. Please be patient.</t>
  </si>
  <si>
    <t>RT @ouchinagirl: Isn’t this the couple who WEAPONIZED the IRS to target American’s for their political beliefs? 
Could of gone all day wit…</t>
  </si>
  <si>
    <t>@Nov2018election @SykesforSenate @kelliwardaz @AjaforCongress @SaarioBrandon @AntonioSabato @Scottforpa @CoreyStewartVA @NewDayForNJ @DannyTarkanian @votehunterhill @senatormcdaniel @DiehlForSenate @TracyJordan4GA @Griff4Congress @GeoffDuncanGA I don't know anyone who works harder or cares more about her country than Terre. A solid conservative, who carefully and comprehensively vets each and every candidate, if Terre says they're MAGA, you can bet the farm on it. 
Thanks Terre!
#MAGA</t>
  </si>
  <si>
    <t>RT @Carolin17951107: @Nov2018election @SykesforSenate @kelliwardaz @AjaforCongress @SaarioBrandon @AntonioSabato @Scottforpa @CoreyStewartV…</t>
  </si>
  <si>
    <t>RT @sea_witch01: @TheGunGuy85 @Nov2018election @SykesforSenate @kelliwardaz @AjaforCongress @SaarioBrandon @AntonioSabato @Scottforpa @Core…</t>
  </si>
  <si>
    <t>RT @TheGunGuy85: @Nov2018election @SykesforSenate @kelliwardaz @AjaforCongress @SaarioBrandon @AntonioSabato @Scottforpa @CoreyStewartVA @N…</t>
  </si>
  <si>
    <t>RT @Nov2018election: CA ANTONIO SABATO JR FOR CONGRESS @AntonioSabatoJr https://t.co/dhWtCtRf1W</t>
  </si>
  <si>
    <t>RT @Nov2018election: NV DANNY TARKANIAN FOR CONGRESS https://t.co/sjfnVXdqXy</t>
  </si>
  <si>
    <t>RT @Nov2018election: MO KRESS CAMBERS FOR CONGRESS @KressFCambers https://t.co/EPSoNCNqXj</t>
  </si>
  <si>
    <t>RT @Nov2018election: UTAH DR MICHAEL KENNEDY FOR US SENATE @KennedyForUtah https://t.co/o058VAjJD4</t>
  </si>
  <si>
    <t>RT @Nov2018election: TEXAS RE-ELECT GOVERNOR GREG ABBOTT @GregAbbott_TX https://t.co/MJBoW2bPse</t>
  </si>
  <si>
    <t>RT @Nov2018election: OK ANDY COLEMAN FOR CONGRESS https://t.co/QoycV5sMCK</t>
  </si>
  <si>
    <t>RT @Nov2018election: MA GEOFF DIEHL FOR US SENATE https://t.co/rXtORNuYio</t>
  </si>
  <si>
    <t>RT @Nov2018election: CA TRAVIS ALLEN FOR GOVERNOR https://t.co/656L5MxNdD</t>
  </si>
  <si>
    <t>RT @Nov2018election: TX DAN CRENSHAW FOR CONGRESS https://t.co/2m3ffumuIf</t>
  </si>
  <si>
    <t>RT @Nov2018election: CA ROXANNE BECKFORD HOGE FOR STATE ASSEMBLY https://t.co/eSYIXNFDoE</t>
  </si>
  <si>
    <t>RT @Nov2018election: MN DAVE HUGHES FOR CONGRESS https://t.co/d807VklJh1</t>
  </si>
  <si>
    <t>RT @Nov2018election: UTAH DR MICHAEL KENNEDY FOR US SENATE https://t.co/9SMvuo1Pm2</t>
  </si>
  <si>
    <t>RT @Nov2018election: MS CHRIS MCDANIEL FOR US SENATE https://t.co/ceBT50d3Mt</t>
  </si>
  <si>
    <t>RT @Nov2018election: CA BRANDON SAARIO FOR STATE SENATE https://t.co/rfmw510Efx</t>
  </si>
  <si>
    <t>RT @Nov2018election: PA SCOTT UEHLINGER FOR CONGRESS https://t.co/bbubdnYF2T</t>
  </si>
  <si>
    <t>RT @Nov2018election: NJ TRICIA FLANAGAN FOR US SENATE https://t.co/kijPwyRPmM</t>
  </si>
  <si>
    <t>RT @Nov2018election: MO KRESS CAMBERS FOR CONGRESS https://t.co/VZKCoC8Wh7</t>
  </si>
  <si>
    <t>RT @Nov2018election: CA ERIN CRUZ FOR US SENATE https://t.co/sC3VjgVF3O</t>
  </si>
  <si>
    <t>RT @Nov2018election: PA JOE BILLIE FOR CONGRESS https://t.co/CEYYQAspcZ</t>
  </si>
  <si>
    <t>RT @Nov2018election: NV DANNY TARKANIAN FOR CONGRESS https://t.co/ysOReGFXzH</t>
  </si>
  <si>
    <t>RT @Nov2018election: CA DR KENNETH WRIGHT FOR CONGRESS https://t.co/242zLDbOsM</t>
  </si>
  <si>
    <t>RT @Nov2018election: VA COREY STEWART FOR US SENATE https://t.co/Mu4vbqQ8mm</t>
  </si>
  <si>
    <t>RT @Nov2018election: AZ DR KELLI WARD FOR US SENATE https://t.co/sOizU13aVq</t>
  </si>
  <si>
    <t>RT @Nov2018election: CA AJA SMITH FOR CONGRESS https://t.co/9GAKjoq5ae</t>
  </si>
  <si>
    <t>RT @Nov2018election: TEXAS RE-ELECT GOVERNOR ABBOTT https://t.co/uAWXi6RnoP</t>
  </si>
  <si>
    <t>RT @Nov2018election: GA TRACY JORDAN FOR INSURANCE COMM https://t.co/06GhLI0O7S</t>
  </si>
  <si>
    <t>RT @Nov2018election: GA GEOFF DUNCAN FOR LT GOVERNOR https://t.co/h8RQ1nRrfs</t>
  </si>
  <si>
    <t>RT @Nov2018election: GA HUNTER HILL FOR GOVERNOR https://t.co/OurCiq8PHh</t>
  </si>
  <si>
    <t>RT @Nov2018election: GA BRADLEY GRIFFIN FOR CONGRESS https://t.co/5a8AbZA16O</t>
  </si>
  <si>
    <t>RT @Nov2018election: PA SCOTT UHELINGER FOR CONGRESS https://t.co/HKO7xvQ2Rf</t>
  </si>
  <si>
    <t>RT @Nov2018election: https://t.co/JaJWTCNjyY</t>
  </si>
  <si>
    <t>RT @Nov2018election: MI JOHN JAMES FOR US SENATE https://t.co/NL8kO2HaDJ</t>
  </si>
  <si>
    <t>RT @Nov2018election: CA ANTONIO SABATO JR FOR CONGRESS https://t.co/fGNHPjrgor</t>
  </si>
  <si>
    <t>RT @Nov2018election: MO COURTLAND SYKES FOR US SENATE 🇺🇸 https://t.co/raKerS3chx</t>
  </si>
  <si>
    <t>@JcDeplorable @solentgreenis @kanyewest Support @RealCandaceO
"Free thinking cuts" into the profits of the establishment plantation owners. 👇 They've had a good thing goin' for much too long. Time for a repudiation and at the polls.
#DrainTheSwamp 
#EndDemSlavery 
https://t.co/jbdHCTHCIf</t>
  </si>
  <si>
    <t>RT @JcDeplorable: @solentgreenis @kanyewest They call him "uncle Tom"??? They're the ones punishing him for not obeying the #dnc plantation…</t>
  </si>
  <si>
    <t>RT @AmericanLaoch: @IcyQueenBee is not only fully #maga but an amazing patriot! She’s a combat veteran from the Dessert Storm Campaign. 82n…</t>
  </si>
  <si>
    <t>RT @DaveSchreiber3: 🚨🚨🚨🚨Follow Alert🚨🚨🚨🚨
@IcyQueenBee is a true American hero! This Veteran sacrificed so much for her country during a ti…</t>
  </si>
  <si>
    <t>RT @JoanneTirado09: #REDFriday 
#GodBlessOurMilitary 
#GodBlessOurTroops 
#GodBlessAmerica 
🇺🇸🇺🇸🇺🇸🇺🇸🇺🇸 https://t.co/pROPcMZJTQ</t>
  </si>
  <si>
    <t>RT @JoanneTirado09: PRESIDENT OF THE CENTURY
I STAND WITH MY FLAG,🇺🇸
I STAND WITH MY COUNTRY🇺🇸
I STAND WITH MY PRESIDENT
DONALD J TRUMP
AND…</t>
  </si>
  <si>
    <t>RT @JoanneTirado09: Let's take a second to Appreciate a man that gets Investigated on a weekly basis and comes out clean. None of the peopl…</t>
  </si>
  <si>
    <t>RT @JoanneTirado09: @Chicago1Ray @MichaelCohen212 NBC Corrects COHEN Wiretapping 
Report.. 
#FakeNews https://t.co/475aOR5bNY</t>
  </si>
  <si>
    <t>RT @RedPilledinNY: 🚨 BREAKING 🚨 
April Jobs Report
164k jobs added
Unemployment down to 3.9% 
Wages rising
 #Jobs
#Winning
#KAG
https://…</t>
  </si>
  <si>
    <t>RT @TwatterBaas: This is a warzone! South Africa today!👇👇👇👇👇 https://t.co/0VHKzosFRT</t>
  </si>
  <si>
    <t>RT @solentgreenis: @kanyewest is pissed at the status quo and the failed Liberal agenda......time to blow the motherf*cker up! https://t.co…</t>
  </si>
  <si>
    <t>RT @DaveSchreiber3: If you get on the right Team 👇, you too, can get use to #Winning. Let's unite, he's 👇 literally saving the world! 🇺🇸🇺🇸…</t>
  </si>
  <si>
    <t>@RedPilledinNY @bdclq @POTUS Congrats on 40K Chani!!
Your time and work bringing Trumpers together is greatly appreciated.
#Winning
#MAGA 
#DrainTheSwamp https://t.co/5Ww6asZFyu</t>
  </si>
  <si>
    <t>RT @RedPilledinNY: Congratulations my beautiful friend on 40k well deserved followers!  
Chani @bdclq has brought 1000s of #Patriots &amp;amp; @PO…</t>
  </si>
  <si>
    <t>RT @realDonaldTrump: Because Jobs in the U.S. are doing so well, Americans receiving unemployment aid is the lowest since 1973. Great!</t>
  </si>
  <si>
    <t>RT @Success87473781: @realDonaldTrump #MAGA 
#AmericaFirst 
#hireamerican
#demandingfairness 
Stop #H1B #L1 #L2 #EB #OPT #TN 
Revoke #H4EAD…</t>
  </si>
  <si>
    <t>@gvr_marine Looks like a bromance to me.</t>
  </si>
  <si>
    <t>@EvOConnor15 @LisaTomain @dentalfloss48 @bdclq @Sequencer16 @RedPilledinNY @jason_kassin @JannaWilkinso69 @KidsNeedJustice @Rightwingmadman @DaveSchreiber3 @PrincessDebate @LaunaSallai @Lost_Literati @lauer_nancy @BridgetKF30 @JcDeplorable 😉</t>
  </si>
  <si>
    <t>RT @BridgetKF30: #Trump &amp;amp; #KayneWest to hold Summit on how to help Race Relations in this Country;
@POTUS wants all walls of life there, ;…</t>
  </si>
  <si>
    <t>RT @djf510: Y’all know what I love about Donald Trump? He is who he has always said he is. That’s why his base will not move and we support…</t>
  </si>
  <si>
    <t>RT @RealCandaceO: This is really sweet. Thank you for your continued support @PrisonPlanet. You were literally the first person who found m…</t>
  </si>
  <si>
    <t>@PrisonPlanet @RealCandaceO Absolutely agree.</t>
  </si>
  <si>
    <t>RT @PrisonPlanet: Lots saying she would have more impact outside the White House. Probably true in the short term, but hope to see her in t…</t>
  </si>
  <si>
    <t>RT @PrisonPlanet: Retweet if you think @RealCandaceO should be given a role within the White House. 🇺🇸</t>
  </si>
  <si>
    <t>RT @BigLeague2020: @SpazzBhabie @HawleyMO @AP4Liberty @SykesforSenate SYKES FOR SENATE
A true MAGA conservative.
Pro-Trump America First A…</t>
  </si>
  <si>
    <t>RT @Nov2018election: @SpazzBhabie @BigLeague2020 @HawleyMO @AP4Liberty @SykesforSenate I LIKE SYKES 🇺🇸 #MOSEN #MOGOP #MOPOL #MOPOLITICS htt…</t>
  </si>
  <si>
    <t>RT @SpazzBhabie: @BigLeague2020 @HawleyMO @AP4Liberty @SykesforSenate I haven't heard of that candidate yet. But all I know is that Claire…</t>
  </si>
  <si>
    <t>RT @EricGreitens: A powerful morning at Centennial Baptist Church in Mexico, celebrating the #NationalDayofPrayer. A quiet moment of worshi…</t>
  </si>
  <si>
    <t>RT @Hope4Hopeless1: @EricGreitens Governor.@EricGreitens &amp;amp; .@POTUS .@realDonaldTrump I can't begin to express my admiration &amp;amp; gratitude for…</t>
  </si>
  <si>
    <t>RT @codeofvets: WHO WILL HAVE YOUR SIX IN DC?! @SykesforSenate or Claire McCaskill🧐I CHOOSE Sykes!
MO Senate candidate-Navy Veteran https:/…</t>
  </si>
  <si>
    <t>RT @skb_sara: On this National  Day of prayer, 
SAY A PRAYER FOR OUR PRESIDENT 🇺🇸
#NationalPrayerDay 🙏🏻
#Kag 
#TrumpTrain 
#ThursdayThought…</t>
  </si>
  <si>
    <t>RT @BigLeague2020: @VivianArps “If your actions inspire others to dream more, learn more, do more and become more, you are a leader.” John…</t>
  </si>
  <si>
    <t>RT @JackPosobiec: Giuliani told Trump to stop calling Cohen after the raid bc his phone was probably tapped 
Giuliani was right</t>
  </si>
  <si>
    <t>RT @StephenMilIer: Hillary Clinton still can't figure out why she lost the election, while Trump has already figured out how to end the Kor…</t>
  </si>
  <si>
    <t>RT @MAGAgirlYall: @WiredSources Reuters poll yesterday showed support for Trump from black men has doubled recently. #JobsJobsJobs</t>
  </si>
  <si>
    <t>RT @CamillusUSA: @WiredSources I'm with you. As much as they try to spin for early advantage, I think the states still lean Trump.</t>
  </si>
  <si>
    <t>RT @WeGovernUSA: @WiredSources @Barnes_Law Told ya ! 🤣🤣 https://t.co/H11xspGvSv</t>
  </si>
  <si>
    <t>RT @courville_wayne: @WiredSources Red wave red wave red wave, capitalist sunami!!!!</t>
  </si>
  <si>
    <t>RT @WiredSources: BREAKING: Democrat momentum stalled ahead of the midterms, warns prominent Democrat polling firm - HuffPo</t>
  </si>
  <si>
    <t>RT @LisaTomain: @dentalfloss48 @bdclq @Sequencer16 @RedPilledinNY @jason_kassin @JannaWilkinso69 @KidsNeedJustice @Rightwingmadman @DaveSch…</t>
  </si>
  <si>
    <t>@LisaTomain @dentalfloss48 @bdclq @Sequencer16 @RedPilledinNY @jason_kassin @JannaWilkinso69 @KidsNeedJustice @Rightwingmadman @DaveSchreiber3 @PrincessDebate @LaunaSallai @Lost_Literati @lauer_nancy @BridgetKF30 @JcDeplorable Pull yourself together Alan.</t>
  </si>
  <si>
    <t>RT @davebrevere: @4Mischief @NetworkGuyUS @letters4trump45 @pcal4HIM @jsherm268 @lisarippa @jamesfogarty2 @lrlecuyer @PutInBayDreamin @joel…</t>
  </si>
  <si>
    <t>@ConservaMomUSA @realDonaldTrump *Smile*</t>
  </si>
  <si>
    <t>RT @ConservaMomUSA: In trying to smear @realDonaldTrump
with some sort of hysterical #ClimateChange political statement, the looney Left ha…</t>
  </si>
  <si>
    <t>RT @Irwoodstock56: America First. Surely our soldiers come before invaders. https://t.co/E3FLzvPIoa</t>
  </si>
  <si>
    <t>RT @Jali_Cat: Dear @MichelleObama,
You, nor ANY OTHER FLOTUS, is ‘forever First Lady’. You had your 8 years...and thanks be to GOD, you ar…</t>
  </si>
  <si>
    <t>RT @TempusSpiritus: We are this close to a peace treaty with North Korea and Democrats are focusing on the narrative that Trump paid a know…</t>
  </si>
  <si>
    <t>RT @MackinMelanie: This right here is Trump's America 🇺🇸💜🇺🇸💜
 https://t.co/5GyzYttnyW</t>
  </si>
  <si>
    <t>RT @Hope4Hopeless1: @JoshAlterity @joel_capizzi @AX99T1 @Vets4AP @HotlineJosh @AP4Liberty @Judgenap Sadly .@AP4Liberty has MANY #Missourian…</t>
  </si>
  <si>
    <t>RT @Sequencer16: @bdclq @JcDeplorable @The2ndA @stand4honor @CothranVicky @joel_capizzi @Rightwingmadman @Standwithjesus @tctblog @ThatBear…</t>
  </si>
  <si>
    <t>RT @bronxhoops2033: @bdclq @JcDeplorable @The2ndA @stand4honor @CothranVicky @joel_capizzi @Rightwingmadman @Standwithjesus @tctblog @ThatB…</t>
  </si>
  <si>
    <t>RT @joel_capizzi: @Sandman_HQ @codeofvets @Stump_for_Trump Let's not be under any illusions. We WILL lose the House and Trump WILL be impea…</t>
  </si>
  <si>
    <t>@ErgoStreetNurse @magathemaga1 @RealTravisCook @melody_grover @plwy31 @JohnLamping @DaynaGould @jallman971 @Monetti4Senate @AP4Liberty @SykesforSenate @johncombest @BigJShoota @BackTheCops @BackThePolice @BackTheBlueUSA @BackTheBlue911 @HotPokerPrinces @TheNewRight @MoScarlet Or block people as some candidates are doing including yours truly. Instead of doing that, tell me why you're the better candidate or at least tell me why you think I'm wrong.</t>
  </si>
  <si>
    <t>RT @ErgoStreetNurse: @magathemaga1 @RealTravisCook @joel_capizzi @melody_grover @plwy31 @JohnLamping @DaynaGould @jallman971 @Monetti4Senat…</t>
  </si>
  <si>
    <t>@ErgoStreetNurse @RealTravisCook @magathemaga1 @melody_grover @plwy31 @JohnLamping @DaynaGould @jallman971 @Monetti4Senate @AP4Liberty @SykesforSenate @johncombest @BigJShoota @BackTheCops @BackThePolice @BackTheBlueUSA @BackTheBlue911 @HotPokerPrinces @TheNewRight @MoScarlet Elected officials may not speak for us but they most certainly do represent us, thus the House of "Representatives".</t>
  </si>
  <si>
    <t>RT @ErgoStreetNurse: @RealTravisCook @magathemaga1 @joel_capizzi @melody_grover @plwy31 @JohnLamping @DaynaGould @jallman971 @Monetti4Senat…</t>
  </si>
  <si>
    <t>RT @LuanaMacLac: @joel_capizzi @Da_Trendz @Sandman_HQ @codeofvets @Stump_for_Trump AND YOU CAN KISS ALL THE THINGS HE'S DONE TO HELP AMERIC…</t>
  </si>
  <si>
    <t>RT @USA14693204: He’s a goon a fake a phony just like his buddy Ben  Schapiro there Establishment Piece of shit globalists, but we’re takin…</t>
  </si>
  <si>
    <t>@PatriotMarie Make the blue wave a  brown dump. Take nothing for granted.Your vote is crucial to
#KAG https://t.co/tZs2mC0Qeq</t>
  </si>
  <si>
    <t>RT @PatriotMarie: #TrumpTrain #TrumpsArmy 
Let’s do this again this November with mid terms 😁 The media, Never Trumpers, Rino’s, Democrats…</t>
  </si>
  <si>
    <t>@Sequencer16 @CraigAr64 @bluebird0566 @PrincessDebate @realDonaldTrump Good post. Well said.</t>
  </si>
  <si>
    <t>RT @Sequencer16: @CraigAr64 @bluebird0566 @PrincessDebate @realDonaldTrump Racist:  A word commonly misused by libtools to describe anyone…</t>
  </si>
  <si>
    <t>RT @Hope4Hopeless1: @RobertiLax @joel_capizzi @SykesforSenate Robert took a pathetic STAB at justifying the murder of the #UNBORN  
.@JoshA…</t>
  </si>
  <si>
    <t>@solentgreenis Perfectly stated.</t>
  </si>
  <si>
    <t>RT @solentgreenis: Let's unfake this headline: Kanye is the single biggest threat to the liberal agenda and since he might get people talki…</t>
  </si>
  <si>
    <t>RT @BigLeague2020: @Vets4AP @StandBsideHer @Hope4Hopeless1 @AX99T1 @JoshAlterity @HotlineJosh @AP4Liberty @RLibertyCaucus @SykesforSenate I…</t>
  </si>
  <si>
    <t>RT @BigLeague2020: @Vets4AP @StandBsideHer @Hope4Hopeless1 @AX99T1 @JoshAlterity @HotlineJosh @AP4Liberty @RLibertyCaucus Thomas Jefferson…</t>
  </si>
  <si>
    <t>RT @StandBsideHer: @Hope4Hopeless1 @AX99T1 @JoshAlterity @Vets4AP @HotlineJosh @AP4Liberty @RLibertyCaucus #MOSEN
NEVER TRUMPER LIBERTARIA…</t>
  </si>
  <si>
    <t>RT @joel_capizzi: @RobertiLax @SykesforSenate The "real issue" is who does the "classifying", whether it's life or isn't, murdered a human…</t>
  </si>
  <si>
    <t>@RobertiLax @SykesforSenate The "real issue" is who does the "classifying", whether it's life or isn't, murdered a human being or haven't, or when does the unborn become a human being? Liberals can't answer that question.</t>
  </si>
  <si>
    <t>RT @Nov2018election: @joel_capizzi @SykesforSenate  https://t.co/zgO7g3XcCE</t>
  </si>
  <si>
    <t>RT @Nov2018election: @joel_capizzi @SykesforSenate  https://t.co/olkEJA7rQb</t>
  </si>
  <si>
    <t>RT @BigLeague2020: @joel_capizzi @SykesforSenate #MOSEN #MAGA https://t.co/SI4Bja1dQt</t>
  </si>
  <si>
    <t>RT @Randy72212332: @BigLeague2020 @joel_capizzi @SykesforSenate Well, according to planned parenthood and Andrea Yates
They're not.</t>
  </si>
  <si>
    <t>RT @BigLeague2020: @joel_capizzi @SykesforSenate #ChooseLife And Be Blessed For Life
Children Are A Gift From God
#ProLife https://t.co/C…</t>
  </si>
  <si>
    <t>RT @joel_capizzi: @Hope4Hopeless1 @JoshAlterity @AX99T1 @Vets4AP @HotlineJosh @AP4Liberty @Judgenap May I?
 https://t.co/SGP2q7rGOE</t>
  </si>
  <si>
    <t>@Hope4Hopeless1 @JoshAlterity @AX99T1 @Vets4AP @HotlineJosh @AP4Liberty @Judgenap May I?
 https://t.co/SGP2q7rGOE</t>
  </si>
  <si>
    <t>RT @Hope4Hopeless1: @JoshAlterity @joel_capizzi @AX99T1 @Vets4AP @HotlineJosh @AP4Liberty @Judgenap .@JoshAlterity 
TWO genuine ?s
1. Is "…</t>
  </si>
  <si>
    <t>@JoshAlterity @AX99T1 @Vets4AP @Hope4Hopeless1 @HotlineJosh @AP4Liberty You're not "paying attention to Petersen himself". I got it from him. The question you should ask him is when and more importantly WHY did he change? If ask him myself but he blocked me 6 months ago.</t>
  </si>
  <si>
    <t>RT @BigLeague2020: @Vets4AP @StandBsideHer @Hope4Hopeless1 @AX99T1 @JoshAlterity @HotlineJosh @AP4Liberty @RLibertyCaucus https://t.co/KXSJ…</t>
  </si>
  <si>
    <t>RT @BigLeague2020: @Vets4AP @StandBsideHer @Hope4Hopeless1 @AX99T1 @JoshAlterity @HotlineJosh @AP4Liberty @RLibertyCaucus https://t.co/ABfO…</t>
  </si>
  <si>
    <t>RT @BigLeague2020: @Vets4AP @StandBsideHer @Hope4Hopeless1 @AX99T1 @JoshAlterity @HotlineJosh @AP4Liberty @RLibertyCaucus https://t.co/6eK2…</t>
  </si>
  <si>
    <t>RT @BigLeague2020: @Vets4AP @StandBsideHer @Hope4Hopeless1 @AX99T1 @JoshAlterity @HotlineJosh @AP4Liberty @RLibertyCaucus https://t.co/Fpfb…</t>
  </si>
  <si>
    <t>RT @BigLeague2020: @Vets4AP @StandBsideHer @Hope4Hopeless1 @AX99T1 @JoshAlterity @HotlineJosh @AP4Liberty @RLibertyCaucus https://t.co/Vg8j…</t>
  </si>
  <si>
    <t>RT @BigLeague2020: @Vets4AP @StandBsideHer @Hope4Hopeless1 @AX99T1 @JoshAlterity @HotlineJosh @AP4Liberty @RLibertyCaucus https://t.co/cOxu…</t>
  </si>
  <si>
    <t>RT @BigLeague2020: @Vets4AP @StandBsideHer @Hope4Hopeless1 @AX99T1 @JoshAlterity @HotlineJosh @AP4Liberty @RLibertyCaucus Real Leadership I…</t>
  </si>
  <si>
    <t>RT @JoanneTirado09: @Chicago1Ray  https://t.co/2l9HiPaZWi</t>
  </si>
  <si>
    <t>RT @heliosiamallfa1: @SecPompeo, it pains me to burden you with even more corruption within the @StateDept. Look at this page from the @FBI…</t>
  </si>
  <si>
    <t>RT @LisaTomain: On this day of #NationalDayOfPrayer please include my dear friend 👉🏻@DwightC87 in your prayers. 🙏
#FindACureForALS https:/…</t>
  </si>
  <si>
    <t>RT @JoanneTirado09: "The problem isn't so much that HILLARY is a corrupt lying criminal.
Everyone knows this!!
The problem is her supporter…</t>
  </si>
  <si>
    <t>RT @Success87473781: #H1B
@amazon is top employer of cheap foreign labor
#MAGA 
#KAG2020 https://t.co/pt4RVqpBs4</t>
  </si>
  <si>
    <t>@mtenorio77 "Boy": big problem. Pedophilia? Not so much.</t>
  </si>
  <si>
    <t>RT @DaveSchreiber3: 🚨🚨🚨Follow Alert🚨🚨🚨
Let's help @USAHotLips get her followers back and add some new ones! The bastion of free speech, tw…</t>
  </si>
  <si>
    <t>RT @mtenorio77: Man hating feminists’ had to attack little boys’ scouts! That tells me all I need to know about liberal feminists’, they wa…</t>
  </si>
  <si>
    <t>RT @JcDeplorable: 🇺🇸Only 90 more to 40k! @bdclq went out to dinner, let's get her to 40k by the time she gets back! Follow @bdclq and retwe…</t>
  </si>
  <si>
    <t>RT @Rightwingmadman: What's that? You're not already following 
 👉👉👉@bdclq???👈👈👈
Then you're missing out. One of the most #MAGA-nificent an…</t>
  </si>
  <si>
    <t>RT @JcDeplorable: @cordani182 @blueblood1404 @PaulaStamps4 @rocksiphone @kanyewest Though I'll answer it.
1. The modern feminist movement i…</t>
  </si>
  <si>
    <t>RT @CraigAr64: @bluebird0566 @PrincessDebate @realDonaldTrump I am a vet and Dems always want to redistribute my wealth not theirs</t>
  </si>
  <si>
    <t>RT @JcDeplorable: 🤔Someone please correct me if I'm wrong? In other words he was paid to feed information to the press that accomplished th…</t>
  </si>
  <si>
    <t>RT @CraigAr64: @bluebird0566 @PrincessDebate @realDonaldTrump If I get called a racist one more time by a person who doesn't know me, I wil…</t>
  </si>
  <si>
    <t>RT @BigLeague2020: @Vets4AP @StandBsideHer @Hope4Hopeless1 @AX99T1 @JoshAlterity @HotlineJosh @AP4Liberty @RLibertyCaucus Look deeper. 
NE…</t>
  </si>
  <si>
    <t>Courtland Sykes: https://t.co/UNo4lANM3T</t>
  </si>
  <si>
    <t>AP4: https://t.co/6DPTdNoW5K</t>
  </si>
  <si>
    <t>AP4 vs Trump vs Sykes.
Trump: https://t.co/LMASAsaRGa</t>
  </si>
  <si>
    <t>RT @Hope4Hopeless1: @JoshAlterity @joel_capizzi @AX99T1 @Vets4AP @HotlineJosh @AP4Liberty .@JoshAlterity your CON MAN Candidate #MOSEN .@AP…</t>
  </si>
  <si>
    <t>@JoshAlterity @AX99T1 @Vets4AP @Hope4Hopeless1 @HotlineJosh @AP4Liberty I give you credit for not blocking me which is more than I can say for a candidate running for the US Senate. What's up with that anyway?</t>
  </si>
  <si>
    <t>@JoshAlterity @AX99T1 @Vets4AP @Hope4Hopeless1 @HotlineJosh @AP4Liberty The tapes are in my TL. Listen for yourself and have a nice day.</t>
  </si>
  <si>
    <t>RT @Hope4Hopeless1: @Vets4AP @JoshAlterity @joel_capizzi @AX99T1 @HotlineJosh @AP4Liberty .@vets4AP so it's taken you following 353 Twitter…</t>
  </si>
  <si>
    <t>@RawDawgBuffalo @bdclq @Cannoli_Joe @JcDeplorable @MartinB45719553 @The2ndA @Rightwingmadman @ouchinagirl @Dragonstar028 @MaiWorld51 @DIDNOTVOTE4HIM @DoringHaak @aligiarc @tillmantweets @geminirequired @dr_palazzolo @Pr0litical @mr65gibson Let me recycle this real quick:
 https://t.co/NyQ9gW3Pqm</t>
  </si>
  <si>
    <t>@bknighton76 Absolutely positively does and if we don't get it right we might quite literally kiss it all goodbye.</t>
  </si>
  <si>
    <t>RT @bknighton76: Cause It Does https://t.co/WkEzY0MXNf</t>
  </si>
  <si>
    <t>@MichelleTrain79 I didn't look but I take your word for it.</t>
  </si>
  <si>
    <t>@MichelleTrain79 I found and blocked her. Thank you.</t>
  </si>
  <si>
    <t>To AP4 and supporters:
I'll never attack you personally but when it comes to policy and my country, it's wide open. Get used to it.</t>
  </si>
  <si>
    <t>@winans3392 That's Tarlov's problem, not mine.</t>
  </si>
  <si>
    <t>RT @joel_capizzi: Election 2018:
Think IMPEACHMENT. One House vote can make the difference. 
Vote as if election 2016 depends on it. 
#M…</t>
  </si>
  <si>
    <t>@MichelleTrain79 I'll have to go back and listen again. Still not sure how to do that. Haha</t>
  </si>
  <si>
    <t>RT @MichelleTrain79: @joel_capizzi Welcome. Always check your followers, learned that today</t>
  </si>
  <si>
    <t>@mekumpf @SamGCHQ @netwrkguy @powerglobalus @501battlion @NevadaJack2 @christymatson64 @Redhead4645 @Cimarron_Ranch @TribeTrump Not factions, policy.</t>
  </si>
  <si>
    <t>@MichelleTrain79 Much appreciated. Thanks.</t>
  </si>
  <si>
    <t>RT @MichelleTrain79: @joel_capizzi  https://t.co/JibFSua7Zw</t>
  </si>
  <si>
    <t>@JoshAlterity @AX99T1 @Vets4AP @Hope4Hopeless1 @HotlineJosh @AP4Liberty And how do you propose AP would enforce Missouri borders when he supports open national borders?</t>
  </si>
  <si>
    <t>RT @Hope4Hopeless1: @JoshAlterity @AX99T1 @Vets4AP @HotlineJosh @AP4Liberty @RLibertyCaucus Your CON MAN "candidate" .@AP4Liberty 
is SHADY…</t>
  </si>
  <si>
    <t>RT @Hope4Hopeless1: @AX99T1 @JoshAlterity @Vets4AP @HotlineJosh @AP4Liberty @RLibertyCaucus AGREED!!! #Missourians ESPECIALLY their sons &amp;amp;…</t>
  </si>
  <si>
    <t>@richsju9 @BigLeague2020 @Vets4AP @Hope4Hopeless1 @HotlineJosh @AP4Liberty Since his fearless leader blocked me, me too.</t>
  </si>
  <si>
    <t>@winans3392 If you're directing that to me, legal Immigration isn't a "point" in a party "bucket".</t>
  </si>
  <si>
    <t>RT @BigLeague2020: @joel_capizzi @Vets4AP @Hope4Hopeless1 @HotlineJosh @AP4Liberty AUSTIN PETERSEN TWEETS
A LIBERTARIAN HIDING IN “SHEEP”…</t>
  </si>
  <si>
    <t>@HotlineJosh  https://t.co/V6c89sKIm8</t>
  </si>
  <si>
    <t>RT @joel_capizzi: @BigLeague2020 @Vets4AP @Hope4Hopeless1 @HotlineJosh @AP4Liberty I'm a libertarian. Nope, I'm a Republican. 
Trumpers ar…</t>
  </si>
  <si>
    <t>@BigLeague2020 @Vets4AP @Hope4Hopeless1 @HotlineJosh @AP4Liberty I'm a libertarian. Nope, I'm a Republican. 
Trumpers are sheep. Now what? 
Trump's a facist and I'm a never-Trumper. Nope, I'm MAGA, just ask me. 
I support illegal immigration. (You're guess is as good as mine on that one). https://t.co/0HwLeztevq</t>
  </si>
  <si>
    <t>RT @BigLeague2020: @Vets4AP @Hope4Hopeless1 @HotlineJosh @AP4Liberty AUSTIN SPEAKS
IN HIS OWN WORDS
https://t.co/fn9FR28fi5</t>
  </si>
  <si>
    <t>RT @geminirequired: @bdclq @JcDeplorable @MartinB45719553 @The2ndA @Rightwingmadman @ouchinagirl @joel_capizzi @Dragonstar028 @MaiWorld51 @…</t>
  </si>
  <si>
    <t>RT @geminirequired: @bdclq @LisaTomain @Sequencer16 @RedPilledinNY @jason_kassin @JannaWilkinso69 @KidsNeedJustice @Rightwingmadman @DaveSc…</t>
  </si>
  <si>
    <t>RT @joel_capizzi: @GameOfTrumpster @jen4trump1 @AdolphusGusII Another Trump iron in the fire.
https://t.co/gVx6qslLCt</t>
  </si>
  <si>
    <t>RT @therealroseanne: old ppl!!! register and vote! 🚨May 8th Is Critical🚨
✔️Ohio Primary
✔️Indiana Primary
✔️West Virginia Primary
✔️North…</t>
  </si>
  <si>
    <t>@GameOfTrumpster @jen4trump1 @AdolphusGusII Another Trump iron in the fire.
https://t.co/gVx6qslLCt</t>
  </si>
  <si>
    <t>RT @ChucksWife1973: Saying nothing....sometimes says the most.
🇺🇸🇺🇸🇺🇸🇺🇸🇺🇸🇺🇸🇺🇸🇺🇸🇺🇸🇺🇸💙
Emily Dickinson https://t.co/7u9SnmBJYh</t>
  </si>
  <si>
    <t>RT @TuffAdams: @joel_capizzi @RickySi16087724 Overnight camping trips just got a little more interesting...</t>
  </si>
  <si>
    <t>@steph93065 We can put it towards the wall.</t>
  </si>
  <si>
    <t>RT @steph93065: Obama 2008 campaign fined $375,000 https://t.co/DRa8bTdaN8</t>
  </si>
  <si>
    <t>@JoanneTirado09 @Chicago1Ray @kanyewest @therealroseanne And this is a bad thing?</t>
  </si>
  <si>
    <t>RT @JoanneTirado09: @Chicago1Ray @kanyewest @therealroseanne  https://t.co/Ae4CswZG6p</t>
  </si>
  <si>
    <t>RT @carolmuth1967: And Big Brothers and Big Sisters! https://t.co/hSrgazfcRZ</t>
  </si>
  <si>
    <t>RT @Doodisgirl: This is America’s Heritage.
It is up to us to ensure that it is also America’s future.
❤️🙏🏼🇺🇸
#NationalDayOfPrayer https://…</t>
  </si>
  <si>
    <t>RT @KekistanAntifa1: @joel_capizzi Some are quiet about it, some are very vocal. I'm the latter and am encouraged that people are starting…</t>
  </si>
  <si>
    <t>@KekistanAntifa1 I'll go down swinging brother and take a few with me. 👍</t>
  </si>
  <si>
    <t>RT @KekistanAntifa1: @joel_capizzi Good news is sane "democrats" are fleeing this stupidity brother. I'm in a heavily blue union state and…</t>
  </si>
  <si>
    <t>RT @ouchinagirl: @g8torbait86 @bdclq @JcDeplorable @MartinB45719553 @The2ndA @Rightwingmadman @joel_capizzi @Dragonstar028 @MaiWorld51 @DID…</t>
  </si>
  <si>
    <t>@carolmuth1967  https://t.co/qvZspqnLU9</t>
  </si>
  <si>
    <t>@weightman_gary3 @RickySi16087724 It's toast. Next thing you know pink hats will be part of the uniform. Move on.</t>
  </si>
  <si>
    <t>RT @weightman_gary3: @joel_capizzi @RickySi16087724 BOYSCOUTS ARE GONE. NEED A NEW ORGANIZATION!</t>
  </si>
  <si>
    <t>@KekistanAntifa1 Don't think you are. There are movements set upon doing exactly.</t>
  </si>
  <si>
    <t>@carolmuth1967 We had Boy Scouts but also "Boys Clubs". This is socialists implementing "Universalism" as opposed to "Individualism". Remember the "Mao" coats?</t>
  </si>
  <si>
    <t>RT @carolmuth1967: That sounds like an excellent idea! "Back In The Day" boys, their friends, and Dads would go fishing, camping, fix cars…</t>
  </si>
  <si>
    <t>@solentgreenis @CB618444 @MichaelAvenatti @POTUS aka "silent coup".</t>
  </si>
  <si>
    <t>@carolmuth1967 Start private "Boy Scout" clubs. Screw em.</t>
  </si>
  <si>
    <t>@LukeSmi80066520 @1legaleagle19 @TinkyWinkyDude @RealJamesWoods @PressSec It's spelled "dodging" numbnuts. Go back to school.</t>
  </si>
  <si>
    <t>@therealroseanne Getting rid of Rahm Emanuel would be a good place to start.</t>
  </si>
  <si>
    <t>https://t.co/0zuQ61PEbM caved to PC. Wheres the male leadership? Maybe you should drop boy from "Boy Scouts". 
https://t.co/xjaJXibzSH</t>
  </si>
  <si>
    <t>RT @BigLeague2020: “Real change means restoring honesty to our government.” .@realDonaldTrump 
🇺🇸SYKES FOR SENATE🇺🇸
LEADERSHIP🇺🇸HONOR🇺🇸IN…</t>
  </si>
  <si>
    <t>What's the point of seating conservatives on the Supreme Court if clear violations of our 1st Amendment aren't challenged?
https://t.co/5D4S9uOfkh</t>
  </si>
  <si>
    <t>RT @MichelleTrain79: https://t.co/I1fqMRL2Ce</t>
  </si>
  <si>
    <t>@MichelleTrain79 Unfortunately I'm not able to make out "Lia" what's her name's Twitter handle.</t>
  </si>
  <si>
    <t>RT @NiteMare817: Block the Troll https://t.co/MmmL0w7g3c</t>
  </si>
  <si>
    <t>RT @Nov2018election: @SykesforSenate  https://t.co/yDxY6LGmD9</t>
  </si>
  <si>
    <t>RT @mtenorio77: I’ve wanted to say something for a while! A couple of people from the Greg Gutfeld show once said that the group Britain Fi…</t>
  </si>
  <si>
    <t>@SykesforSenate @AGJoshHawley @clairecmc Fitness instructor would be a better fit than attorney.</t>
  </si>
  <si>
    <t>RT @lawlerchuck1: @bdclq @The2ndA @JcDeplorable @MartinB45719553 @Rightwingmadman @ouchinagirl @joel_capizzi @Dragonstar028 @MaiWorld51 @DI…</t>
  </si>
  <si>
    <t>@RoxiP5 @rocksiphone @OneRowdyGent @ogmarty @Ingenius31 @Ocelcock @kanyewest Do you have any campaign pics I can use sir?</t>
  </si>
  <si>
    <t>RT @RoxiP5: @rocksiphone @joel_capizzi @OneRowdyGent @ogmarty @Ingenius31 @Ocelcock @kanyewest It’s about time my race started to wake up.…</t>
  </si>
  <si>
    <t>@YearOfZero @SykesforSenate A whole truckload needs to go. Jeff?</t>
  </si>
  <si>
    <t>RT @YearOfZero: @SykesforSenate He needs to go</t>
  </si>
  <si>
    <t>RT @BigLeague2020: @SykesforSenate SYKES FOR SENATE
LEADERSHIP AT ITS FINEST
#MOSEN #MISSOURI https://t.co/RZvVe30TnS</t>
  </si>
  <si>
    <t>RT @SykesforSenate: Is there a Constitutional amendment we don't know about making #RodRosenstein king of #America and more powerful than t…</t>
  </si>
  <si>
    <t>RT @BigLeague2020: “During Small Business Week, we celebrate the great, hard-working entreprenueurs across our country who have started and…</t>
  </si>
  <si>
    <t>@magathemaga1 @RealTravisCook @ErgoStreetNurse @melody_grover @plwy31 @JohnLamping @DaynaGould @jallman971 @Monetti4Senate @AP4Liberty @SykesforSenate @johncombest @BigJShoota @BackTheCops @BackThePolice @BackTheBlueUSA @BackTheBlue911 @HotPokerPrinces @TheNewRight @MoScarlet I would submit to you turnout is crucial in all elections, more so now given the increase in voter fraud.</t>
  </si>
  <si>
    <t>RT @magathemaga1: @RealTravisCook @ErgoStreetNurse @joel_capizzi @melody_grover @plwy31 @JohnLamping @DaynaGould @jallman971 @Monetti4Senat…</t>
  </si>
  <si>
    <t>@magathemaga1 @RealTravisCook @ErgoStreetNurse @melody_grover @plwy31 @JohnLamping @DaynaGould @jallman971 @Monetti4Senate @AP4Liberty @SykesforSenate @johncombest @BigJShoota @BackTheCops @BackThePolice @BackTheBlueUSA @BackTheBlue911 @HotPokerPrinces @TheNewRight @MoScarlet I agree with you. I Misunderstood and deleted my RT. 👍</t>
  </si>
  <si>
    <t>RT @kacrary2: Courtland Sykes for Senate! https://t.co/cxsy3Iok4V</t>
  </si>
  <si>
    <t>@HughFSports @RealCandaceO @benshapiro I'm good.</t>
  </si>
  <si>
    <t>@hrenee80 Well put. Great post.</t>
  </si>
  <si>
    <t>RT @hrenee80: I didn’t care about Stormy yesterday. 
I don’t care about Stormy today. 
Unless Stormy is going to take on the corrupt establ…</t>
  </si>
  <si>
    <t>RT @RyanAFournier: #StudentsForTrump across our nation are MAKING AMERICA GREAT! 🇺🇸 https://t.co/1pZ5rFhR3p</t>
  </si>
  <si>
    <t>RT @GameOfTrumpster: Rudy Giuliani: I'm sorry Hillary, but you're a criminal https://t.co/jpE1vfNNrn</t>
  </si>
  <si>
    <t>RT @panem075: Saw Austin Petersen's posts about Mother Teresa, @AuthorLMendez and @TBCJay were correct in calling him a professional Intern…</t>
  </si>
  <si>
    <t>RT @joel_capizzi: Anti-religion self-proclaimed agnostic Austin Petersen bashes Mother Teresa in his "10 reasons Mother Teresa is a fraud"…</t>
  </si>
  <si>
    <t>RT @joel_capizzi: @melody_grover @magathemaga1 @plwy31 @ErgoStreetNurse @JohnLamping @DaynaGould @jallman971 @Monetti4Senate @AP4Liberty @S…</t>
  </si>
  <si>
    <t>RT @joel_capizzi: Anti-religion, pro-choice Austin Petersen "admitted that he was raised in a Christian home but considers himself a "mater…</t>
  </si>
  <si>
    <t>RT @joel_capizzi: In his own words: AUSTIN PETERSEN FAVORS ILLEGAL IMMIGRATION. https://t.co/wwb4COtIH9</t>
  </si>
  <si>
    <t>RT @jtfmaga: Thank you for Covering the truth! #JTFMAGA https://t.co/VCXdCF7VA7</t>
  </si>
  <si>
    <t>RT @LisaTomain: Thank God 🙏for this group of Patriots🇺🇸 Please follow @jtfmaga and help spread the word. Exposing the #DeepStateCabal and n…</t>
  </si>
  <si>
    <t>RT @HDowning113: @joel_capizzi I'm SYKED FOR SYKES 
HE WILL BUILD THE WALL TO KEEP ILLEGALS OUT OF 
   🇺🇸THE U.S.A.🇺🇸 https://t.co/cQEVWFMC…</t>
  </si>
  <si>
    <t>Hillary: Reason number 1,367 why I lost an election that took place 18 months ago. Who besides her gives a rat's butt?
https://t.co/8LvaZG5GpJ</t>
  </si>
  <si>
    <t>RT @SykesforSenate: It's only a matter of time before the people of Iran exchange Islamic law for equality as they stand up for human right…</t>
  </si>
  <si>
    <t>RT @BigLeague2020: @joel_capizzi @Nov2018election ENOUGH IS ENOUGH
SEND PRESIDENT TRUMP THE SUPPORT HE NEEDS
🇺🇸SYKES FOR SENATE🇺🇸
THE RE…</t>
  </si>
  <si>
    <t>RT @Trumpfan1995: So what’s Mueller going to do if @POTUS refuses an interview?
Subpoena him?
Arrest him?
Trump is the PRESIDENT OF THE…</t>
  </si>
  <si>
    <t>RT @Hope4Hopeless1: @HotlineJosh #Missourians 
BEWARE 
#NeverTrump
LIBERTARIAN
.@AP4Liberty #Mosen 
#ProHillary2016
#AustinPetersen
IS
A…</t>
  </si>
  <si>
    <t>Why be concerned about the US Supreme Court if we don't use it to challenge this? This is a clear violation of our 1st Amendment right to free speech. 
https://t.co/5D4S9uOfkh</t>
  </si>
  <si>
    <t>RT @Shar_n_Shar: A sign of the current climate is that nobody is shocked https://t.co/wHjTvs72Nr</t>
  </si>
  <si>
    <t>RT @Thomas1774Paine: FEDS DROP BOMBSHELL: Comey &amp;amp; Lynch Colluded with Clinton Campaign to Entrap, Wiretap Trump; Illegal Scheme Involved En…</t>
  </si>
  <si>
    <t>@billbradbrooke @mimialoha55 The destruction of American tradition, family values and the Judeo/Christian ethic are being replaced with socialist universalism. When do we say this far and no farther? Boy Scout leaders, stand up against the tyranny!</t>
  </si>
  <si>
    <t>RT @therealroseanne: Help Register old ppl to vote! Some of them have never voted!</t>
  </si>
  <si>
    <t>RT @Poruje: @bdclq @DaveSchreiber3 @LisaTomain @Sequencer16 @RedPilledinNY @jason_kassin @JannaWilkinso69 @KidsNeedJustice @Rightwingmadman…</t>
  </si>
  <si>
    <t>RT @Success87473781: Immigration attorneys pockets are hit with lower #H1B filings and they are ganging up on @uscis and @POTUS .
Really yo…</t>
  </si>
  <si>
    <t>RT @Success87473781: @USCongress DO YOUR JOB and PROTECT USA and her CITIZENS.
Pass laws to secure our border.
The system is rigged.
No #As…</t>
  </si>
  <si>
    <t>RT @LibberTea: Jon Tester - Montana!  Are you proud or embarrassed?👇 
Montana you can do MUCH BETTER!!!
White House: Jackson no longer serv…</t>
  </si>
  <si>
    <t>RT @mtenorio77: @SecretService 
I didn’t forget what Madonna said about thinking an awful lot about blowing up the White House! 
Neither…</t>
  </si>
  <si>
    <t>RT @Success87473781: https://t.co/ju3qtnkQOU is a Soros paid open border grp pushing for  cheap foreign labor on behalf of Silicon valley
N…</t>
  </si>
  <si>
    <t>RT @LisaMei62: Joe diGenova: Mueller Has No Authority Under Federal Law to Issue Presidential Subpoena to Get Testimony to Prompt Impeachme…</t>
  </si>
  <si>
    <t>RT @LisaTomain: This 👇🏻is a person to follow. Very smart analysis 🇺🇸 https://t.co/idKLN1XuMy</t>
  </si>
  <si>
    <t>RT @rocksiphone: @OneRowdyGent @ogmarty @Ingenius31 @Ocelcock @kanyewest BOOM! Black Male Support for President Trump DOUBLES IN ONE WEEK T…</t>
  </si>
  <si>
    <t>RT @mtenorio77: So! Mad Maxine Waters is upset because Kanye West thinks for himself!!! Try to swallow that one! 😲</t>
  </si>
  <si>
    <t>RT @mtenorio77: Rest In Peace! 🙏🏼🙏🏼🙏🏼 https://t.co/AlLEvtaOoG</t>
  </si>
  <si>
    <t>RT @mtenorio77: President Donald J. Trump is guilty of collusion! He colluded with over 63 Million American citizens’ that voted for him!…</t>
  </si>
  <si>
    <t>RT @mtenorio77: https://t.co/TapKexoBJj</t>
  </si>
  <si>
    <t>@mtenorio77 Make my day. Right there with you brother. 👍</t>
  </si>
  <si>
    <t>RT @mtenorio77: You Stomp My Flag...I’ll Stomp Your Ass! https://t.co/vMSkilZPdR</t>
  </si>
  <si>
    <t>RT @mtenorio77: Everyone needs to see this! This is happening to our friends’ in England! 😡😡 https://t.co/5O8eNtuw9X</t>
  </si>
  <si>
    <t>RT @CraigAr64: The GOP needs to put out quality candidates and the voters need to hit the polls in big numbers. Also they need to push the…</t>
  </si>
  <si>
    <t>RT @CraigAr64: This is a disgrace, why won't they review the appointment of a special consel with no scope and no crime. Who is extorting w…</t>
  </si>
  <si>
    <t>RT @CraigAr64: It is starting to appear that the two party system is between the Freedom Caucus and Progressives, where are the Repubs been…</t>
  </si>
  <si>
    <t>RT @ouchinagirl: Thanks for the share❣️ What a GREAT video to start off the morning❣️ 
TRUMP WINS INDIANA
TRUMP WINS N CAROLINA
TRUMP WINS…</t>
  </si>
  <si>
    <t>RT @Sequencer16: @true_pundit First off, when you attack Trump you attack his voters.  Second, you're lying.</t>
  </si>
  <si>
    <t>RT @JoanneTirado09: @Chicago1Ray @seanhannity  https://t.co/e9ZJYAbh2p</t>
  </si>
  <si>
    <t>RT @Sequencer16: Really? 😂. Ego much?  Is this the same Romney who's conscience wouldn't allow him to vote for Trump?  You really think you…</t>
  </si>
  <si>
    <t>RT @JoanneTirado09: "Everyday is Veterans day"
"Veteran =Hero"
#GodBlessOurVeterans 
🇺🇸🇺🇸🇺🇸🇺🇸🇺🇸 https://t.co/1hJeUjji69</t>
  </si>
  <si>
    <t>RT @solentgreenis: Dont worry We have the best running our FBI they will get to the bottom of it all........Ace Mccabe https://t.co/C9GfRj0…</t>
  </si>
  <si>
    <t>RT @Deanbarrettuk: Completely agree take care your tribe first folk anything left pot for sure help others  USA https://t.co/vtQXfUwz0o</t>
  </si>
  <si>
    <t>RT @LisaTomain: So close to 10k give this patriot a follow 👇🏻 https://t.co/fLBN8qGurf</t>
  </si>
  <si>
    <t>RT @Nov2018election: GEORGIA SWAMP 🐍 🚫 NEVER RALSTON NEVER CAGLE https://t.co/yw1yWVIUyN</t>
  </si>
  <si>
    <t>RT @Nov2018election: GEORGIA PLEASE READ 🔽🔽🔽 #DRAINTHEGASWAMP 🐍 https://t.co/Uv3YRRgHm3</t>
  </si>
  <si>
    <t>RT @Nov2018election: GEORGIA SWAMP 🐍 HOUSE SPEAKER DAVID RALSTON #NEVERRALSTON 😡 https://t.co/zf0HZ3gnq6</t>
  </si>
  <si>
    <t>RT @Nov2018election: 🍑GA SWAMP NEVER #CASEYCAGLE 😡 https://t.co/kcv1ZEgfa2</t>
  </si>
  <si>
    <t>RT @Nov2018election: GA SWAMP DAVID SHAFER🐍 NEVER #SHADYSHAFER 😡 https://t.co/zjzC8sZhMC</t>
  </si>
  <si>
    <t>RT @Nov2018election: 🍑GA DRAIN THE SWAMP 🐍🐍 DON’T RE-ELECT HOUSE SPEAKER DAVID RALSTON @GaHouseHub HELD UP SESSION’S END FOR BILL PUSHED BY…</t>
  </si>
  <si>
    <t>RT @aligiarc: @bdclq @JcDeplorable @MartinB45719553 @The2ndA @Rightwingmadman @ouchinagirl @joel_capizzi @Dragonstar028 @MaiWorld51 @DIDNOT…</t>
  </si>
  <si>
    <t>RT @Nov2018election: @joel_capizzi  https://t.co/J2vHFsQdJk</t>
  </si>
  <si>
    <t>RT @Nov2018election: @joel_capizzi  https://t.co/xzKbTWgv56</t>
  </si>
  <si>
    <t>RT @gr8tjude: You will be known as the First Lady to one of the worst President in history!
Michelle Obama Says She's America's 'Forever F…</t>
  </si>
  <si>
    <t>RT @GameOfTrumpster: After listening to the harassment of the Trump campaign witnesses, how much money, death threats, lives ruined by Robe…</t>
  </si>
  <si>
    <t>RT @EJ_Atwood: @SykesforSenate #MOSEN the only candidate for Missouri! #VoteRed #ILikeSykes https://t.co/7vC2R4Mw5a</t>
  </si>
  <si>
    <t>@SykesforSenate doesnt. https://t.co/vafjVqVy0A</t>
  </si>
  <si>
    <t>In his own words: AUSTIN PETERSEN FAVORS ILLEGAL IMMIGRATION. https://t.co/wwb4COtIH9</t>
  </si>
  <si>
    <t>@satex @Lottiermi @JLPtalk And his 22 little buddies.</t>
  </si>
  <si>
    <t>@LukeSmi80066520 @TinkyWinkyDude @1legaleagle19 @RealJamesWoods @PressSec Here. Catch up on your reading.
https://t.co/Ib84ChDwMH</t>
  </si>
  <si>
    <t>RT @joel_capizzi: @julylady2010 It's a start. Fetal heartbeat is detected at 6 weeks but begins at 3. Life begins at the moment of concepti…</t>
  </si>
  <si>
    <t>RT @JanMCGA: @MittRomney  You should have never said it. Enjoy your retirement. https://t.co/fMoRiOE9Bs</t>
  </si>
  <si>
    <t>RT @joel_capizzi: @ED_10_Forever "Pretty sure" they did it legally.
"Pretty sure" they learned and spoke English.
"Pretty sure" they swor…</t>
  </si>
  <si>
    <t>RT @CeciliaFrances4: @joel_capizzi @1Romans58 THIS IS WHAT I REMEMBER ABOUT
HIM! NO @MittRomney NOW BC YOU NEED TRUMPERS SUPPORTERS GO HOME!</t>
  </si>
  <si>
    <t>RT @joel_capizzi: @RealCandaceO @benshapiro Why does Tomi Lahren feel compelled to tell "free thinkers" how to think? Isn't "thinking" all…</t>
  </si>
  <si>
    <t>@RealCandaceO @benshapiro Why does Tomi Lahren feel compelled to tell "free thinkers" how to think? Isn't "thinking" all you and Kanye are proposing black folks do?
https://t.co/wZFMLAlcs1</t>
  </si>
  <si>
    <t>RT @RealCandaceO: I would call out @tomilahren for hating on Kanye, but she blocked me.</t>
  </si>
  <si>
    <t>@bbstackesDj Thank you.</t>
  </si>
  <si>
    <t>RT @bbstackesDj: Military &amp;amp;#038; Veteran Discounts Guide: The Ultimate List of Stores https://t.co/8bahq4SIP5</t>
  </si>
  <si>
    <t>RT @polishprincessh: Total ignorance. What rights would she have in other countries if she came illegally? Prison, deported or years at har…</t>
  </si>
  <si>
    <t>RT @4Mischief: GOD’S Angel for Trump #58 is             😇 @S_Cooper0404 Please Retweet this to your Followers. She saved the Angels for Tru…</t>
  </si>
  <si>
    <t>RT @RealCandaceO: Freedom is not a political ideology.</t>
  </si>
  <si>
    <t>RT @John_KissMyBot: 18 House Republicans Formally Nominate President Trump For The Nobel Peace Prize For His efforts to end the decades-lon…</t>
  </si>
  <si>
    <t>RT @JoanneTirado09: @PhilMcCrackin44 @KamalaHarris @chuckschumer @NancyPelosi @SenWarren  https://t.co/jSs41dvoId</t>
  </si>
  <si>
    <t>RT @PremierUSA2020: @Pickles0201  https://t.co/vaSn8sEuL9</t>
  </si>
  <si>
    <t>RT @Every58Hours: @Pickles0201  https://t.co/UPtFGIKLv3</t>
  </si>
  <si>
    <t>RT @Pickles0201: This masterpiece called Death By Political Correctness! 
Wake up world! Your lives as you know it are being stripped away…</t>
  </si>
  <si>
    <t>RT @JoanneTirado09: @rocksiphone @realDonaldTrump  https://t.co/V69lF7w63f</t>
  </si>
  <si>
    <t>RT @EvOConnor15: Yup😂.  Although....Chelsea seems like an angry beaver who’s been pissed on her whole adult life. 
#LoopyLiberals 
#StopThe…</t>
  </si>
  <si>
    <t>RT @Pickles0201: A little guide 4 the confused, the criminal &amp;amp; those who are living in another realm of reality/their own little universe o…</t>
  </si>
  <si>
    <t>RT @Nov2018election: HUNTER HILL FOR GOVERNOR https://t.co/QHyTEWyrWc</t>
  </si>
  <si>
    <t>RT @Nov2018election: BRADLEY GRIFFIN FOR CONGRESS DISTRICT 10 https://t.co/hsNyGeMHGZ</t>
  </si>
  <si>
    <t>RT @Nov2018election: TRACY JORDAN FOR INSURANCE COMMISSIONER https://t.co/ppJre1jyGV</t>
  </si>
  <si>
    <t>RT @Nov2018election: GA GEOFF DUNCAN FOR LT GOV https://t.co/5nA7igZ0Zz</t>
  </si>
  <si>
    <t>RT @Nov2018election: 🍑GA EARLY VOTING HAS BEGUN VOTE ✅ @TracyJordan4GA FOR INSURANCE COMM @Griff4Congress DISTRICT 10 @votehunterhill FOR G…</t>
  </si>
  <si>
    <t>@plasmarob @nasty_canasta No more "women's march". Fair's fair.</t>
  </si>
  <si>
    <t>RT @JoanneTirado09: THEY LAUGHED WHEN I SAID THAT I WAS ILLEGALLY WIRETAPPED...
THEY'RE NOT LAUGHING NOW!!!
@realDonaldTrump 
#Trump2020 
#…</t>
  </si>
  <si>
    <t>RT @LisaTomain: @bdclq @JcDeplorable @The2ndA @aligiarc @CraigAr64 @joel_capizzi @Sequencer16 @RedPilledinNY @DaveSchreiber3 @MartinB457195…</t>
  </si>
  <si>
    <t>RT @realDonaldTrump: “This isn’t some game. You are screwing with the work of the president of the United States.”  John Dowd, March 2018.…</t>
  </si>
  <si>
    <t>@JoanneTirado09 @mr65gibson Smile</t>
  </si>
  <si>
    <t>RT @Mel_Ann6944: VICTORY: San Jacinto voted 3-1 to join the federal lawsuit against California and Costa Mesa voted 3-2 to adopt a resoluti…</t>
  </si>
  <si>
    <t>@ARmastrangelo @MastodonXGojira Magnificent statement.</t>
  </si>
  <si>
    <t>RT @ARmastrangelo: Kim Jong Un is releasing U.S. prisoners at the request of President Trump, before their meeting.
A few days ago, report…</t>
  </si>
  <si>
    <t>@LibberTea Agreed.</t>
  </si>
  <si>
    <t>RT @LibberTea: @joel_capizzi Only person I want to run 3rd Party is POTUS. Democrats hate him, Establishment Republicans hate him. He's the…</t>
  </si>
  <si>
    <t>@JcDeplorable All they need is a burka.</t>
  </si>
  <si>
    <t>RT @JcDeplorable: 🤔There is a fantastic saying that goes like this: “It's easier to fool people than to convince them that they have been f…</t>
  </si>
  <si>
    <t>@julylady2010 It's a start. Fetal heartbeat is detected at 6 weeks but begins at 3. Life begins at the moment of conception.</t>
  </si>
  <si>
    <t>RT @julylady2010: Winning for Iowa! https://t.co/xexJLRijbD</t>
  </si>
  <si>
    <t>@pkirschner001 Indeed you do sir. 🇺🇸🇮🇱</t>
  </si>
  <si>
    <t>RT @pkirschner001: As a Jewish American and Israeli I understand the need to preserve it at any costs https://t.co/auk9tfL2GE</t>
  </si>
  <si>
    <t>@pkirschner001 Most adults much less children know the difference or there is one.</t>
  </si>
  <si>
    <t>@smalltownandrew @Thom44810402 @Dr_Kaco @BaracudaDebbie Congrats and keep up the good work.</t>
  </si>
  <si>
    <t>RT @smalltownandrew: @Thom44810402 Thanks to all of my 20,000 followers. 😎Meant so many great patriots along the way and look forward to me…</t>
  </si>
  <si>
    <t>RT @tgradous: STUDENTS IN 400 SCHOOLS WALK OUT OF CLASS TO SUPPORT 2ND AMENDMENT
'It's so important right now because no one is calling to…</t>
  </si>
  <si>
    <t>@Mr_Shamalama  https://t.co/7EmW6Y2th5</t>
  </si>
  <si>
    <t>RT @Mr_Shamalama: "The Silence of the Republican Lambs"
I can think of no other phrase that batter describes the Elites/Deeps/RINOs in Con…</t>
  </si>
  <si>
    <t>RT @Corp125Vet: #ErinCruzUSSenateCA Let’s Get Behind Erin! #CrushCorruption ✝️🙏🇺🇸 Time to Elect a True Patriot! #LessGov #LessTax https://t…</t>
  </si>
  <si>
    <t>RT @pkirschner001: In democracy it’s the rule of masses, in a constitutional republic the minority is protected from the majority</t>
  </si>
  <si>
    <t>RT @ESTEFAN42345787: Chancellor: SIRIO Al Muallem thanked the solidarity of CASTRISTA with the Syrian cause in the different multilateral f…</t>
  </si>
  <si>
    <t>@pjbowles4 @streetbear57 @sukko0511 @ProudUSAer @MikoGrey247 @underdogs @bud_cann @bethtcoast @787Fixer @SAMISOMETIMEZ @Texastrue11 @Rearly1 @Rhonj86 @Teddi791 @DallasIrey @Americanvet1219 @suprdupe @jandennis1955 @USANC13 @ejbarnold @BrenowitzS Done.</t>
  </si>
  <si>
    <t>RT @pjbowles4: # Trumpville 
@streetbear57
@sukko0511
@ProudUSAer 
@MikoGrey247
@underdogs 
@bud_cann 
@bethtcoast
@787Fixer 
@SAMISOMETIME…</t>
  </si>
  <si>
    <t>RT @bronxhoops2033: @The2ndA @joel_capizzi @RepLukeMesser #NobelForTrump</t>
  </si>
  <si>
    <t>RT @AnthemRespect: Homeless man breaks into CA governor's home, says he's an 'open-door policy kind of guy'
Well, “What’s good for the goo…</t>
  </si>
  <si>
    <t>RT @sofinique: Satanic Pedophilia in America‼️And across the globe! This epidemic is horrifying &amp;amp; We must face it head on. #BoycottHollywoo…</t>
  </si>
  <si>
    <t>@TomiLahren Not attached, just like the whole "think for myself" routine.</t>
  </si>
  <si>
    <t>RT @John_KissMyBot: News The #FakeNews Won’t Report
👉Students Across America Walk Out Of Class To SUPPORT  GUN RIGHTS 
#SecondAmendment #…</t>
  </si>
  <si>
    <t>RT @YearOfZero: Dude you are scumbag. 
The fact that you had no remorse that this started over a hairdresser story that was a lie proves t…</t>
  </si>
  <si>
    <t>RT @RyanAFournier: BREAKING: North Korea has released all U.S. detainees at the request of President Trump.</t>
  </si>
  <si>
    <t>RT @got5150: @The2ndA @RepLukeMesser Yes, he deserves it. They should take Obama’s back it did no good. 🇺🇸🇺🇸🇺🇸🇺🇸</t>
  </si>
  <si>
    <t>RT @MakeNEGrrAgain: @The2ndA @RepLukeMesser @bubbles1006 @RIRepublicans @riteaparty #NobelForTrump @WelshGoodLife @realDonaldTrump @FantzyP…</t>
  </si>
  <si>
    <t>RT @bevroley703: @The2ndA @ata2dtoo @RepLukeMesser #TrumpNobelPeacePrize</t>
  </si>
  <si>
    <t>@The2ndA @RepLukeMesser #NobelForTrump</t>
  </si>
  <si>
    <t>RT @MaiWorld51: @The2ndA @RepLukeMesser #NobelForTrump 
#MAGA 🇺🇸 #KAG2020</t>
  </si>
  <si>
    <t>RT @The2ndA: Well done, @RepLukeMesser !
#RETWEET WITH THIS HASHTAG TO GET IT TRENDING:
#NobelForTrump https://t.co/MWO48QI5kJ</t>
  </si>
  <si>
    <t>RT @jat1019: #NobelForTrump https://t.co/lEa2ORwST6</t>
  </si>
  <si>
    <t>RT @joel_capizzi: Slavery vs the holocaust https://t.co/IbA2BmCN7r</t>
  </si>
  <si>
    <t>Slavery vs the holocaust https://t.co/IbA2BmCN7r</t>
  </si>
  <si>
    <t>RT @joel_capizzi: @CovfefeLadyC @robertdeniro I'm Sicilian so I can say this. I've given Di Niro a lot of thought and have come to the conc…</t>
  </si>
  <si>
    <t>RT @joel_capizzi: @ouchinagirl @JamesOKeefeIII @POTUS @BetsyDeVosED Trump supports school choice and so should you. 
Article says nothing a…</t>
  </si>
  <si>
    <t>RT @joel_capizzi: @SykesforSenate supports valid voter ID.
Vote Sykes 2018 https://t.co/tK02YmPqCW</t>
  </si>
  <si>
    <t>RT @joel_capizzi: @SykesforSenate is the only term limits candidate https://t.co/DQHjqyykYC</t>
  </si>
  <si>
    <t>RT @joel_capizzi: @SykesforSenate is for legal immigration and border security https://t.co/UPwHVaG12A</t>
  </si>
  <si>
    <t>RT @joel_capizzi: @SykesforSenate is for voter ID laws https://t.co/iAWyFQ4r5v</t>
  </si>
  <si>
    <t>RT @joel_capizzi: @SykesforSenate will build the wall https://t.co/8TIrIMH08K</t>
  </si>
  <si>
    <t>RT @joel_capizzi: @SykesforSenate will drain the swamp. https://t.co/zd3yJFBRYw</t>
  </si>
  <si>
    <t>RT @joel_capizzi: @SykesforSenate will fight radical Islam https://t.co/mduCVaVDyb</t>
  </si>
  <si>
    <t>RT @joel_capizzi: @SykesforSenate supports the Second Amendment https://t.co/mJuu0tvXwD</t>
  </si>
  <si>
    <t>RT @joel_capizzi: @SykesforSenate is the only veteran of the three Republican candidates running in MO https://t.co/hDpeQ1DoSc</t>
  </si>
  <si>
    <t>RT @joel_capizzi: To all 3rd party and competiting party candidates, if you lose your primaries, do your country a solid and get the hell o…</t>
  </si>
  <si>
    <t>RT @joel_capizzi: It begins.
#MAGA
https://t.co/i6RDKQqSA1</t>
  </si>
  <si>
    <t>RT @joel_capizzi: The caravan isn't just about the 200. It's about the 20K that will show up at the border if the word gets out we didn't s…</t>
  </si>
  <si>
    <t>RT @Doodisgirl: This Does Not Hurt My Feelings!
April Ratings: Another Ratings Catastrophe for Dead-Last #FakeNews 👉🏼👉🏼 @CNN @andersoncoope…</t>
  </si>
  <si>
    <t>RT @1776Stonewall: Rudy Giuliani will be on Hannity tonight</t>
  </si>
  <si>
    <t>RT @CommonSenseIsG2: @pjbowles4 @realChamberlin @787Fixer @12TheBirds @onedovealone @GreenLantern567 @AirborneRules @bobdyer55 @joey_beaver…</t>
  </si>
  <si>
    <t>RT @Barnett20Todd: @pjbowles4 @realChamberlin @787Fixer @12TheBirds @onedovealone @GreenLantern567 @AirborneRules @bobdyer55 @joey_beaver @…</t>
  </si>
  <si>
    <t>RT @pjbowles4: # Trumpville 
@realChamberlin 
@787fixer
@12TheBirds
@onedovealone 
@GreenLantern567 
@AirborneRules
@bobdyer55 
@joey_beave…</t>
  </si>
  <si>
    <t>@JDugudichi @karengw44 @cmorningstar666 @newsjunkie523 @Charles_Littles @dninmiami @ItsKelleyKelley @WhoseYouAre @SabrinaCath @lrlecuyer @conservativeca0 @QTheRainmakers @ConservativeCO @DENVERSMKC @sybeal1 @ConservativeCCC @thefabe711 @ConservativeVeg Time and work. Thank you.</t>
  </si>
  <si>
    <t>RT @JDugudichi: Follow back all patriots
@JDugudichi
@karengw44 
@cmorningstar666 
@newsjunkie523 
@Charles_Littles
@dninmiami
@ItsKelleyKe…</t>
  </si>
  <si>
    <t>RT @JDugudichi: Follow back all patriot
@JDugudichi
@lbasscook
@wenzforfreedom
@wherrera72
@peacockprose
@PlaceboEffector
@JGri103
@PJbruin…</t>
  </si>
  <si>
    <t>RT @JDugudichi: Follow back all patriots
@JDugudichi
@karengw44
@SabrinaCath
@cmorningstar666
@DannyCouch3
@newsjunkie523
@_Stars_Stripes_…</t>
  </si>
  <si>
    <t>RT @JDugudichi: Follow back all patriots
@JDugudichi
@weld_james
@ConservativeXZ
@dingoatemybaby9
@ConservativeXT
@doryetot
@penelopenc
@Ke…</t>
  </si>
  <si>
    <t>RT @JDugudichi: Follow back all patriots
@JDugudichi
@boo6741
@D_Alex_connect 
@Channi_Cooper 
@cmorningstar666 
@CAConservativez
@conserva…</t>
  </si>
  <si>
    <t>RT @JDugudichi: Follw back all patriot
@JDugudichi
@ST7757
@KO666Cis
@HD283271
@BelindaBee13
@GeeNole11
@marve_rita 
@r2u 
@redisthenewcool…</t>
  </si>
  <si>
    <t>RT @JDugudichi: Follow back all patriots
@JDugudichi
@SSConservativv
@WinslowCrowe
@LapuzzaBill
@jws505
@WendyWe13956849
@CapUSA1
@ScornedP…</t>
  </si>
  <si>
    <t>RT @JDugudichi: Follow back all patriots
@JDugudichi
@patriotdad56
@consspeaking
@Megavolts001
@AKWesterfield
@WriterofNovels2
@Conservativ…</t>
  </si>
  <si>
    <t>RT @JDugudichi: Follow back all patriots
@JDugudichi
@BGEEZ
@DanDuke2013
@ChildofGodRU1
@WeTheStorm
@Bob_Weldon
@conservativelw
@ffisher55…</t>
  </si>
  <si>
    <t>RT @JDugudichi: Follow back all patriots
#MAGA
@JDugudichi
@PatriotHawkeye
@ConservativeKt7
@glo4itnow
@LaurieDumilieu
@DaveH_RPh
@elguapo6…</t>
  </si>
  <si>
    <t>@JDugudichi @TimothyAbbey626 @mfisher53294797 @ChrisJamesV93 @zenabby1 @carl_tn @BryanP18 @DrWestheimer @conservativevin @bbretbestpitch @Hennigan1John @DamicoTheresa @jsnive @OneManArmyTX @conservativevi1 @Playtime54 @rockyrhoads6 @WyattEa48022125 Done. Thank you.</t>
  </si>
  <si>
    <t>RT @JDugudichi: Follow back all patriots
@JDugudichi
@TimothyAbbey626
@mfisher53294797
@ChrisJamesV93
@zenabby1
@carl_tn
@BryanP18
@DrWesth…</t>
  </si>
  <si>
    <t>@FrazierSmith2 @bdclq Had Hillary won, elections would be moot.</t>
  </si>
  <si>
    <t>RT @RealAlexJones: Tune in NOW to see our in-studio interview with Candace Owens!
Watch: https://t.co/OQtch0tDED
https://t.co/88KVJsTBwO</t>
  </si>
  <si>
    <t>RT @sandrajdayton: Sessions is to afraid Mueller will go after him too. Sessions is useless. Should be FIRED for not telling Trump up front…</t>
  </si>
  <si>
    <t>RT @bronxhoops2033: @Rightwingmadman @bdclq @JcDeplorable @The2ndA @aligiarc @CraigAr64 @joel_capizzi @Sequencer16 @LisaTomain @RedPilledin…</t>
  </si>
  <si>
    <t>RT @SassyT_Joy: #IllegalInvasion
#SendThemBack
#BuildTheWallNow https://t.co/Nl8ekCQDnR</t>
  </si>
  <si>
    <t>RT @SassyT_Joy: @joel_capizzi #CaravanOfIllegalls  = #Invasion of #IllegalAliens!
#BuildTheWallNow
#StopTheCaravan
#SendThemBack</t>
  </si>
  <si>
    <t>@VisioDeiFromLA @AP4Liberty @JoshAlterity @SykesforSenate @ChanelRion @joshhawleymo @MOGOP_Chairman @StCharlesMOGop Agreed.</t>
  </si>
  <si>
    <t>@VisioDeiFromLA @AP4Liberty @JoshAlterity @SykesforSenate @ChanelRion @joshhawleymo @MOGOP_Chairman @StCharlesMOGop BTW he blocked me 6 months ago. Gotta go!! 👍</t>
  </si>
  <si>
    <t>@VisioDeiFromLA @AP4Liberty @JoshAlterity @SykesforSenate @ChanelRion @joshhawleymo @MOGOP_Chairman @StCharlesMOGop You know where I stand. Later friend.
🇺🇸🇺🇸🇺🇸</t>
  </si>
  <si>
    <t>@ummmno21 @mtenorio77 I let you slide Kris. Haha.</t>
  </si>
  <si>
    <t>@RickySi16087724 @JoanneTirado09 I'll let you do that. Haha.</t>
  </si>
  <si>
    <t>RT @RickySi16087724: @joel_capizzi @JoanneTirado09 yea Joel not to mention the chain immigration</t>
  </si>
  <si>
    <t>@VisioDeiFromLA @AP4Liberty @JoshAlterity @SykesforSenate @ChanelRion @joshhawleymo @MOGOP_Chairman @StCharlesMOGop Not to cut you short, I have to roll. Been on Twitter way too long today, but enjoyed the conversation.</t>
  </si>
  <si>
    <t>@VisioDeiFromLA @AP4Liberty @JoshAlterity @SykesforSenate @ChanelRion @joshhawleymo @MOGOP_Chairman @StCharlesMOGop Excellent point.</t>
  </si>
  <si>
    <t>RT @VisioDeiFromLA: @joel_capizzi @AP4Liberty @JoshAlterity @SykesforSenate @ChanelRion @joshhawleymo @MOGOP_Chairman @StCharlesMOGop Well,…</t>
  </si>
  <si>
    <t>RT @ThinBlueLR: Shot across the bow. 
Do it, boss. We have your back. 🇺🇸 https://t.co/IurWTwX5qo</t>
  </si>
  <si>
    <t>@VisioDeiFromLA @AP4Liberty @JoshAlterity @SykesforSenate @ChanelRion @joshhawleymo @MOGOP_Chairman @StCharlesMOGop You're a thinker and well informed. Very refreshing indeed.</t>
  </si>
  <si>
    <t>RT @VisioDeiFromLA: @AP4Liberty @joel_capizzi @JoshAlterity @SykesforSenate @ChanelRion @joshhawleymo @MOGOP_Chairman @StCharlesMOGop In ot…</t>
  </si>
  <si>
    <t>@VisioDeiFromLA @AP4Liberty @JoshAlterity @SykesforSenate @ChanelRion @joshhawleymo @MOGOP_Chairman @StCharlesMOGop Kudos on your involvement in prop 187. Most haven't heard of prop 13. Contrary to conventional thinking and liberals notwithstanding,  Californians are populist and very independent once aroused.</t>
  </si>
  <si>
    <t>RT @VisioDeiFromLA: @AP4Liberty @joel_capizzi @JoshAlterity @SykesforSenate @ChanelRion @joshhawleymo @MOGOP_Chairman @StCharlesMOGop True.…</t>
  </si>
  <si>
    <t>RT @ESTEFAN42345787: Anti-Semitism is not only a threat to the Jews, but a fundamental threat to our open and liberal societies.</t>
  </si>
  <si>
    <t>@CraigAr64 Well stated.</t>
  </si>
  <si>
    <t>RT @CraigAr64: We are one nation of common laws, not nation's bond by various laws. If you "Decide" to call America home be aware that we a…</t>
  </si>
  <si>
    <t>@VisioDeiFromLA @AP4Liberty @JoshAlterity @SykesforSenate @ChanelRion @joshhawleymo @MOGOP_Chairman @StCharlesMOGop I appreciate your concerns and your reasoned approach. There's a fine line between principle and pragmatism and I know where mine is. Obviously you love your country as much as I do.</t>
  </si>
  <si>
    <t>@VisioDeiFromLA @JoshAlterity @AP4Liberty @SykesforSenate @ChanelRion @joshhawleymo @MOGOP_Chairman @StCharlesMOGop Libertarians are freedom loving people, love America but I part company on foreign policy and immigration. As far as Sykes is concerned, if you're for Trump, his policies are near identical. 
Thanks!</t>
  </si>
  <si>
    <t>@tgradous @cnsnews Alternative to his? I do too.</t>
  </si>
  <si>
    <t>@SaveMySweden @IanMFish @2tweetaboutit @siminuteman1776 @DeutschesVolk_1 @ouchinagirl @jamalbyron1 @Yorkielionheart @Mike_Press19 @QueenRossi @realMarcWest @Cozplay_fitness Chilling.</t>
  </si>
  <si>
    <t>RT @SaveMySweden: #EuropiStan »
Is non-consensual sex #rape? Most European countries say #no
@IanMFish @2tweetaboutit @siminuteman1776 @De…</t>
  </si>
  <si>
    <t>@solentgreenis  https://t.co/XaejbsRTxv</t>
  </si>
  <si>
    <t>RT @solentgreenis: Love me some Carpe .....let's make California great again! https://t.co/5tknG0340q</t>
  </si>
  <si>
    <t>RT @RealCandaceO: Currently. https://t.co/XMxS2QTlOI</t>
  </si>
  <si>
    <t>@Steffi_Cole @RobertiLax @SykesforSenate @ChanelRion @AP4Liberty Would you want open borders any other way?</t>
  </si>
  <si>
    <t>@VFL2013 @1charlieprince @BOER_Warrior @LandenSmith11 Agreed. I'm not here for the numbers.</t>
  </si>
  <si>
    <t>RT @VFL2013: @1charlieprince @BOER_Warrior @LandenSmith11 Your Opinion.... People follow &amp;amp; trust you on what you say or put out... Real res…</t>
  </si>
  <si>
    <t>The caravan isn't just about the 200. It's about the 20K that will show up at the border if the word gets out we didn't stop them.</t>
  </si>
  <si>
    <t>RT @mtenorio77: Showdown at the border??? No, it’s not! Just say no, it’s that Simple! 🇺🇸</t>
  </si>
  <si>
    <t>@winston_prime Racism is racism.</t>
  </si>
  <si>
    <t>RT @mulhern17_c: @joel_capizzi @Nov2018election Send all illegals back!!</t>
  </si>
  <si>
    <t>@granitedown Smiling.</t>
  </si>
  <si>
    <t>RT @RealCandaceO: 1) I am not on Infowars today. 
2) Disrespecting any platform watched by millions is silly.
3) Please stop telling me and…</t>
  </si>
  <si>
    <t>@1Romans58 Peculiar it's only SW 737's.</t>
  </si>
  <si>
    <t>RT @1Romans58: BREAKING:
Window breaks AGAIN on a plane, SW flight diverted...
Southwest Airlines flight diverts to Cleveland due to brok…</t>
  </si>
  <si>
    <t>RT @winston_prime: We need to stand up against anti-White rhetoric. We need to show the world how proud we are of being white. 
I sure as…</t>
  </si>
  <si>
    <t>@HaumesserDaniel That dog don't hunt no more.</t>
  </si>
  <si>
    <t>RT @HaumesserDaniel: Pretty much sums it up. https://t.co/bl8wRk6aoL</t>
  </si>
  <si>
    <t>RT @1Romans58: BREAKING:
Trump replaces Cobb with former CLINTON attorney Emmet Flood.
Ty Cobb to leave Trump's legal team, be replaced b…</t>
  </si>
  <si>
    <t>RT @RagingGayCons: Despite what certain idiotic judges say, if Obama had the presidential authority to enact DACA, then Trump has the presi…</t>
  </si>
  <si>
    <t>RT @Hoosiers1986: If you're still BLAMING slavery for your problems...or MAKING EXCUSES for others because of slavery...
That's a YOU prob…</t>
  </si>
  <si>
    <t>RT @PradRachael: Nikki Haley " Taking Names " Report Reveals 
Which Nations have American's back at UN 
and which ones don't 
Nikki Haley h…</t>
  </si>
  <si>
    <t>RT @ESTEFAN42345787: The Holocaust and the Second World War have defined the modern history of Europe like no other event. Holocaust educat…</t>
  </si>
  <si>
    <t>@ashman_andrew @LewisWilson43 @aliciaalcantar4 @RiemDebra @blairarthur1 @Eevildebs @AnnieAdelel @AspieMum @Michaelcraddo16 @Geo29411768 @LeonWhi63670221 @tony_tonyt @MacblaneMarcia @Biglued1 @Almightyk9 @Jwally54 @Tops_trump @Emeraldluxury @MelindaThinker @aflyingmonk3y @DisneyFamJam @realgrace_kelly @BrandiCox15 @Armygirl12814 @DanFoc77 @BitchesAlice @Vet47Army @deplorabletx71 @TheManSam @tmwalw2007 @JeffGrose59 @SumatraSue @Enterprise1010 @abytw @milliem81611615 @njbeach15 @ReaIFakeNewts @PortugueseMamaC @TeedIsMe @darrylXdotcom @buffwon @WSCP1 @jess84109412 @basedinfidel8 @MagaPami @GraceKens1 @Tao_Athe @wordsmithviv @Ginlefebvre @seames_jr I'm sure you have plenty of room up there.</t>
  </si>
  <si>
    <t>RT @VisioDeiFromLA: @RobertiLax @joel_capizzi @SykesforSenate @ChanelRion @AP4Liberty He supports open borders.
Sorry I can’t vote for him…</t>
  </si>
  <si>
    <t>@VisioDeiFromLA @JoshAlterity @AP4Liberty @SykesforSenate @ChanelRion @joshhawleymo @MOGOP_Chairman @StCharlesMOGop Won't happen.</t>
  </si>
  <si>
    <t>RT @VisioDeiFromLA: @JoshAlterity @refluffednest @mediacritik @AP4Liberty @SykesforSenate @ChanelRion @joshhawleymo @MOGOP_Chairman @joel_c…</t>
  </si>
  <si>
    <t>RT @satex: @joel_capizzi https://t.co/pH1WtoZWPL
The world has more border walls than it had when the Berlin Wall came down as nations str…</t>
  </si>
  <si>
    <t>RT @SOS_1313: #MOSen https://t.co/kLMie6d28E</t>
  </si>
  <si>
    <t>It begins.
#MAGA
https://t.co/i6RDKQqSA1</t>
  </si>
  <si>
    <t>@DeeBoggiB Good to see you Danita and likewise.</t>
  </si>
  <si>
    <t>@aliciaalcantar4 @RiemDebra @blairarthur1 @Eevildebs @AnnieAdelel @LewisWilson43 @AspieMum @Michaelcraddo16 @Geo29411768 @LeonWhi63670221 @tony_tonyt @MacblaneMarcia @Biglued1 @Almightyk9 @Jwally54 @Tops_trump @Emeraldluxury @MelindaThinker @aflyingmonk3y @DisneyFamJam @realgrace_kelly @BrandiCox15 @Armygirl12814 @DanFoc77 @BitchesAlice @Vet47Army @deplorabletx71 @TheManSam @tmwalw2007 @JeffGrose59 @SumatraSue @Enterprise1010 @abytw @milliem81611615 @njbeach15 @ReaIFakeNewts @PortugueseMamaC @TeedIsMe @darrylXdotcom @buffwon @WSCP1 @jess84109412 @ashman_andrew @basedinfidel8 @MagaPami @GraceKens1 @Tao_Athe @wordsmithviv @Ginlefebvre @seames_jr The solution: https://t.co/29gFrak1Of</t>
  </si>
  <si>
    <t>RT @DeeBoggiB: Did anyone buy that apology from #KathyGriffin anyway? That ISIS inspired picture was vile, she deserved to be investigated!…</t>
  </si>
  <si>
    <t>@SykesforSenate is the only veteran of the three Republican candidates running in MO https://t.co/hDpeQ1DoSc</t>
  </si>
  <si>
    <t>@SykesforSenate supports the Second Amendment https://t.co/mJuu0tvXwD</t>
  </si>
  <si>
    <t>@SykesforSenate will fight radical Islam https://t.co/mduCVaVDyb</t>
  </si>
  <si>
    <t>@SykesforSenate will drain the swamp. https://t.co/zd3yJFBRYw</t>
  </si>
  <si>
    <t>@SykesforSenate will build the wall https://t.co/8TIrIMH08K</t>
  </si>
  <si>
    <t>@SykesforSenate is for voter ID laws https://t.co/iAWyFQ4r5v</t>
  </si>
  <si>
    <t>@SykesforSenate is for legal immigration and border security https://t.co/UPwHVaG12A</t>
  </si>
  <si>
    <t>@SykesforSenate is the only term limits candidate https://t.co/DQHjqyykYC</t>
  </si>
  <si>
    <t>@SykesforSenate will drain the swamp https://t.co/SdUsfziAaN</t>
  </si>
  <si>
    <t>RT @FoxNews: House lawmakers formally nominate Trump for 2019 Nobel Peace Prize https://t.co/AU7d6x6hQU</t>
  </si>
  <si>
    <t>RT @CovfefeLadyC: House Lawmakers are correct.
If the Nobel Peace Prize  goes 2 any1 else orher than Trump it will be yet another Leftist m…</t>
  </si>
  <si>
    <t>@Rightwingmadman @bdclq @JcDeplorable @The2ndA @aligiarc @CraigAr64 @Sequencer16 @LisaTomain @RedPilledinNY @DaveSchreiber3 @MartinB45719553 @EvOConnor15 @bronxhoops2033 @KeithOB224 @TexasKenJSmith @AliciaTolbert Almost enough to make me give up flying.</t>
  </si>
  <si>
    <t>@1Romans58 There's that... https://t.co/kqZAydeqm2</t>
  </si>
  <si>
    <t>@MartinB45719553 Perfect.</t>
  </si>
  <si>
    <t>@RealCandaceO Ever notice how the word "colored" is anathema but "people of color" and the "National Association for the Advancement of Colored People" (N.A.A.C.P.) are okay?</t>
  </si>
  <si>
    <t>RT @RealCandaceO: I kind of like the word “Coon”.
Candace Owens Obliterates Narrative
Someone design a dope C.O.O.N sweatshirt for me ple…</t>
  </si>
  <si>
    <t>To all 3rd party and competiting party candidates, if you lose your primaries, do your country a solid and get the hell out of the way.
#MAGA 
https://t.co/PZIC4JRuvg</t>
  </si>
  <si>
    <t>@DonnaBrindley1 @Jail4Donald @Rightwingmadman @realDonaldTrump Really has come down to one or the other.</t>
  </si>
  <si>
    <t>RT @DonnaBrindley1: @Jail4Donald @Rightwingmadman @realDonaldTrump  https://t.co/nrEcCr28tP</t>
  </si>
  <si>
    <t>@ouchinagirl @JamesOKeefeIII @POTUS @BetsyDeVosED Trump supports school choice and so should you. 
Article says nothing about leftist propaganda and psychological warfare against our children but on academics alone I wouldn't have my child in a government school. There are options.
https://t.co/0Iz4Hp9wof</t>
  </si>
  <si>
    <t>RT @ouchinagirl: @JamesOKeefeIII .@POTUS @BetsyDeVosED; GOV TEACHERS SHOULDN’T BE ALLOWED TO HERD CHILDREN TOWARDS “ANY” POLITICAL AGENDA‼️…</t>
  </si>
  <si>
    <t>RT @CovfefeLadyC: If you live in thr #California &amp;amp; #NewYork States. Your whole life is at stake.
All #Conseratives must get out and vote.…</t>
  </si>
  <si>
    <t>@bdclq @CovfefeLadyC @robertdeniro 😉</t>
  </si>
  <si>
    <t>@gaye_gallops If it walks like swamp, quacks like swamp, it's swamp and I'm talking about Jeff Sessions.</t>
  </si>
  <si>
    <t>RT @gaye_gallops: THIS MAKES MY BLOOD BOIL...SESSIONS IS A GHOST...ROSENSTEIN IS IN CHARGE!
Constitutional Right:1814 Oversight Committee…</t>
  </si>
  <si>
    <t>@1Romans58 This is very big. Kanye is making MAGA cool.</t>
  </si>
  <si>
    <t>RT @1Romans58: Kanye is having a very deep effect on the youth, an effect we are only beginning to understand.  This isn't about Kanye or h…</t>
  </si>
  <si>
    <t>RT @patriot9718: @bdclq @LisaTomain @Sequencer16 @RedPilledinNY @LaunaSallai @Lost_Literati @lauer_nancy @NancyLucky @Rightwingmadman @JcDe…</t>
  </si>
  <si>
    <t>RT @proudcrumblover: @bdclq It’s amazing how this isn’t even on Fox.  Why not?</t>
  </si>
  <si>
    <t>RT @LibberTea: Fakebook Plans To ‘Dial Up’ Suppression Of Certain News Outlets🙄
Liberal Zuckerberg to make Fake News - America's News🙄
#Dea…</t>
  </si>
  <si>
    <t>RT @Success87473781: Foreigners from developing countries misuse human rights laws in developed countries citing racism etc. wrongfully.
Yo…</t>
  </si>
  <si>
    <t>RT @EvOConnor15: @PinkyDoo08 @1776Stonewall Hey Pinky...GFY. Hillary left those heroes to die...she is a POS....and you’re a POS. Fk off. 👌🏻</t>
  </si>
  <si>
    <t>RT @ouchinagirl: @EvOConnor15 @PinkyDoo08 @1776Stonewall EXACTLY‼️ I WILL #NeverForget THAT THE OBAMA ADMIN LEFT AMERICANS TO DIE &amp;amp; COVER I…</t>
  </si>
  <si>
    <t>@CovfefeLadyC @robertdeniro I'm Sicilian so I can say this. I've given Di Niro a lot of thought and have come to the conclusion he's an uninformed, uneducated, low IQ dumb wop. I mean that quite sincerely.</t>
  </si>
  <si>
    <t>RT @CovfefeLadyC: 🚨🚨🚨🚨🚨🚨🚨🚨Call on all Patroits of Trump Supporters.
We must win this election. There must not be a win for #Dems in any st…</t>
  </si>
  <si>
    <t>@Sherry_Surdam @favoriteauntssi You can tell as much about a person by who blocks them as who follows them.</t>
  </si>
  <si>
    <t>You would almost think they want a red wave. Thanks Michelle.
https://t.co/BybUYNpXCa</t>
  </si>
  <si>
    <t>@RagingGayCons They don't live in the past and this was 70 years ago not 150. https://t.co/VCLV6M6ayh</t>
  </si>
  <si>
    <t>RT @RagingGayCons: No black person alive today was ever a slave in the United States 
Gay people have the right to marry
AND...
Women ha…</t>
  </si>
  <si>
    <t>RT @joel_capizzi: Who colluded with whom?
Obama's CIA chief John Brennan accuses Trump of being in bed with communist Putin when in fact he…</t>
  </si>
  <si>
    <t>@jon_knepper I refrain from using the "C" word... https://t.co/hQ8bBKTy4o</t>
  </si>
  <si>
    <t>RT @dave_gosh: Now that's a Largemouth Bass! @Kevin_VanDam  @Bill_Dance1 @BassProShops @BassFishnTips @BassFanNews @bassfederation #bassfis…</t>
  </si>
  <si>
    <t>RT @Papa1224Bob: @bdclq @Dvscott81Scott @LisaTomain @Sequencer16 @RedPilledinNY @LaunaSallai @Lost_Literati @lauer_nancy @NancyLucky @Right…</t>
  </si>
  <si>
    <t>@trishadishes2 @BostonJohn9 @OpenThePrimary @GregSheaBoston @DineshDSouza @txst @yaf @TXSTCR @Y_A_Freedom Explosive. Should be on every news network in the country.</t>
  </si>
  <si>
    <t>RT @trishadishes2: @BostonJohn9 @OpenThePrimary @GregSheaBoston @DineshDSouza @txst @yaf @TXSTCR @Y_A_Freedom The 2017 release shows GHW Bu…</t>
  </si>
  <si>
    <t>@SykesforSenate https://t.co/tV5jDNxFtK</t>
  </si>
  <si>
    <t>RT @realDonaldTrump: A Rigged System - They don’t want to turn over Documents to Congress. What are they afraid of? Why so much redacting?…</t>
  </si>
  <si>
    <t>RT @LaunaSallai: @bdclq @LisaTomain @Sequencer16 @RedPilledinNY @Lost_Literati @lauer_nancy @NancyLucky @Rightwingmadman @JcDeplorable @Pic…</t>
  </si>
  <si>
    <t>RT @dbongino: Fascinating statement considering that Rosenstein approved an entirely unnecessary Special Counsel now being used to sap a du…</t>
  </si>
  <si>
    <t>@Jenniferhollyf4 @IamRemoWilliams @Pickles0201 And because they lost, an epic hissy fit then there's this... https://t.co/liNgok193n</t>
  </si>
  <si>
    <t>RT @cbroad0531: @IamRemoWilliams 💪🏼🇺🇸 https://t.co/pJduXSYv1s</t>
  </si>
  <si>
    <t>@AnthemRespect You're right. I did hear it first here. For all its problems and war on conservatives, Twitter has some value.</t>
  </si>
  <si>
    <t>RT @AnthemRespect: You may see it on the news today, but as usual, you heard it first on twitter.
👉2 More CA City Councils voted last night…</t>
  </si>
  <si>
    <t>RT @RealWolvesUSA1: I’ve never seen a man with so much power abuse it like this man has done Not only has he liked and leaked,he’s an awful…</t>
  </si>
  <si>
    <t>RT @CharlotteGran1: The person we should investigate is “ Mueller “!!! https://t.co/pYAOjk6zzX</t>
  </si>
  <si>
    <t>@gaye_gallops There's a legal term for it. It's called "entrapment" and it's illegal. 
#EndTheWitchHunt 
#FireMueller 
#InvestigateHillary 
#LockHerUp 
#LockThemAllUp</t>
  </si>
  <si>
    <t>RT @gaye_gallops: ITS A TRAP...BY THE KING RAT...MUELLER AND HIS DIRTY GANG!
Investigation is NOT INVESTIGATING a crime, it is INVESTIGAT…</t>
  </si>
  <si>
    <t>Who colluded with whom?
Obama's CIA chief John Brennan accuses Trump of being in bed with communist Putin when in fact he voted for the communist Presidential candidate in 1976. Now that Trump's in, the collusion is to get him out.
#FireMueller 
https://t.co/54EbslZCYG</t>
  </si>
  <si>
    <t>@DeeBoggiB Glad you're here my friend. https://t.co/cW0ZA31fS2</t>
  </si>
  <si>
    <t>@solentgreenis @POTUS It just never gets to him. DOES it? Anyone else would be a basket case!</t>
  </si>
  <si>
    <t>RT @solentgreenis: Do worry he has got this.....@POTUS https://t.co/IBfIBt0qgd</t>
  </si>
  <si>
    <t>Trumpers: more on why you MUST vote.
Only 3 times in modern midterm elections has the president’s party gained seats in Congress: 1934, 1998 and 2002.
https://t.co/pQdPE5SJnY</t>
  </si>
  <si>
    <t>RT @bronxhoops2033: @bdclq @MartinB45719553 @LisaTomain @RedPilledinNY @Rightwingmadman @joel_capizzi @The2ndA @Sequencer16 @MafiMisa @till…</t>
  </si>
  <si>
    <t>RT @satex: @JLPtalk @joel_capizzi At this time in history, even though it sucked for their ancestors, they should be damn glad they were br…</t>
  </si>
  <si>
    <t>@ErgoStreetNurse @melody_grover @magathemaga1 @plwy31 @JohnLamping @DaynaGould @jallman971 @Monetti4Senate @AP4Liberty @SykesforSenate @johncombest @BigJShoota @BackTheCops @BackThePolice @BackTheBlueUSA @BackTheBlue911 @RealTravisCook @HotPokerPrinces @TheNewRight @MoScarlet Hint: he's not MAGA.</t>
  </si>
  <si>
    <t>@ErgoStreetNurse @melody_grover @magathemaga1 @plwy31 @JohnLamping @DaynaGould @jallman971 @Monetti4Senate @AP4Liberty @SykesforSenate @johncombest @BigJShoota @BackTheCops @BackThePolice @BackTheBlueUSA @BackTheBlue911 @RealTravisCook @HotPokerPrinces @TheNewRight @MoScarlet 👍</t>
  </si>
  <si>
    <t>@ErgoStreetNurse @melody_grover @magathemaga1 @plwy31 @JohnLamping @DaynaGould @jallman971 @Monetti4Senate @AP4Liberty @SykesforSenate @johncombest @BigJShoota @BackTheCops @BackThePolice @BackTheBlueUSA @BackTheBlue911 @RealTravisCook @HotPokerPrinces @TheNewRight @MoScarlet Ask him.</t>
  </si>
  <si>
    <t>RT @RealCandaceO: “I freed 1,000 slaves. I could have freed 1,000 more if only they knew they were slaves.” -Harriet Tubman</t>
  </si>
  <si>
    <t>RT @RealCandaceO: “Now that I’ve been free, I know what a dreadful condition slavery is. I have seen hundreds of escaped slaves but I never…</t>
  </si>
  <si>
    <t>@ChanelRion @Shawtypepelina @Courtland_Sykes @SykesforSenate You're welcome Chanel! I hope your day was a nice one. ☺</t>
  </si>
  <si>
    <t>RT @JLPtalk: Blacks need to drop their anger &amp;amp; forgive so they can be mentally free &amp;amp; move on with life. Whites aren’t the problem. The pro…</t>
  </si>
  <si>
    <t>RT @39Pinkpolkadots: @ICURN777 @joel_capizzi @RealJamesWoods @PressSec I ANSWERED you on that already. Yes me,  my husband, my daughter &amp;amp; n…</t>
  </si>
  <si>
    <t>RT @39Pinkpolkadots: @ICURN777 @joel_capizzi @RealJamesWoods @PressSec you used that one already. https://t.co/SiA6I9FJ4z</t>
  </si>
  <si>
    <t>RT @39Pinkpolkadots: @ICURN777 @joel_capizzi @RealJamesWoods @PressSec Incoherent blathering doesn't help you look either intelligent or in…</t>
  </si>
  <si>
    <t>RT @joel_capizzi: @RealCandaceO @HarveyLevinTMZ @TMZ @RealCandaceO is a champion for freedom. Unfortunately the lion's share of her support…</t>
  </si>
  <si>
    <t>@GWGearheart @barjanpatter Any truth.</t>
  </si>
  <si>
    <t>RT @GWGearheart: @barjanpatter @joel_capizzi Too much truth for some to handle...</t>
  </si>
  <si>
    <t>@melody_grover @magathemaga1 @plwy31 @ErgoStreetNurse @JohnLamping @DaynaGould @jallman971 @Monetti4Senate @AP4Liberty @SykesforSenate @johncombest @BigJShoota @BackTheCops @BackThePolice @BackTheBlueUSA @BackTheBlue911 @RealTravisCook @HotPokerPrinces @TheNewRight @MoScarlet Blocked by Austin Petersen.</t>
  </si>
  <si>
    <t>RT @pokerbjj: @bdclq
@RedPilledinNY
@Bitchy006
@Rightwingmadman
@The2ndA
@LibberTea
@LindaWyatt
@joel_capizzi
@SnowDov2
@sbcoin
@snknight1…</t>
  </si>
  <si>
    <t>@VisioDeiFromLA @realDonaldTrump @NeilMunroDC @MarkSKrikorian @kausmickey @parscale  https://t.co/z7CpeOucfM</t>
  </si>
  <si>
    <t>RT @VisioDeiFromLA: 🚨 #StopTheInvasion 🚨 
@realDonaldTrump 
✔️DECLARE NATIONAL EMERGENCY 
✔️TROOPS 2 BORDER 
✔️HIRE JUDGES 2 EXPEDITE A…</t>
  </si>
  <si>
    <t>@RealCandaceO @HarveyLevinTMZ @TMZ @RealCandaceO is a champion for freedom. Unfortunately the lion's share of her support comes from white America.</t>
  </si>
  <si>
    <t>RT @RealCandaceO: People in the world have a right to feel emotions. I also have a right to disagree with them. 
Thank you, @HarveyLevinTM…</t>
  </si>
  <si>
    <t>RT @realDonaldTrump: It would seem very hard to obstruct justice for a crime that never happened! Witch Hunt!</t>
  </si>
  <si>
    <t>RT @UsaZasa: Worst president in the history of the USA...👇@BarackObama #ovomit https://t.co/cAHV8cvnBo</t>
  </si>
  <si>
    <t>RT @UsaZasa: @RealJamesWoods Because I’m small in the tweeter world I challenge everyone to retweet this post in support of our great beaut…</t>
  </si>
  <si>
    <t>RT @RealCandaceO: The message that @kanyewest is trying to deliver is one of unity. 
We’ve grown so used to Hollywood preaching “acceptable…</t>
  </si>
  <si>
    <t>RT @justice69hall: @bobdyer55 @luvnewinfo @GartrellLinda @AnthemRespect @AMErikaNGIRLBOT @JohnMcGeever70 @MAGAKrissy @joel_capizzi @gaye_ga…</t>
  </si>
  <si>
    <t>@fr0stsn0w @AnnCoulter 👇😆😉 https://t.co/0WMXGpk4D2</t>
  </si>
  <si>
    <t>RT @39Pinkpolkadots: @ICURN777 @joel_capizzi @RealJamesWoods @PressSec What a COPOUT! "I'm a comedian,  I'm not responsible for anything I…</t>
  </si>
  <si>
    <t>@TT45Pac @ShelleyBean01 Porn sales lagging?</t>
  </si>
  <si>
    <t>RT @HappyPatriotGal: @joel_capizzi @PrincessDebate I agree Joel. My Gabby is so wonderful! Great tweets she puts out. God is with that girl…</t>
  </si>
  <si>
    <t>@nikdpik Listen to yourself Juan.</t>
  </si>
  <si>
    <t>Pretty good. Yours?
https://t.co/bo8AV4fLU6</t>
  </si>
  <si>
    <t>Does eating at Panda Express make me a racist?
https://t.co/wQao142fSg</t>
  </si>
  <si>
    <t>Then trans appropriate a gender. Unreal.
https://t.co/wQao142fSg</t>
  </si>
  <si>
    <t>RT @daumkeziah: PROM https://t.co/gsJ0LtsCmP</t>
  </si>
  <si>
    <t>@OscarFingal @RealJamesWoods @PressSec I'll say this to this then I'm done with your blather:
Kids are off limits. All kids.</t>
  </si>
  <si>
    <t>@Captbobdad "A republic if you can keep it". Ben Franklin.</t>
  </si>
  <si>
    <t>RT @Captbobdad: Freedom always comes with a cost. Courage and vigilance is required to preserve that which has been bequeathed to us via th…</t>
  </si>
  <si>
    <t>RT @dshore219: @nikdpik @joel_capizzi If that’s what Juan Williams thinks is funny....he is just as disgusting as Michelle Wolf. @TheJuanWi…</t>
  </si>
  <si>
    <t>@DixisBlue2 @JDugudichi @Bud_Doggin @kjross1970 @bradNjo @mlcherenfant @HighStrung1776 @1GreatDog @LeeUnderhill3 @antoniaiadi @ZenmanSmith @joey_cauthen @JoeTraderj @MrRager2828 @RayRenzi0520 @TheAmericanOG @Cherub973 @WeirdReport @marycjoyce2 @BetBobJo1947 @DianeRosemond sick puppy uncle Joe.</t>
  </si>
  <si>
    <t>@BeverlySueWalts @wedgies They "have nothing to do with the price of eggs in China".</t>
  </si>
  <si>
    <t>RT @BeverlySueWalts: Does Trump Still Have Your Support After His "Hot Mic" Comments? via @wedgies #poll https://t.co/jvf0xnTaQc YES</t>
  </si>
  <si>
    <t>@nikdpik If conservatives say black, Juan says white whether it makes sense or not.</t>
  </si>
  <si>
    <t>RT @DixisBlue2: @JDugudichi @Bud_Doggin @kjross1970 @bradNjo @mlcherenfant @HighStrung1776 @1GreatDog @LeeUnderhill3 @antoniaiadi @ZenmanSm…</t>
  </si>
  <si>
    <t>@nikdpik Shame on Fox. Again.</t>
  </si>
  <si>
    <t>RT @nikdpik: Juan Williams said that he thought the comedian at the Washington correspondence dinner was hilarious and genius funny ..Juan…</t>
  </si>
  <si>
    <t>RT @CodeRedMaga444: 🤔Guilty of “cultural appropriation” ? Liberals R INSANE! @daumkeziah wears “traditional” Chinese dress to Prom👗 &amp;amp; gets…</t>
  </si>
  <si>
    <t>RT @ThinBlueLR: You do realize that neither you or I could just decide to move to Canada and establish residency if we wanted to, right?
T…</t>
  </si>
  <si>
    <t>RT @joelpollak: So you walk through a safe country (Mexico), then get married before asking for "asylum"...and then complain about Trump "s…</t>
  </si>
  <si>
    <t>RT @gun_lovers_: Rt if you live it. https://t.co/CcQK0QB0Bg</t>
  </si>
  <si>
    <t>RT @cyrjax: Washington State Gun Owners Targeted by Another Misguided Ballot Initiative - https://t.co/tN880jlySD @nraila</t>
  </si>
  <si>
    <t>RT @tracybeanz: Let's all name one positive thing that has happened in the past 15 months since Trump has become President. I'll start: Tru…</t>
  </si>
  <si>
    <t>RT @AP: AP has deleted a tweet that incorrectly said the NRA had banned guns during Trump and Pence speeches at its annual meeting. The ban…</t>
  </si>
  <si>
    <t>RT @luvnewinfo: @JDugudichi @Bud_Doggin @kjross1970 @bradNjo @mlcherenfant @HighStrung1776 @1GreatDog @LeeUnderhill3 @antoniaiadi @ZenmanSm…</t>
  </si>
  <si>
    <t>RT @satex: @joel_capizzi @robyns323 Some of the acting on those Netflix/Amazon/Hulu originals is actually quite entertaining...for a bit. I…</t>
  </si>
  <si>
    <t>@satex @robyns323 Transparently so to the intelligent and informed.</t>
  </si>
  <si>
    <t>RT @satex: @joel_capizzi @robyns323 The writing of course is filled with propaganda...</t>
  </si>
  <si>
    <t>@jeffhudgins3 @WyverShago @SWoodruffs @jjolsen12 @pjbowles4 @sharonzobeck @TexunMaga @1DeplorableDiva @DM30959 @NewtTekell @flowersoffate @DallasIrey @sgmills52 @suprdupe @Maggieb1B @BouffantRat @PatriotMeme @PFemale53 @USACrusader71 @TallStoneMason @TXn4America 👍</t>
  </si>
  <si>
    <t>RT @jeffhudgins3: @WyverShago @SWoodruffs @jjolsen12 @pjbowles4 @sharonzobeck @TexunMaga @1DeplorableDiva @DM30959 @NewtTekell @flowersoffa…</t>
  </si>
  <si>
    <t>RT @charliekirk11: Stop calling them migrants. 
They are criminal foreign national border jumpers 
Don’t reward lawlessness. They are ill…</t>
  </si>
  <si>
    <t>RT @ChucksWife1973: Not everyone who lost his life in Vietnam died there. Not everyone who came home from Vietnam ever left there.
🇺🇸🇺🇸🇺🇸🇺🇸…</t>
  </si>
  <si>
    <t>@ARedPillReport Speaking of hit jobs... https://t.co/QWcauyGmCv</t>
  </si>
  <si>
    <t>@satex @robyns323 Their writing and acting are as shallow  intellectually as their politics. Same people.</t>
  </si>
  <si>
    <t>RT @satex: @robyns323 @joel_capizzi Or whatever. what/who. They are there because they are black or female. Not because they have talent. T…</t>
  </si>
  <si>
    <t>RT @Sherry_Surdam: @favoriteauntssi @joel_capizzi As for those who block you because they don’t agree with you, they’re no loss!</t>
  </si>
  <si>
    <t>@ARedPillReport Thank YOU.</t>
  </si>
  <si>
    <t>RT @ARedPillReport: @joel_capizzi Understood and thank you, Sir.
Iron sharpens iron 💪🏽🇺🇸</t>
  </si>
  <si>
    <t>@ARedPillReport Went down your TL and started RTing everyone of them and thought there has to be an easier way. Translated, I like very much what you have to say.</t>
  </si>
  <si>
    <t>@favoriteauntssi @TEbergie You'll be the first to know after me.</t>
  </si>
  <si>
    <t>@barjanpatter Or stand it.</t>
  </si>
  <si>
    <t>@barjanpatter Makes all the diff in the world. Great point.</t>
  </si>
  <si>
    <t>RT @barjanpatter: Because the nun has a choice to wear it. https://t.co/ZW8ZVs7bnm</t>
  </si>
  <si>
    <t>@ARedPillReport wish you had a box where I could RT all yours.</t>
  </si>
  <si>
    <t>RT @ARedPillReport: Sweden Says That Migrant Rape Is Okay, As The UK Appoints Muslim To Head Up Border Security https://t.co/QZe1yL1IBm</t>
  </si>
  <si>
    <t>RT @ARedPillReport: Israeli ambassador to United States on evidence against Iran https://t.co/cLk4N9CG1h</t>
  </si>
  <si>
    <t>RT @ARedPillReport: Netanyahu shares new info on Iran's nuclear program https://t.co/AFFSs64OjB</t>
  </si>
  <si>
    <t>RT @ARedPillReport: Greg Gutfeld on the White House Correspondents' Dinner https://t.co/Z7ghOcm4eg</t>
  </si>
  <si>
    <t>RT @ARedPillReport: BIG WIN! Congress Moves to Act After South Korea Issues Trump Nobel Prize Announcement https://t.co/9lJk1ZaAJj</t>
  </si>
  <si>
    <t>RT @ARedPillReport: "An ABSOLUTE Hit Job!!" NBC Goes After Jordan Peterson, Ben Shapiro RESPONDS in Kind https://t.co/HeyyhcqQ8f</t>
  </si>
  <si>
    <t>RT @ARedPillReport: EXCLUSIVE: Diamond and Silk Unload on Congress, Critics &amp;amp; Purveyors of Fake News https://t.co/U6kZdzRbJw</t>
  </si>
  <si>
    <t>RT @ARedPillReport: HE WENT THERE=&amp;gt; Twitter Erupts After Kanye West Tweets About Republicans Freeing Slaves https://t.co/U5JBY3k7cj</t>
  </si>
  <si>
    <t>RT @ARedPillReport: REPORT: Corey Lewandowski Poised to Replace John Kelly as White House Chief of Staff https://t.co/TGabapsG3K</t>
  </si>
  <si>
    <t>RT @ARedPillReport: EPIC: Sarah Sanders Calls Out The MSM's Actual "War On Women", Waged Against "Every Female That Is Close To This Presid…</t>
  </si>
  <si>
    <t>@favoriteauntssi Welcome, Mary Ann.</t>
  </si>
  <si>
    <t>@favoriteauntssi @TEbergie IKR?</t>
  </si>
  <si>
    <t>RT @favoriteauntssi: @TEbergie @joel_capizzi I try to get out..and they pull me back in. lol.  Honestly, my followers are like my fam.  I w…</t>
  </si>
  <si>
    <t>@favoriteauntssi You're tweets are on point and we don't want to lose you. Curl up with a good book Mary Anne, turn your phone off and we'll hold down the fort.</t>
  </si>
  <si>
    <t>RT @TEbergie: @joel_capizzi @favoriteauntssi Don’t go far, or too long, the IG report cometh.</t>
  </si>
  <si>
    <t>@canyyoulove Totally off the rails.</t>
  </si>
  <si>
    <t>RT @canyyoulove: Jorge Ramos just said the caravan is here because of American junkies.</t>
  </si>
  <si>
    <t>RT @joel_capizzi: @favoriteauntssi It's burnout. I strongly suggest taking a break. It will all be here when you come back. Take care of yo…</t>
  </si>
  <si>
    <t>@ARedPillReport I'll reserve judgment until we hear from Pence and leave it there.</t>
  </si>
  <si>
    <t>RT @ARedPillReport: SARA CARTER: VP Mike Pence's Physician Behind Attacks Against Ronny Jackson https://t.co/Qo9CV5H2mE</t>
  </si>
  <si>
    <t>@favoriteauntssi It's burnout. I strongly suggest taking a break. It will all be here when you come back. Take care of yourself.</t>
  </si>
  <si>
    <t>RT @favoriteauntssi: @joel_capizzi I’m so exhausted and disheartened.</t>
  </si>
  <si>
    <t>RT @Donna6499: @AnthemRespect @RealEagleWings @SenJohnMcCain I just read this article which was enough for me.  I also wish him well but do…</t>
  </si>
  <si>
    <t>RT @realDonaldTrump: The migrant ‘caravan’ that is openly defying our border shows how weak &amp;amp; ineffective U.S. immigration laws are. Yet De…</t>
  </si>
  <si>
    <t>RT @hickorymtnman: The #CorrespondenceDinner was pure partisan politics by the media
The shameful attacks by #MichelleWolf should have bee…</t>
  </si>
  <si>
    <t>@favoriteauntssi Same.</t>
  </si>
  <si>
    <t>RT @favoriteauntssi: #MAGA only works if you’re a team and respect each others opinions.  
I have been blocked and unfollowed these past f…</t>
  </si>
  <si>
    <t>RT @robyns323: For ButterFace #MicheleWolf 
Claims she's never been sexually harassed by a man. Perhaps she should buy herself a mirror?
🤣🤣…</t>
  </si>
  <si>
    <t>RT @Pink_About_it: President Obama:
-if you like your Doctor you can keep your doctor 
Foriegn affairs Obama:
If you like your nuclear w…</t>
  </si>
  <si>
    <t>@RepMarkMeadows  https://t.co/xiFhmGrgpu</t>
  </si>
  <si>
    <t>RT @RepMarkMeadows: Our founders never intended Congress to be a career--part of why Washington has become so dysfunctional is the shift aw…</t>
  </si>
  <si>
    <t>RT @JW1057: Re: Greitens' Persecution 
Does anyone recall a transcript or defense motion stating that KS and Simpson also said the video d…</t>
  </si>
  <si>
    <t>RT @KCStar: Missouri Supreme Court: Greitens' alleged victim must turn over phone for examination https://t.co/RNkHWL2sFs</t>
  </si>
  <si>
    <t>RT @Norasmith1000: I dont care if you love or hate @EricGreitens, think hes innocent or guilty, but nobody on either side can deny the abso…</t>
  </si>
  <si>
    <t>RT @TrumpChess: What kind of lawyer gets 2 envelopes of $50K each from an unknown source THEN hides the fact that he got it - Al Watkins is…</t>
  </si>
  <si>
    <t>RT @VisioDeiFromLA: Hey tessa, 
So what.
This just further proves that you people dont care about innocence or guilt. Oh he answered ques…</t>
  </si>
  <si>
    <t>RT @HotPokerPrinces: Ladder boy is Missouri’s Mitt Romney https://t.co/4bdskFs0o0</t>
  </si>
  <si>
    <t>RT @JW1057: A vote for @HawleyMO in the Republican Party primary is a vote for @clairecmc. LatterBoy spends his workday working out in the…</t>
  </si>
  <si>
    <t>RT @HotPokerPrinces: I say  witch hunt https://t.co/2AwTCsxluW</t>
  </si>
  <si>
    <t>RT @Avenge_mypeople: Just to put this whole #Greitens  affair in perspective: Scott Faughn, owner of Missouri Times gave at least $50,000 t…</t>
  </si>
  <si>
    <t>RT @SherrySLewis2: @AnnCoulter @joel_capizzi Where is the border patrol?</t>
  </si>
  <si>
    <t>RT @Donna50991751: @AnnCoulter @joel_capizzi don't take them in Mexico is their safe haven</t>
  </si>
  <si>
    <t>@barjanpatter They can't handle the truth.</t>
  </si>
  <si>
    <t>@CovfefeLadyC @agsessions AG Sessions is a toothless paper tiger or swamp. Either way he needs to go. 
Do you agree?
#RudyForAG</t>
  </si>
  <si>
    <t>RT @CovfefeLadyC: Lord please let @AGSessions use this information 2 take down the king pin of the #DNC #FakePresident #Muslim Lover #Obama…</t>
  </si>
  <si>
    <t>@johnlegend Your argument is full of errors and has no basis in fact. Ask any Jew about gun control.</t>
  </si>
  <si>
    <t>RT @HDowning113: @Nov2018election @ryan_kantor @TheGunGuy85 I cast my VOTE FOR HUNTER HILL
LOVE HIS PLATFORM &amp;amp;
I will SUPT HILL FOR GOVERNO…</t>
  </si>
  <si>
    <t>RT @joel_capizzi: "We don't have a country if we don't have borders"
President Trump.
#StopTheCaravan 
#DeportIllegals 
#SecureTheBorder…</t>
  </si>
  <si>
    <t>@AnnCoulter Enough is enough. This is an in your face flat out invasion of our country, high noon if you will, and the United States must stand it's ground.</t>
  </si>
  <si>
    <t>RT @AnnCoulter: "They sang the Honduran national anthem, and supporters on the San Diego side of the fence waved a Honduran flag." https://…</t>
  </si>
  <si>
    <t>I have not been receiving notificications and have a following/follower deficit. Please let me know if I have not followed back. It is not intentional. Thanks.</t>
  </si>
  <si>
    <t>@hesstruc12 @justice69hall @4Mischief @GartrellLinda @AnthemRespect @AMErikaNGIRLBOT @JohnMcGeever70 @MAGAKrissy @gaye_gallops @powerglobalus @JipOnwheels @Auntdiggie12 @alta247 @America_Again_ @MaxSkyler1 They underestimate us. The only saving grace is our respect for law and order. In the case of anarchy I know you agree all bets are off. https://t.co/Td87kAAnVS</t>
  </si>
  <si>
    <t>RT @hesstruc12: @justice69hall @4Mischief @GartrellLinda @AnthemRespect @AMErikaNGIRLBOT @JohnMcGeever70 @MAGAKrissy @joel_capizzi @gaye_ga…</t>
  </si>
  <si>
    <t>RT @Nettieohh: @LisaTomain @bdclq @WindyDaysFarm @JcDeplorable @MartinB45719553 @Rightwingmadman @MartinB12bang @geminirequired @BridgetKF3…</t>
  </si>
  <si>
    <t>This second generation Italian challenges the liberal narrative that conservatives oppose legal immigration as I extend a warm welcome to Panamanian immigrant and patriot @aurylopez
🇺🇸🇺🇸🇺🇸
#MAGA</t>
  </si>
  <si>
    <t>RT @Nettieohh: @bdclq @WindyDaysFarm @JcDeplorable @MartinB45719553 @LisaTomain @Rightwingmadman @MartinB12bang @geminirequired @BridgetKF3…</t>
  </si>
  <si>
    <t>RT @Nov2018election: @tedcruz @DavidShafer CHECK THIS OUT 🔽🔽🔽 #SHADYSHAFER #GAGOP #GAPOL https://t.co/xefj616hj6</t>
  </si>
  <si>
    <t>RT @Nov2018election: @tedcruz Senator Cruz why would you endorse @DavidShafer ? One of Georgia’s most crooked corrupt politicians!! Plz wit…</t>
  </si>
  <si>
    <t>RT @joel_capizzi: @jccallahanATX @thehill @realDonaldTrump @michelleisawolf Your money is on a woman who copulates with barnyard animals. S…</t>
  </si>
  <si>
    <t>@prty721a @ICURN777 @RealJamesWoods @PressSec Trump's "bad behavior"? You're no MAGA, "you're a phony, a fraud."</t>
  </si>
  <si>
    <t>@CrochetJanet @bigfishdouble @TinkyWinkyDude @RealJamesWoods @PressSec Show me.</t>
  </si>
  <si>
    <t>@CothranVicky @Claudyconn @bdclq @stand4honor @JcDeplorable @MartinB45719553 @LisaTomain @Rightwingmadman @MartinB12bang @geminirequired @BridgetKF30 @dr_palazzolo @Pr0litical @PradRachael @PrincessPeaPea1 @rocksiphone Thank you for the follow @Claudyconn.</t>
  </si>
  <si>
    <t>@SykesforSenate supports valid voter ID.
Vote Sykes 2018 https://t.co/tK02YmPqCW</t>
  </si>
  <si>
    <t>ICYMI:
#VoterFraud
#VoterIDLawsNow
https://t.co/myVfNUjp0H</t>
  </si>
  <si>
    <t>@DeniseBronsdon Thank you. Good point.</t>
  </si>
  <si>
    <t>RT @DeniseBronsdon: “refugees welcome” sign was held up by German women, also, just before the Muslim refugees gang-raped them! https://t.c…</t>
  </si>
  <si>
    <t>RT @joel_capizzi: Seeking asylum in US holding the Honduran flag.
#BuildTheWall https://t.co/qrYvHsurvE</t>
  </si>
  <si>
    <t>RT @roharmon: They are criminals wanting a handout. https://t.co/52MxySjc6w</t>
  </si>
  <si>
    <t>Did anyone else notice how Michelle Wolf noticeably slurred her words? Go back and listen.</t>
  </si>
  <si>
    <t>@SykesforSenate will vote to build the wall. https://t.co/rZ1lXfI0dS</t>
  </si>
  <si>
    <t>Seeking asylum in US holding the Honduran flag.
#BuildTheWall https://t.co/qrYvHsurvE</t>
  </si>
  <si>
    <t>If you're going to call Sarah Huckabee Sanders a liar you're going to have to point out specifically which facts are wrong or be instantly blocked.</t>
  </si>
  <si>
    <t>@hogwarts7777777 @bdclq @RedPilledinNY @Bitchy006 @Rightwingmadman @The2ndA @LibberTea @LindaWyatt @SnowDov2 @sbcoin @snknight1968 @LisaTomain @Sequencer16 @HrrEerren @dr_palazzolo @CraigAr64 @In2trux @likakik Done.👍</t>
  </si>
  <si>
    <t>RT @hogwarts7777777: @bdclq @RedPilledinNY @Bitchy006 @Rightwingmadman @The2ndA @LibberTea @LindaWyatt @joel_capizzi @SnowDov2 @sbcoin @snk…</t>
  </si>
  <si>
    <t>RT @caterinagrove: Supporting Sarah @PressSec @GovMikeHuckabee @realDonaldTrump @politico @therealroseanne @RealJamesWoods #WHCDfail #Liber…</t>
  </si>
  <si>
    <t>@jccallahanATX @thehill @realDonaldTrump @michelleisawolf Your money is on a woman who copulates with barnyard animals. Sick.</t>
  </si>
  <si>
    <t>RT @jimeh5: @thehill She has become the Face and the Voice of the Liberal Democrat Party. 
Live with it.</t>
  </si>
  <si>
    <t>RT @Nov2018election: 🍑GEORGIA 🍑 EARLY VOTING BEGINS TODAY ✔️ MONDAY APRIL 30TH ✔️ SEE YA AT THE POLLS!!! 🇺🇸🇺🇸 #GAGOP #GAPOL https://t.co/sU…</t>
  </si>
  <si>
    <t>RT @Chrisconsrv1776: @bdclq @JcDeplorable @MartinB45719553 @LisaTomain @Rightwingmadman @MartinB12bang @geminirequired @BridgetKF30 @stand4…</t>
  </si>
  <si>
    <t>RT @joel_capizzi: @CARP_Lab The heart and soul of CARP is elevating hearsay to the chair of authority above hard evidence and John Q public…</t>
  </si>
  <si>
    <t>@CHIZMAGA Great idea .</t>
  </si>
  <si>
    <t>@kickyourace @RealJamesWoods @PressSec Brainwashed. ☝️</t>
  </si>
  <si>
    <t>RT @BarbDomeij: Absolutely, she was a disgrace!
Also with her "joke" about Abortion, very sick woman 😱 https://t.co/idFbxwgRt9</t>
  </si>
  <si>
    <t>RT @potus_supporter: #IStandWithSarahSanders #ClassAct #Respect https://t.co/pj0TYOQhqo</t>
  </si>
  <si>
    <t>@Kwame09 @TinkyWinkyDude @RealJamesWoods @PressSec One more for the road. Adios little buddy.</t>
  </si>
  <si>
    <t>RT @polishprincessh: Must be same poll that showed Hillary had a 95% chance of winning.
In my "poll" most women think, you Maxine are a lyi…</t>
  </si>
  <si>
    <t>Libs are triggered today, stacking them up on my block list like cordwood. Been a banner day. Goodnight patriots. 
#Winning
#MAGA https://t.co/yFaPnqnbTh</t>
  </si>
  <si>
    <t>RT @KimiReed: @TinkyWinkyDude @joel_capizzi @RealJamesWoods @PressSec Whether you think she lies or not had no bearing on the kind of vulga…</t>
  </si>
  <si>
    <t>@ICURN777 @RealJamesWoods @PressSec Oh please. Get some new material. Pathetic.</t>
  </si>
  <si>
    <t>@S57Steve @RealJamesWoods @PressSec When she's not having sex in the backyard?</t>
  </si>
  <si>
    <t>@micklirish Triggered. ☝️</t>
  </si>
  <si>
    <t>@Good2bqueen67 @hebert061 @kdreetz @TinkyWinkyDude @RealJamesWoods @PressSec Noticed that. Thanks for smoking them out Sarah.</t>
  </si>
  <si>
    <t>@TGrandma2006 @PoliticallyRYT Yes of course. ❤</t>
  </si>
  <si>
    <t>RT @mflynnJR: Horsesh#t.  I’m sick of my tax dollars funding illegal immigration... https://t.co/OfA1pxst7e</t>
  </si>
  <si>
    <t>RT @RealJack: “Love Trumps hate!”
-Said the people who insult Sarah Sanders’ appearance, mock Melania’s accent, call Barron a retard, atta…</t>
  </si>
  <si>
    <t>RT @TrumpsBlonde: .@realDonaldTrump “If I don't get the wall in September "we will close down the country."
#ShutItDown
#BurnItDown
#Build…</t>
  </si>
  <si>
    <t>RT @BigLeague2020: Congratulations Officer Jenkins on your retirement after 30 years of dedicated service to your #Sarasota community. Well…</t>
  </si>
  <si>
    <t>RT @SDSUgrad1983: What?? I do not believe this!  And I do not follow, people who doubt our President! Either you Trust him or you don’t! I…</t>
  </si>
  <si>
    <t>@BobIverach @LeoBiblitz Will follow all Canadian patriots. It's hemispheric.</t>
  </si>
  <si>
    <t>@utvolfl @TinkyWinkyDude @RealJamesWoods @PressSec Totally.</t>
  </si>
  <si>
    <t>@Pitpass @Love_TimHortons @TinkyWinkyDude @RealJamesWoods @PressSec Tim Horton's. 👍</t>
  </si>
  <si>
    <t>@Love_TimHortons @TinkyWinkyDude @RealJamesWoods @PressSec Robby's on a trajectory for success. 😁</t>
  </si>
  <si>
    <t>RT @Love_TimHortons: @TinkyWinkyDude @joel_capizzi @RealJamesWoods @PressSec  https://t.co/4TYdkPzXal</t>
  </si>
  <si>
    <t>@TinkyWinkyDude @RealJamesWoods @PressSec You are a force to be reckoned with. Do you both (1 follower) feel that way or just you?</t>
  </si>
  <si>
    <t>@Fashion_Faces No problem. Opt them out of government schools.</t>
  </si>
  <si>
    <t>RT @Fashion_Faces: School District Forbids Parents From Opting Kids Out of LGBT Lessons | Todd Starnes https://t.co/LUwFuXUKV6</t>
  </si>
  <si>
    <t>@CraigAr64 Gun control is the symptom. You just touched on the cause.</t>
  </si>
  <si>
    <t>RT @CraigAr64: The reason for my tweets today, were that the division of the family unit and the fact that cyber bullying allows a person t…</t>
  </si>
  <si>
    <t>@rmarroe @4Mischief @NetworkGuyUS @letters4trump45 @pcal4HIM @jsherm268 @lisarippa @jamesfogarty2 @lrlecuyer @PutInBayDreamin @cooper_999 @GaryWStephenson @ZoopsGarage @brandy1137 @LeonaTrumpster Done.</t>
  </si>
  <si>
    <t>RT @rmarroe: @4Mischief @NetworkGuyUS @letters4trump45 @pcal4HIM @jsherm268 @lisarippa @jamesfogarty2 @lrlecuyer @PutInBayDreamin @joel_cap…</t>
  </si>
  <si>
    <t>RT @EvOConnor15: David Axelrod is still trying desperately to be relevant in his gang. 
Who’s gonna tell him he’s on the losing team?
#Libe…</t>
  </si>
  <si>
    <t>RT @RevelationRevel: @Pickles0201 @Meuser4Congress @Scottforpa @Justd1989 https://t.co/kkNgXEtjP3</t>
  </si>
  <si>
    <t>RT @Pickles0201: @Bruce80649809 @Meuser4Congress @Scottforpa @Justd1989 Absolutely! We need to do everything possible to keep the globalist…</t>
  </si>
  <si>
    <t>RT @Pickles0201: PA DISTRICT 09
#MAGA VOTE FOR ✔☑ 
🔴⚪🔵 SCOTT UEHLINGER PA DISTRICT 09 CONGRESS 🔴⚪🔵
➡ @Scottforpa ⬅ https://t.co/FxJyoyZP…</t>
  </si>
  <si>
    <t>RT @Pickles0201: PA ❤ DISTRICT 09
Please do your part in helping 2 #DrainTheSwamp &amp;amp; keeping #DeepState operatives 
(such as👎@Meuser4Congre…</t>
  </si>
  <si>
    <t>RT @Meuser4Congress: National Security means securing our border. Dan supports President Trump's efforts to build the wall along our southe…</t>
  </si>
  <si>
    <t>RT @mtenorio77: Ok, I’m just gonna say it! If our country is being invaded by illegal aliens’ who don’t care for American Values, we should…</t>
  </si>
  <si>
    <t>RT @JoanneTirado09: @Chicago1Ray #FBICorruption https://t.co/CUwUap1euk</t>
  </si>
  <si>
    <t>@zack_nola @dlwr913 Wish I could. Already following.</t>
  </si>
  <si>
    <t>RT @zack_nola: 👉This lovely #patriot is nearing the 10k follower mark!! 
Show some love and give ⤵️
💙❤️💙❤️💙❤️💙 @dlwr913 
a RT and a foll…</t>
  </si>
  <si>
    <t>RT @mtenorio77: President Trump said it perfect during his rally yesterday!
A vote for democrats is a vote for open borders’ and more crim…</t>
  </si>
  <si>
    <t>@slickchick81 @Fuctupmind @Thomas1774Paine Break out the testosterone. Poor dude. Poor kids!</t>
  </si>
  <si>
    <t>RT @slickchick81: @joel_capizzi @Fuctupmind @Thomas1774Paine Yes unfortunately liberal men are complete vaginas. Case in point https://t.co…</t>
  </si>
  <si>
    <t>RT @reillyzona: @gum_hill @joel_capizzi Holy sh*t. This is gold.</t>
  </si>
  <si>
    <t>@slickchick81 @Fuctupmind @Thomas1774Paine Has bigger stones than most men so-called these days. Pitiful.</t>
  </si>
  <si>
    <t>RT @slickchick81: @Fuctupmind @Thomas1774Paine Ah Judy the OG of melting snowflakes. She is my hero.</t>
  </si>
  <si>
    <t>RT @RayRaybrown57: Michelle Wolf has a prior arrest for bestialty with large dogs. I'm surprised she could take time out from that to tell…</t>
  </si>
  <si>
    <t>RT @argonar21: @codeofvets @hrenee80 @NewDayForNJ Thank you @codeofvets for all you do! Keep fighting the good fight!</t>
  </si>
  <si>
    <t>RT @ron8072: @DominicaDeMari3 @BasedBasterd @Pickles0201 @Kittens4milk @KrisPBacon4 @bdclq @AliciaTolbert @JcDeplorable @LisaTomain @mike43…</t>
  </si>
  <si>
    <t>RT @restore_US_now: I CONCUR❗️ https://t.co/N8U4ZGadl3</t>
  </si>
  <si>
    <t>You know what Jim? Nobody cares. You're done. Finished. You're a traitorous hack. Your public life is over. You're going to jail. While my President is receiving his Nobel peace prize, you'll be eating bologna sandwiches in the big house.  
https://t.co/2A3UYaFDRC</t>
  </si>
  <si>
    <t>Listen up peewee, you can call for boycotts all you want and your mindless morons can support them, but you don't get to mess with my Constitutional rights. Try me. 
https://t.co/WhvHXwmyux
https://t.co/WhvHXwmyux</t>
  </si>
  <si>
    <t>RT @SDSUgrad1983: These “supporters “ are fellow Illegal Hondurans and Guatemalans that successfully snuck into the US and should be arrest…</t>
  </si>
  <si>
    <t>@redsteeze @kaci1951 How many do I get?</t>
  </si>
  <si>
    <t>@gvr_marine Ha! 👍</t>
  </si>
  <si>
    <t>@Mike_Press19 @bullfetters Go Navy. 👍</t>
  </si>
  <si>
    <t>RT @Mike_Press19: Elizabeth Warren gonna Lose Her Seat To A GOP Navy Seal! &amp;lt; America Fans https://t.co/3l8Tuq2Oi9 via @Mike_Press19</t>
  </si>
  <si>
    <t>RT @BouffantRat: Texas Proud too! https://t.co/Cp5Vl6kh1R</t>
  </si>
  <si>
    <t>@ShowboatBob @Soonertrayner @Kevindogluver @HoeCake83Backup @ClaraLouiseBro1 @OneNationJFA @RPCovit @BillyMentzel @SototG @CJeffreyWard @Dan83634 @GinaJarGirl @RuffGSD @thomas15254 @SoBaySD4Trump @Dennis4IU @DrPJohn94 @woahorse @rwilly78 @green_saveon @RitchVanS Done.</t>
  </si>
  <si>
    <t>RT @ShowboatBob: #BobsTrumpTrain
@ShowboatBob
@Soonertrayner
@Kevindogluver
@HoeCake83Backup
@ClaraLouiseBro1
@OneNationJFA
@RPCovit
@Billy…</t>
  </si>
  <si>
    <t>@Jack_W002 @RealJamesWoods @PressSec Why don't you buzz off? Nevermind, I'll do it for you. Jerk.</t>
  </si>
  <si>
    <t>@Pickles0201 @JuliaLaPorta @DominicaDeMari3 @jl_soto @Kittens4milk @KrisPBacon4 @bdclq @AliciaTolbert @JcDeplorable @LisaTomain @mike4354 @Lenono910 @Lost_Literati @ron8072 @RonnyH91x @Rightwingmadman @DaveSchreiber3 @Sequencer16 @bronxhoops2033 In the back of my mind I think I want to help this individual but you cant.</t>
  </si>
  <si>
    <t>@Pickles0201 @JuliaLaPorta @DominicaDeMari3 @jl_soto @Kittens4milk @KrisPBacon4 @bdclq @AliciaTolbert @JcDeplorable @LisaTomain @mike4354 @Lenono910 @Lost_Literati @ron8072 @RonnyH91x @Rightwingmadman @DaveSchreiber3 @Sequencer16 @bronxhoops2033 Been sucked in a time or two Joely, they must practice. No more. 👍</t>
  </si>
  <si>
    <t>@SWoodruffs @WyverShago @jjolsen12 @pjbowles4 @sharonzobeck @TexunMaga @1DeplorableDiva @DM30959 @NewtTekell @flowersoffate @DallasIrey @sgmills52 @suprdupe @Maggieb1B @BouffantRat @PatriotMeme @PFemale53 @USACrusader71 @TallStoneMason @TXn4America @jeffhudgins3 @IloveDebraJB We're under rated and very underpaid, thanks to China. Let's hope that changes. That said, the trade has been good to my family. Give him my best regards!</t>
  </si>
  <si>
    <t>@stump54jumper It was good. 👍</t>
  </si>
  <si>
    <t>@HashTagDB @NewDayForNJ Nothing true.</t>
  </si>
  <si>
    <t>@stump54jumper Please. I just had lunch.</t>
  </si>
  <si>
    <t>@NewDayForNJ To your point... https://t.co/WotXgTMcrj</t>
  </si>
  <si>
    <t>RT @NewDayForNJ: The US Senate is only 6 votes away from impeaching our President should it come to this. It has NEVER been more important…</t>
  </si>
  <si>
    <t>@WyverShago @SWoodruffs @jjolsen12 @pjbowles4 @sharonzobeck @TexunMaga @1DeplorableDiva @DM30959 @NewtTekell @flowersoffate @DallasIrey @sgmills52 @suprdupe @Maggieb1B @BouffantRat @PatriotMeme @PFemale53 @USACrusader71 @TallStoneMason @TXn4America @jeffhudgins3 Machinists rock.</t>
  </si>
  <si>
    <t>RT @MrsT106: We sang this beautiful song today in church @iclv ...I love this entire album by @CoryAsbury 😇Happy Sunday once again to Pasto…</t>
  </si>
  <si>
    <t>@thepatriotusa_1 Thank you.</t>
  </si>
  <si>
    <t>RT @thepatriotusa_1: @joel_capizzi And thank you very much for yours. 👍</t>
  </si>
  <si>
    <t>@1Cozy1 Shoulda used birth control.</t>
  </si>
  <si>
    <t>RT @codeofvets: DON’T EVER QUESTION OUR LOYALTY TO 45🇺🇸LOYAL TO POTUS🇺🇸America First outsider/veteran candidates https://t.co/XzaluzssHH</t>
  </si>
  <si>
    <t>@thepatriotusa_1 Thanks for your service sir.</t>
  </si>
  <si>
    <t>RT @thepatriotusa_1: Exactly. A high school skinhead paid protester isn’t impressed by a fearless a-list celebrity risking everything to ex…</t>
  </si>
  <si>
    <t>@PriscillasView @Maggieb1B @Venkman007 24.7K followers vs 93? Do the math Chris.</t>
  </si>
  <si>
    <t>RT @StacyLStiles: Our beautiful @PressSec represents everything the Left lacks/despises:
•grace
•class
•elegance 
•sophistication 
•beauty…</t>
  </si>
  <si>
    <t>Woke up last night screaming and drenched in sweat. I dreamt Hillary was on Dancing With the Stars!! 😅</t>
  </si>
  <si>
    <t>Earth to CNN...
https://t.co/kI1fuZXIaN</t>
  </si>
  <si>
    <t>No John, you got it a$$ backwards. 
https://t.co/YT4we9WCma</t>
  </si>
  <si>
    <t>So?
https://t.co/WOLLAiZIgX</t>
  </si>
  <si>
    <t>RT @lapagapeo: @martinl30346020 @joel_capizzi Meanwhile our vets aren't taken care of and so many are homeless. This is an invasion and the…</t>
  </si>
  <si>
    <t>@chart_babs @Maggieb1B @THEBenWilhelm @realDonaldTrump Great point.</t>
  </si>
  <si>
    <t>RT @chart_babs: @Maggieb1B @THEBenWilhelm @realDonaldTrump “Abortion doesn’t end pregnancy; birth ends pregnancy. Abortion ends a life.”</t>
  </si>
  <si>
    <t>RT @MartinB45719553: @joel_capizzi @solentgreenis @PressSec Nothing but the best always from Sol</t>
  </si>
  <si>
    <t>RT @mark60c: @AntonioSabatoJr @joel_capizzi Merit-based immigration!</t>
  </si>
  <si>
    <t>RT @MemphisGrits2: Liberal women are a disappointment to all women, they slander, insult, smear then call themselves “feminists”, what a ch…</t>
  </si>
  <si>
    <t>@GrizzleMeister @ConservaMomUSA @Pontifex For them.</t>
  </si>
  <si>
    <t>@joannperrone15 @AMike4761 @Richard28353205 Agree.</t>
  </si>
  <si>
    <t>@martinl30346020 Call it invasion.</t>
  </si>
  <si>
    <t>RT @DaveSchreiber3: @solentgreenis @PressSec OMG 😂🤣😂🤣😂🤣...that's AWESOME Sol, and so are YOU!!  Bravo...and I'm standing!</t>
  </si>
  <si>
    <t>@solentgreenis @PressSec This is the bomb. Would you consider one with "Carrie"? 😁</t>
  </si>
  <si>
    <t>@solentgreenis @PressSec Nice one Sol, nice one.</t>
  </si>
  <si>
    <t>RT @solentgreenis: In honor of my dear @PressSec  getting pummeled by a two bit hack at the dinner last night i decided  to make a compilat…</t>
  </si>
  <si>
    <t>@DonaldW40174618 True.</t>
  </si>
  <si>
    <t>RT @DonaldW40174618: Ronnie Jackson with drew his name for the VA because he saw what the vial left and Democrats do to Trump nominees an l…</t>
  </si>
  <si>
    <t>RT @RyanAFournier: Hundreds of migrants are trying to enter our country illegally today! We must not let them in! 
Protect our borders and…</t>
  </si>
  <si>
    <t>@RealMattCouch @TXSVIKING Is it any wonder why?</t>
  </si>
  <si>
    <t>RT @ronweissman3: Sarah's soul is good and direct. https://t.co/v9erRhxo0O</t>
  </si>
  <si>
    <t>@djf510 Done. 👍</t>
  </si>
  <si>
    <t>RT @djf510: Snoop should change his name to Poop. https://t.co/prTHt43Gu0</t>
  </si>
  <si>
    <t>RT @Tony19542: Sarah Was..Fat Shamed..Her Looks Were Attacked..The Way She Dresses Was Attacked..Ladies Can You Imagine You Being The One T…</t>
  </si>
  <si>
    <t>RT @joel_capizzi: @RealJamesWoods @PressSec The attacks on Sarah Huckabee Sanders are cruel, crass, and beneath human dignity. She is the e…</t>
  </si>
  <si>
    <t>@RealJamesWoods @PressSec The attacks on Sarah Huckabee Sanders are cruel, crass, and beneath human dignity. She is the epitome of strength, wisdom, class and integrity. I have nothing but respect for her.</t>
  </si>
  <si>
    <t>@MsAvaArmstrong Yes.</t>
  </si>
  <si>
    <t>RT @AntonioSabatoJr: I believe in legal immigration. There is a process that my family went through. We must control and protect our border…</t>
  </si>
  <si>
    <t>@SWoodruffs @WyverShago @DM30959 @BouffantRat @pjbowles4 @TexunMaga @1DeplorableDiva @NewtTekell @flowersoffate @DallasIrey @sgmills52 @suprdupe @Maggieb1B @PatriotMeme @PFemale53 @USACrusader71 @TallStoneMason @TXn4America @jeffhudgins3 And oh, those magnificent sunsets.</t>
  </si>
  <si>
    <t>@blitz_bot_test Bye perspective bot. 😉</t>
  </si>
  <si>
    <t>@blitz_bot_test Wtf?</t>
  </si>
  <si>
    <t>RT @BigLeague2020: @Pickles0201 @PVHenryConLLC @BaracudaDebbie @cs0058sc @SarahReloaded @real_Ryan_P @wade_spiker @marleneroseb @antlovato3…</t>
  </si>
  <si>
    <t>@ksandiego52 @Rightwingmadman @GOP Thus the acronym RINO my friend. Good post.</t>
  </si>
  <si>
    <t>RT @ksandiego52: @joel_capizzi @Rightwingmadman SADLY the current @GOP party has PROVEN they won't vote together, would turn their back on…</t>
  </si>
  <si>
    <t>@LisaTomain @Sequencer16 Congrats to this solid conservative woman on 26K!!! https://t.co/4LFUYTgkPQ</t>
  </si>
  <si>
    <t>RT @LisaTomain: @Sequencer16 Congratulations 🎊🍾🎉🎈 on 26k my sister! I love you and proud to be your friend 💕
A true patriot that loves her…</t>
  </si>
  <si>
    <t>RT @myGianLuca: SK Foreign Minister Sends MSM into Panic Mode with Special Message for Trump https://t.co/fuIubBnfyB</t>
  </si>
  <si>
    <t>@mtenorio77 Refreshing.</t>
  </si>
  <si>
    <t>RT @mtenorio77: A conservative man’s values on Love! ❤️🌹 https://t.co/05fwAQRQDY</t>
  </si>
  <si>
    <t>RT @DaveSchreiber3: **"Democrats are ready to eliminate civil liberties if it means convicting President Donald Trump of a crime, Harvard L…</t>
  </si>
  <si>
    <t>RT @mr65gibson: Trump beating the dogshit outta the democrats right now, people screaming “We love you Trump”!!!!!!!!
#MAGA @realDonaldTrum…</t>
  </si>
  <si>
    <t>RT @mr65gibson: #Alfie Hmmmmmm https://t.co/vMWubGzKJo</t>
  </si>
  <si>
    <t>@TrumpsBlonde @PhucMyHo @PanoiuS @CPCnolonger @Methos48970151 @DaddyJim52 @JohnRrr1 @Nwo_Nick @whenwefallapart @MochaLudmila @KittenMcKays @itsNickkiBitchh @Katmai1113 @GunControlNow_ Thank you for your time and work Maximus. Shared and blocked.</t>
  </si>
  <si>
    <t>RT @TrumpsBlonde: Block troll accounts  Getting #MAGA Suspended 
@PanoiuS
@BeBraveAndTrue
@Shawn_md
@DM85250149
@Pepsolman
@CascadiaCoug
@K…</t>
  </si>
  <si>
    <t>@TrumpsBlonde @PhucMyHo @PanoiuS @CPCnolonger @Methos48970151 @DaddyJim52 @JohnRrr1 @Nwo_Nick @whenwefallapart @MochaLudmila @KittenMcKays @itsNickkiBitchh @Katmai1113 @GunControlNow_ Thanks.</t>
  </si>
  <si>
    <t>RT @TrumpsBlonde: 🔥HEADS UP🔥
New Kind of Trump Train Today!  Share by retweeting  
Lists by Maximus_Rising 
BLOCK LIST
@PhucMyHo
@PanoiuS
@…</t>
  </si>
  <si>
    <t>RT @mtenorio77: Hell Yeah!!! Close down the country Mr. President!!! 🇺🇸🇺🇸🇺🇸🇺🇸🇺🇸</t>
  </si>
  <si>
    <t>RT @TeriGRight: The #nationaldayofprayer is May 3.
The Theme is #Unity: 
"Make every effort to keep the unity of the Spirit through the bon…</t>
  </si>
  <si>
    <t>RT @CraigAr64: This is a serious problem for kids, and society losing it's ability to deal with adversity, parents more now than ever need…</t>
  </si>
  <si>
    <t>@CraigAr64 Doesn't "take a village" does it?</t>
  </si>
  <si>
    <t>RT @CraigAr64: It takes two to make a child and it's my believe and experience it takes two to raise one also. Society Can Never Fill In Fo…</t>
  </si>
  <si>
    <t>@CraigAr64 You may remember the Carol Burnett show Craig. Carol,Tim Conway, Harvey Korman and crew.  I still split a gut watching reruns. THAT'S comedy.</t>
  </si>
  <si>
    <t>RT @CraigAr64: What ever happened to the comedy that was actually funny instead of the embarassing poor excuse for what some deem as humor.…</t>
  </si>
  <si>
    <t>RT @ouchinagirl: @DJTriKSHoT @Happygo62185195 @VinnyGB1 I KNOW WHO YOU ARE TROLL‼️ JUST ANOTHER NASTY MASKED LOW NUMBERS COMMIE CORE RUSSIA…</t>
  </si>
  <si>
    <t>RT @solentgreenis: when Obama received the Nobel Peace Prize...... https://t.co/sVLnFVqKPD</t>
  </si>
  <si>
    <t>RT @solentgreenis: in honor of @JacksonLeeTX18 being a total clown.......its a thing of nighmares....... https://t.co/qw6Ed0QraK</t>
  </si>
  <si>
    <t>RT @JoanneTirado09: @Chicago1Ray 🇺🇸🇺🇸🇺🇸🇺🇸
#TrumpTrain 
🇺🇸🇺🇸🇺🇸🇺🇸
#Trump2020 
🇺🇸🇺🇸🇺🇸🇺🇸
#KAG2020 https://t.co/4oW64itfdj</t>
  </si>
  <si>
    <t>RT @Sequencer16: Well said!  Back in the day impersonations of political figures, such as Dana Carvey's GWBush, were light, funny, and most…</t>
  </si>
  <si>
    <t>RT @JoanneTirado09: @Chicago1Ray #KAG2020 
🇺🇸🇺🇸🇺🇸🇺🇸🇺🇸 https://t.co/Xue3eGyXrm</t>
  </si>
  <si>
    <t>RT @JoanneTirado09: #AmericaFirst 
🇺🇸🇺🇸🇺🇸🇺🇸🇺🇸
#KAG2020 
🇺🇸🇺🇸🇺🇸🇺🇸🇺🇸 https://t.co/9yd3lC9l4e</t>
  </si>
  <si>
    <t>@SykesforSenate is on record for building the wall. 
Austin Petersen, is on record for open borders.
#StopTheCaravan
#DeportIllegals 
#SecureTheBorder 
#BuildTheWall https://t.co/HtxX0kRfHR</t>
  </si>
  <si>
    <t>"We don't have a country if we don't have borders"
President Trump.
#StopTheCaravan 
#DeportIllegals 
#SecureTheBorder 
#BuildTheWall https://t.co/B9eaohj9Va</t>
  </si>
  <si>
    <t>"The NRA wants “guns everywhere” when it comes to kids"
No dodo, they mean in the crowd. Is it just me? 
https://t.co/FYB6uLx7JU</t>
  </si>
  <si>
    <t>How important are the midterms?
Not a single Dem voted guilty on any of the charges against Bill Clinton.
If the Dems take control of the Senate, not only will they impeach Trump, they'll remove him from office. https://t.co/pl1wuinAMy</t>
  </si>
  <si>
    <t>RT @woohoo9: @TimeT_AA001 @Timesupjokers @GillMash4 @myheartsindixie @Caparosa52 @k_pfor @NurseDeb3305 @LaudunMarie @Crunk5454 @joel_capizz…</t>
  </si>
  <si>
    <t>@JohnMcGeever70 @JackieLeeMc @JackaLopez3 @makale777 @terry_vestal @patriotpennsy @LisaMei62 @lisak0623 @TT45Pac @BellaCeleste @JeCof37 @nikki_coyle @elliss2sue @NJ_Optimist @jeepsuzih2 @TomiLahren @TruthMatters13 @PoliticallyRYT @DonnaWR8 The Trump train has no caboose.
#GrowingTheBase</t>
  </si>
  <si>
    <t>@JohnMcGeever70 @Lakota07 @Ldaught2 @debluc745 @mordupree @CyndiRocks1 @skyzbabe1961 @Barnett20Todd @LuvinIt57 @pay_triot @jen4trump1 @PoliticallyRYT @MissSassyIA @FierceKittykate @SOTEX2239 @TruthMatters13 @tracymelchior @polishprincessh @camojo82 @PIRATEDANTRAIN Thanks John.</t>
  </si>
  <si>
    <t>RT @JohnMcGeever70: Car #2
@Lakota07 
@Ldaught2 
@debluc745 
@mordupree 
@CyndiRocks1 
@skyzbabe1961 
@Barnett20Todd 
@LuvinIt57 
@pay_trio…</t>
  </si>
  <si>
    <t>RT @JohnMcGeever70: Car #1
Here we go patriots! Keep the train rolling #6. Have a great ride. 
@APTT45Babe
@CudaBabe2 
@GaryDeSantis 
@1oft…</t>
  </si>
  <si>
    <t>RT @JohnMcGeever70: Take your #TwitterLockOut and shove it! Special Wednesday #TrumpTrain #6 . Follow all and RT to support @realDonaldTrum…</t>
  </si>
  <si>
    <t>@JohnMcGeever70 Thanks for the list John.
#MAGA</t>
  </si>
  <si>
    <t>RT @JohnMcGeever70: Car #6 
That's all folks! I hope you enjoyed the ride. 
Until we meet again. Follow all these great patriots and RT.
#M…</t>
  </si>
  <si>
    <t>RT @JohnMcGeever70: Car #5
@JackieLeeMc 
@JackaLopez3
@makale777 
@terry_vestal 
@PatriotPennsy
@LisaMei62 
@lisak0623
@TT45Pac
@BellaCeles…</t>
  </si>
  <si>
    <t>@JohnMcGeever70 @flybull1 @mtclifford84 @Lakota07 @Lake_Life_Guy @RobinFredricks1 @4meJustice @RavenHawk4 @ravena68 @bud_cann @CalmNcanny @driverrj @1ofthegoodguyz @GrizzleMeister @jen4trump1 @President1Trump @Education4Libs @jimlibertarian All in. 👍</t>
  </si>
  <si>
    <t>RT @JohnMcGeever70: Car #4 
@flybull1 
@mtclifford84 
@Lakota07  
@APTT45Babe
@Lake_Life_Guy 
@RobinFredricks1 
@4meJustice 
@RavenHawk4 
@…</t>
  </si>
  <si>
    <t>@flybull1 fine looking ship. CG?</t>
  </si>
  <si>
    <t>RT @TheGunGuy85: @Nov2018election @DannyTarkanian NEVADA PRIMARY JUNE 12TH VOTE @DannyTarkanian FOR CONGRESS #NV03 #NVGOP https://t.co/JjsG…</t>
  </si>
  <si>
    <t>RT @Nov2018election: WELL WELL WELL NEVADA #NEVERMORTENSEN 🔽🔽🔽 #NV03 #NV3 #CD3 #NVGOP https://t.co/nNhhb9VvCN</t>
  </si>
  <si>
    <t>RT @Nov2018election: TARKANIAN FOR CONGRESS #NV03 #NV3 #CD3 #NVGOP https://t.co/0HqSMYtG68</t>
  </si>
  <si>
    <t>RT @Nov2018election: HEADS UP NEVADA 🔽🔽🔽🔽 #NEVERMORTENSEN https://t.co/nm3o166C01</t>
  </si>
  <si>
    <t>RT @Nov2018election: NEVADA HERMAN CAIN SUPPORTS @DannyTarkanian #NV3 #NV03 #CD3 #NVGOP https://t.co/bGjXWSDwfP</t>
  </si>
  <si>
    <t>RT @Nov2018election: #NV03 #NV3 #CD3 #NVGOP https://t.co/CdoFhmi40i</t>
  </si>
  <si>
    <t>RT @Nov2018election: NEVADA POTUS SUPPORTS @DannyTarkanian NOT 🔽🔽🔽 #NV03 #NV3 #CD3 #NVGOP https://t.co/E2lwjtHu6d</t>
  </si>
  <si>
    <t>RT @Nov2018election: LET’S DO THIS NEVADA 🇺🇸 VOTE ✔️JUNE 12TH DANNY TARKANIAN FOR CONGRESS @DannyTarkanian THE CONSERVATIVE PRO TRUMP CANDI…</t>
  </si>
  <si>
    <t>RT @BigLeague2020: @kirwin58 @joel_capizzi @Nov2018election @realDonaldTrump The Real MAGA Candidate #Missouri
COURTLAND SYKES FOR SENATE…</t>
  </si>
  <si>
    <t>RT @kirwin58: @joel_capizzi @Nov2018election @realDonaldTrump Hawley will never get my vote after the stunt he just pulled on Greitens!!!!</t>
  </si>
  <si>
    <t>@JuliaLaPorta @DominicaDeMari3 @jl_soto @Kittens4milk @KrisPBacon4 @bdclq @AliciaTolbert @JcDeplorable @LisaTomain @mike4354 @Pickles0201 @Lenono910 @Lost_Literati @ron8072 @RonnyH91x @Rightwingmadman @DaveSchreiber3 @Sequencer16 @bronxhoops2033 Liked: "instablocked". Best way to go. 👍</t>
  </si>
  <si>
    <t>@MAGAKrissy @POTUS Gives "unhinged" new meaning.</t>
  </si>
  <si>
    <t>RT @MAGAKrissy: The #WHCD should show everyone exactly how low the #Resistance is. I’ve never seen a more disgusting display from “adults”…</t>
  </si>
  <si>
    <t>RT @ScottPresler: Thank you @USATODAY for using my tweet in your story on Michelle Wolf at #WHCD. 
I did call it vile. 
https://t.co/zdbFN…</t>
  </si>
  <si>
    <t>RT @DontTreadOnUS: Hows about a #SaturdayNight super Mega #MAGA poll ? 🇺🇸</t>
  </si>
  <si>
    <t>RT @LpPedigo: #kanyawest way to step up and be brave! We are all individuals and have a right to have a opinion.</t>
  </si>
  <si>
    <t>RT @siegelrj: @charzdesigns @kanyewest @POTUS I don't think Kanye West is a Conservative by any stretch but that isn't the point. His point…</t>
  </si>
  <si>
    <t>RT @BeckyPeteson: @chfortrump @CNN @FoxNews @POTUS I hope President Trump skips 8 years of WH correspondent dinners! #FakeNewsCNN #FakeMedi…</t>
  </si>
  <si>
    <t>RT @joel_capizzi: @Sherry7202 @Fuctupmind A monster and like Mary Shelly's Frankenstein  monster, it will turn on it's creator and destroy…</t>
  </si>
  <si>
    <t>@Toughenupworld @ReBannedVernon @rightwinger203 Thank you.</t>
  </si>
  <si>
    <t>RIP Alfie Evans.
Children are not the property of govt.
"This is that which puts the AUTHORITY into the PARENTS hands to govern the minority of their children. GOD hath made it THEIR  business to employ this care on their offspring" John Locke, 1690.
https://t.co/QXMyjlpvjp</t>
  </si>
  <si>
    <t>RT @DLoesch: A free people don’t have to beg the government for permission to save their child. #AlfieEvans</t>
  </si>
  <si>
    <t>@VinceGottalotta thanks for your service shipmate. Oorah. https://t.co/ZEVuSzcXzy</t>
  </si>
  <si>
    <t>RT @VinceGottalotta: “Care is not to denied anyone in the UK.”
Alfie Evans is unavailable for comment. https://t.co/tK69qiwDfE</t>
  </si>
  <si>
    <t>RT @blueaudiogarde1: When they go low we go HIGH! Don't stoop to the level of garbage, maintain your dignity then take out the TRASH! @Pres…</t>
  </si>
  <si>
    <t>RT @SaraCarterDC: I wonder if @CNN should have disclosed its source was Clapper since they now contract him as a paid analyst? Seems like a…</t>
  </si>
  <si>
    <t>@ScottPresler They snubbed the President at the State of the Union address. Karma's a b*tch.</t>
  </si>
  <si>
    <t>RT @ScottPresler: President Trump gets the last laugh.
While the #WHCD has vulgar Michelle Wolf present "comedy," he rallied in Macomb, a…</t>
  </si>
  <si>
    <t>I lived through the turbulent 60's. We made it through then and we'll make it now. We're Americans. https://t.co/NtRh8abMDx</t>
  </si>
  <si>
    <t>@SaraCarterDC @realDonaldTrump Very accurate as is all your work Ms. Carter and very well stated.</t>
  </si>
  <si>
    <t>RT @SaraCarterDC: I wouldn’t have thought any less if they would have walked out — it was insulting and shameful. #WHCD is not about journa…</t>
  </si>
  <si>
    <t>@Sherry7202 @Fuctupmind A monster and like Mary Shelly's Frankenstein  monster, it will turn on it's creator and destroy it.</t>
  </si>
  <si>
    <t>RT @Sherry7202: @Fuctupmind The journalists who are posting to somewhat apologize for this disaster need to read the vile and cruel comment…</t>
  </si>
  <si>
    <t>RT @BridgetKF30: @PradRachael @joel_capizzi One of the ONLY TRUE INVESTGATIVE REPORTERS LEFT!!  @SaraCarterDC !!  💯💯💯🇺🇸🇺🇸❤️❤️👏👏🙏🙏🙏👍👍👍🇺🇸🇺🇸🇺🇸…</t>
  </si>
  <si>
    <t>@mschlapp @mercedesschlapp They continue to isolate themselves. You at least tried. They didn't. Good for both of you.</t>
  </si>
  <si>
    <t>RT @mschlapp: My wife @mercedesschlapp and I walked out early from the wh correspondents dinner. Enough of elites mocking all of us</t>
  </si>
  <si>
    <t>RT @ScottPresler: Michelle Wolf's presentation tonight was vile, not even funny, &amp;amp; speaks volumes of the democrat party. 
If I'm ever bles…</t>
  </si>
  <si>
    <t>@DebiLevine3 @kneelandsan @MsAvaArmstrong @RobPratt8765 Make that 16 walls.</t>
  </si>
  <si>
    <t>@MsAvaArmstrong @kneelandsan Good point. 6 walls to be exact.</t>
  </si>
  <si>
    <t>RT @CoreyLMJones: The crowd at the Trump rally in Michigan chanted,
“NOBEL, NOBEL, NOBEL”
I don’t think anyone is more deserving of hearin…</t>
  </si>
  <si>
    <t>@LaunaSallai Perish the thought. Yes.</t>
  </si>
  <si>
    <t>RT @LaunaSallai: Raise your hand (🤚) If you thank your Luck Stars 🌟🌟Everyday
👇This woman did not become President of ANYWHERE!!!!!
#TrumpSt…</t>
  </si>
  <si>
    <t>RT @letters4trump45: Trump is a one man giant red wave.
Awesome
#RedWaveRising2018 https://t.co/RcdEHN4IUJ</t>
  </si>
  <si>
    <t>@ScottPresler Still remember him raking the swamp over the coals during his inauguration speech no less. He hasn't changed. He's the comsumate outsider, a hero, a champion, an American patriot. We are truly in his debt. God bless you Mr. Trump.
#MAGA</t>
  </si>
  <si>
    <t>RT @ScottPresler: President Trump is going hard at this rally in Michigan. 
He called out Comey for being a liar and a leaker. Now, he's t…</t>
  </si>
  <si>
    <t>@PradRachael I concur.</t>
  </si>
  <si>
    <t>RT @PradRachael: Media continues to lose
Credibility with audiences &amp;amp; Readers
Sarah Carter: Best investigative reporter of our time, Real J…</t>
  </si>
  <si>
    <t>RT @Pickles0201: @ron8072 @DominicaDeMari3 @Kittens4milk @KrisPBacon4 @bdclq @AliciaTolbert @JcDeplorable @LisaTomain @mike4354 @joel_capiz…</t>
  </si>
  <si>
    <t>RT @jl_soto: @DominicaDeMari3 @Kittens4milk @KrisPBacon4 @KarylHarris13 @bdclq @AliciaTolbert @JcDeplorable @LisaTomain @mike4354 @Pickles0…</t>
  </si>
  <si>
    <t>@slimjhc @mitchemgracie @ouchinagirl @BridgetKF30 @AmericanRosie @campbell_trayce @LisaTomain @TBruceTrp773 @dr_palazzolo @bdclq @JcDeplorable @Rightwingmadman @Sequencer16 @DaveSchreiber3 @The2ndA @MartinB45719553 @JAntonioM4 @PressSec___ @bronxhoops2033 @amory_miller @Pickles0201 @Comey @BretBaier 😂👍</t>
  </si>
  <si>
    <t>RT @David_Hogg16: Last night, rec'd a DM saying I was the "Evil Twin." My twin brother died a few days before I was born. I have a connecti…</t>
  </si>
  <si>
    <t>RT @NewDayForNJ: What a GREAT #MAGA day!!! 
🇺🇸🇺🇸🇺🇸🇺🇸🇺🇸
#HoldTheLine https://t.co/0VkpoyC4kZ</t>
  </si>
  <si>
    <t>RT @gonv_survival: @LaunaSallai @galerobinson16 @letters4trump45 @ddwiese @Patriotess_Ruby @DebraCastro @TrumpsPal @MarcusBrutus_ @CHERNOBY…</t>
  </si>
  <si>
    <t>@MossforCongress Following and supporting @MossforCongress 
#MAGA</t>
  </si>
  <si>
    <t>RT @MossforCongress: Thanks for the follow and comment. https://t.co/8cJnIklSQQ</t>
  </si>
  <si>
    <t>RT @MossforCongress: Larry Bucshon sold his Indiana home and moved his family full-time to DC. Republican or Democrat, Hoosiers deserve a C…</t>
  </si>
  <si>
    <t>RT @MossforCongress: In Congress, I'll fight for YOU! After years of broken promises, it's time to secure the border and put America first.…</t>
  </si>
  <si>
    <t>RT @MossforCongress: From Vigo County to Vanderburgh, hundreds of Hoosiers have already voted! We’re excited by the MAJOR support we’re see…</t>
  </si>
  <si>
    <t>RT @TrydecafCoffey: Any Indiana Patriots out there living in the 8th Congressional District? Looks like we might have a Patriot @MossforCon…</t>
  </si>
  <si>
    <t>RT @Dr_Chad_Tew: @RepLarryBucshon @LugarSeries Questions for Indiana Rep Larry Bucshon IN-8 @GOP : Why don't you debate your @indgop primar…</t>
  </si>
  <si>
    <t>@Dr_Chad_Tew @MossforCongress @indgop If Larry lived in MO maybe he could hide out at the gym with Josh Hawley.</t>
  </si>
  <si>
    <t>RT @Dr_Chad_Tew: Indiana Rep Larry Bucshon IN-8 delivers ultimate slap in face to every one of his Republican constituents by not debating…</t>
  </si>
  <si>
    <t>@MossforCongress Very Trumpian sir. 
#MAGA</t>
  </si>
  <si>
    <t>RT @MossforCongress: I said it from the beginning - I’ll always put Hoosiers first! This election is too important to come up short. That’s…</t>
  </si>
  <si>
    <t>RT @Indiana4theWin: @Redhead4645 @POTUS Vote @MossforCongress to Indiana’s 8th district. 5-8-18 #MAGA</t>
  </si>
  <si>
    <t>@CARP_Lab The heart and soul of CARP is elevating hearsay to the chair of authority above hard evidence and John Q public swallows it hook, line and sinker. Like a carp.</t>
  </si>
  <si>
    <t>RT @joel_capizzi: @CARP_Lab This group is devoted to the study of Character Assassination and Reputation Politics or CARP.
It is a CARP is…</t>
  </si>
  <si>
    <t>@Shawtypepelina @KathieConway Been called worse. 😁</t>
  </si>
  <si>
    <t>@KathieConway If so, why the appeal not to turn it over?</t>
  </si>
  <si>
    <t>RT @cooper__999: @pcal4HIM @letters4trump45 @LaunaSallai @ddwiese @Patriotess_Ruby @DebraCastro @TrumpsPal @MarcusBrutus_ @CHERNOBYL03USMC…</t>
  </si>
  <si>
    <t>@HighStrung1776 @TheAmericanOG @Bud_Doggin @kjross1970 @bradNjo @mlcherenfant @1GreatDog @LeeUnderhill3 @antoniaiadi @ZenmanSmith @joey_cauthen @JoeTraderj @MrRager2828 @RayRenzi0520 @Cherub973 @WeirdReport @marycjoyce2 @BetBobJo1947 @DianeRosemond All in. Thanks.</t>
  </si>
  <si>
    <t>RT @HighStrung1776: @TheAmericanOG @Bud_Doggin @kjross1970 @bradNjo @mlcherenfant @1GreatDog @LeeUnderhill3 @antoniaiadi @ZenmanSmith @joey…</t>
  </si>
  <si>
    <t>@the1murdock @In2trux Could be any or all. If she's unwilling to submit the phone for forensic investigation, besides speaking volumes, Greiten's lawyer should move to have it thrown out. What's also disturbing to me is you have an Attorney General, Josh Hawley who endorses this crap.</t>
  </si>
  <si>
    <t>RT @cooper__999: @ZoopsGarage @LaunaSallai @lionbuckeyeguy @letters4trump45 @ddwiese @Patriotess_Ruby @DebraCastro @TrumpsPal @MarcusBrutus…</t>
  </si>
  <si>
    <t>@KathieConway @Shawtypepelina Would love to. Maybe when I'm in MO for Sykes'  victory party. 😁</t>
  </si>
  <si>
    <t>RT @pcal4HIM: @LaunaSallai @letters4trump45 @ddwiese @Patriotess_Ruby @DebraCastro @TrumpsPal @MarcusBrutus_ @CHERNOBYL03USMC @BikerforGood…</t>
  </si>
  <si>
    <t>@letters4trump45 @pcal4HIM @LaunaSallai @ddwiese @Patriotess_Ruby @DebraCastro @TrumpsPal @MarcusBrutus_ @CHERNOBYL03USMC @BikerforGood @4Mischief @onedovealone @DallasIrey @Daisy49103 @supercent666 @GartrellLinda @Jamiem2481 @cooper__999 @75Schulte Thank YOU.</t>
  </si>
  <si>
    <t>RT @carlcannova: @joel_capizzi Nuts! If she’s telling the truth, odds are, her evidence would likely be on that phone! Likewise, if she’s l…</t>
  </si>
  <si>
    <t>RT @RealJack: Pathetic...
WOAH: Creepy Report Indicates Why So Many GOP Are Retiring… https://t.co/gHpIBUD90m</t>
  </si>
  <si>
    <t>RT @DLoesch: But you did, so just stop already. https://t.co/alUeVAp20j</t>
  </si>
  <si>
    <t>@GlennMcElroy2 Really cheap shot Glenn, but what I would expect from the "resistance".</t>
  </si>
  <si>
    <t>@KathieConway I appreciate that and I appreciate your guts in saying so here.</t>
  </si>
  <si>
    <t>RT @KathieConway: @joel_capizzi I do. And I support him turning his over. However, I suspect he used a throw away phone.</t>
  </si>
  <si>
    <t>@KathieConway Really? Hadn't heard that one.</t>
  </si>
  <si>
    <t>@KathieConway I can't wrap my head around that.
If you in your heart believe who would be the best candidate why wouldn't you put it on Twitter and support his/her campaign?</t>
  </si>
  <si>
    <t>@KathieConway Do you support Greiten's accuser turning over her phone for forensic investigation?
https://t.co/iMEll63Vst</t>
  </si>
  <si>
    <t>RT @NinaSossP: Time to march for this sweet girl! #marchforbabies https://t.co/yp5iYP0HiE</t>
  </si>
  <si>
    <t>@CovfefeJack @THR I genuinely do not believe her.</t>
  </si>
  <si>
    <t>@BisonWatcher Missouri and more importantly Gov Greitens deserves to know what's on her phone. He has the constitution right to face his accuser and cannot do that without all the facts. Josh Hawley knows this yet persists with this charade.</t>
  </si>
  <si>
    <t>RT @BisonWatcher: @joel_capizzi What could she be hiding that is so important? Her orders from Amazon or her possible communications with “…</t>
  </si>
  <si>
    <t>@TimTannehill Good to hear from a local Tim. I wasn't aware of that.</t>
  </si>
  <si>
    <t>RT @TimTannehill: @joel_capizzi This whole tangled web goes back to what you said this morning. Greitens was just set to restructure the Mi…</t>
  </si>
  <si>
    <t>@KathieConway Yes I am a Sykes supporter. Who do you support?</t>
  </si>
  <si>
    <t>Latest on Gov Greitens:
"A woman who had an extramarital affair with Missouri Gov. Eric Greitens is asking the state Supreme Court to allow her to avoid turning over her cellphone for a forensic investigation".
IMHO her phone exonerates Greitens.
https://t.co/iMEll63Vst</t>
  </si>
  <si>
    <t>Not "rogue". They were never Republicans.
https://t.co/gyp7zaFGrH</t>
  </si>
  <si>
    <t>@CARP_Lab @keohaneja If it's based in truth it's not character "assassination". It's the truth.</t>
  </si>
  <si>
    <t>RT @MrNMrsMcK2000: We really need a full on Voter Registration Purge, where every American Citizen must re-register, in person &amp;amp; with and I…</t>
  </si>
  <si>
    <t>RT @bgood12345: 🚨Veselnitskaya👉🐀‘I am a Lawyer and I am an Informant For the👉 Russian Government’ 🐀Obama Admin Gave Special Entry to US‼️It…</t>
  </si>
  <si>
    <t>RT @IamDeplorable4: Thank you @GenFlynn for your service! 🇺🇸❤️💙 #IStandWithFlynn #ClearFlynnNow A true American hero and patriot! https://t…</t>
  </si>
  <si>
    <t>@ItsGoneAwry @brianstelter @peterjhasson All the more reason to tell your "stories". The need is great.</t>
  </si>
  <si>
    <t>@Shawtypepelina @ChanelRion @Courtland_Sykes @SykesforSenate *Happy birthday to Chanel...</t>
  </si>
  <si>
    <t>RT @bgood12345: WTH⁉️🚨Stunning. 👉Crooked 🐀Hillary Clinton Gave Russia the US Technology for Hypersonic Intercontinental Nuke Missiles‼️#Cli…</t>
  </si>
  <si>
    <t>RT @ItsGoneAwry: @brianstelter @peterjhasson I was a journalism student. I got my degree. I wanted to tell stories. But even my professors…</t>
  </si>
  <si>
    <t>@PrincessDebate Take care of yourself Gabby.</t>
  </si>
  <si>
    <t>@KathieConway Try.</t>
  </si>
  <si>
    <t>@Shawtypepelina @ChanelRion @Courtland_Sykes @SykesforSenate @ChanelRion
Happy to Chanel Rion, a warm and wonderful lady who I am now honored to call my friend.
Happy birthday Chanel!!!
BTW, when the candles cost more than the cake you know you're getting old!! Haha
Happy birthday Chanel!!! https://t.co/3DS0V2Da2o</t>
  </si>
  <si>
    <t>RT @joel_capizzi: @amyjccuddy @CARP_Lab @macadk Liberals are loathe to do this including fake MAGA candidates and RINOS. Do your due dilige…</t>
  </si>
  <si>
    <t>@amyjccuddy @CARP_Lab @macadk Liberals are loathe to do this including fake MAGA candidates and RINOS. Do your due diligence. Too much at stake to get this wrong.</t>
  </si>
  <si>
    <t>RT @amyjccuddy: 1. Ad hominem: Thou shalt not attack the person’s character, but the argument. #10CommandmentsOfLogic
#adhominem 
(Thanks,…</t>
  </si>
  <si>
    <t>RT @ScottPresler: Democrats Proven Wrong:
❌Trump won't be nominee
❌Trump can't win
❌UN won't pay more money
❌Trump won't cut taxes
❌Tax cu…</t>
  </si>
  <si>
    <t>@TimTannehill @CARP_Lab Absolutely and they are winning the messaging war. Keep tweeting Mr. President!</t>
  </si>
  <si>
    <t>This is why MSM hates the truth. Did you know...
“Federal agents don’t learn to spot counterfeit money by studying the counterfeits. They study genuine bills until they master the look of the real thing".
https://t.co/qWF8BPtWBE</t>
  </si>
  <si>
    <t>Josh Hawley is a CARP and is one fish MO doesn't want on the menu. He's a vicious, ladder climbing, narcissist politician who wouldn't hesitate to throw his own mother under the bus to get ahead.</t>
  </si>
  <si>
    <t>Josh Hawley who is supposed to be a lawyer is embracing CARP to destroy political opponents, notabably Gov Eric Greitens. Is this who you want to be the next Senator MO? Remember his interview with the the AP and refused to defend POTUS re: alleged extra-marital affairs?</t>
  </si>
  <si>
    <t>#FightCARP
#CharacterAssassination 
#ReputationPolitics</t>
  </si>
  <si>
    <t>RT @tenbear123: @SenatorTester @DeptVetAffairs You are a disgrace. Smearing a great Admiral's name without any proof. All previous Presiden…</t>
  </si>
  <si>
    <t>RT @joel_capizzi: CARP is the entire modus operandi behind CNN, MSNBC and the MSM. The attacks are always based on hearsay, innuendo with n…</t>
  </si>
  <si>
    <t>CARP is the entire modus operandi behind CNN, MSNBC and the MSM. The attacks are always based on hearsay, innuendo with no verifiable basis in truth, all under the guise of journalism. 
THIS is why Trump tweets and the left attacks him daily for doing so.</t>
  </si>
  <si>
    <t>@CARP_Lab This group is devoted to the study of Character Assassination and Reputation Politics or CARP.
It is a CARP is a Marxist tactic and is in full gear, vis-avis #FakeNews. Most recently against Dr Ronnie Jackson, VA Secretary. Others include Roy Moore, Gov Greitens and even POTUS.</t>
  </si>
  <si>
    <t>RT @CARP_Lab: The printing press revolutionized western society, but it also enabled character assassination and character attacks on an hi…</t>
  </si>
  <si>
    <t>RT @PatMarant2: @Nov2018election Vote RED!!</t>
  </si>
  <si>
    <t>RT @TBW234: @Nov2018election I'm ready! Getting texts daily. IND</t>
  </si>
  <si>
    <t>RT @Donna50991751: @Nov2018election @wvufanagent99 #VoteRed2018</t>
  </si>
  <si>
    <t>RT @siegelrj: @Nov2018election @liger57 #RedWaveRising2018</t>
  </si>
  <si>
    <t>RT @Wildmanwings: @Nov2018election @WakeUpAndFight</t>
  </si>
  <si>
    <t>RT @Nov2018election: INDIANA MOSS FOR CONGRESS DISTRICT 8 #IN08 #IN8 #INGOP https://t.co/3Dwzn9iLm9</t>
  </si>
  <si>
    <t>RT @Nov2018election: https://t.co/WExrnU1lZE</t>
  </si>
  <si>
    <t>RT @jimlibertarian: Why would this be a surprise to anyone👉San Francisco is a shithole sanctuary city,full of drug addicts &amp;amp; mentally ill p…</t>
  </si>
  <si>
    <t>RT @StacyLStiles: Retweet if you too believe that Barack Obama was the WORST President in the history of the United States of America. 
#O…</t>
  </si>
  <si>
    <t>RT @KatiePavlich: CNN reported this week that Dr. Ronny Jackson got drunk overseas, loudly banged on colleague's door &amp;amp; was stopped by Secr…</t>
  </si>
  <si>
    <t>RT @SaraCarterDC: Truly an era of disinformation. I've talked to numerous sources who've said the same - no evidence of the allegations aga…</t>
  </si>
  <si>
    <t>RT @StacyLStiles: What has @realDonaldTrump done for America, Libs? How about:
•Tax Reform
•Lowest Unemployment rate in 17 yrs
•Deregulati…</t>
  </si>
  <si>
    <t>RT @RealJamesWoods: Another great call by an Obama era genius... https://t.co/esYpsHOsCh</t>
  </si>
  <si>
    <t>RT @Rob1Ander1: MSM is SILENT as FEC records indicate Clinton campaign LAUNDERED💲84 MILLION https://t.co/aGzNQr2olG</t>
  </si>
  <si>
    <t>RT @friends_guns: Cause they have nothing else to offer https://t.co/aTsDri5MZ9</t>
  </si>
  <si>
    <t>RT @LouDobbs: No Collusion- @JasonintheHouse: There’s no evidence of collusion or subversion on the part of @realDonaldTrump’s campaign. Ho…</t>
  </si>
  <si>
    <t>RT @Colonel_Infidel: No, dammit. Make them use their own money. "Candidate" is not a synonym for "royalty". https://t.co/853uapqCMY</t>
  </si>
  <si>
    <t>@mitchemgracie @ouchinagirl @BridgetKF30 @AmericanRosie @campbell_trayce @LisaTomain @TBruceTrp773 @slimjhc @PrincessDebate @dr_palazzolo @bdclq @JcDeplorable @Rightwingmadman @Sequencer16 @DaveSchreiber3 @The2ndA @MartinB45719553 @JAntonioM4 @PressSec___ @bronxhoops2033 @amory_miller @Pickles0201 @Comey @BretBaier Wiener?</t>
  </si>
  <si>
    <t>@GemMar333 @PaulConservativ @StacyLStiles @Fuctupmind @ClintonMSix14 @John_KissMyBot @thebradfordfile @AMErikaNGIRLBOT @RuthieRedSox @Hoosiers1986 @SKYRIDER4538 @LVNancy @_SierraWhiskee #RicoRudy for AG. 
#LockThemAllUp</t>
  </si>
  <si>
    <t>@BridgetKF30 @AmericanRosie @campbell_trayce @LisaTomain @TBruceTrp773 @slimjhc @PrincessDebate @dr_palazzolo @bdclq @JcDeplorable @Rightwingmadman @Sequencer16 @DaveSchreiber3 @The2ndA @MartinB45719553 @JAntonioM4 @PressSec___ @ouchinagirl @bronxhoops2033 @amory_miller @Pickles0201 @Comey @BretBaier Easy peasy. Let me help the lad out:
Miriam Webster: https://t.co/o5iU2wQ7TI</t>
  </si>
  <si>
    <t>Josh Hawley takes a break from the gym and goes in full attack mode on Greitens. Wonder which of the Koch brothers is paying him and BTW, how's the campaigning going Josh?
https://t.co/fRMNtVvYqb</t>
  </si>
  <si>
    <t>RT @TestyTarheel: @PithyPins @Timesupjokers @southern4MAGA @JaneSevier1 @phauxpharmer @ncar999 @CatOnA_TinRoof @bud_cann @President1Trump @…</t>
  </si>
  <si>
    <t>RT @ncar999: @PithyPins @southern4MAGA @JaneSevier1 @phauxpharmer @CatOnA_TinRoof @bud_cann @President1Trump @RavenHawk4 @Timesupjokers @Na…</t>
  </si>
  <si>
    <t>@PithyPins @EjHirschberger @jimlibertarian @LisaMei62 @jtull17 @DallasIrey @StacyLStiles @Timesupjokers @PhilMcCrackin44 @bgood12345 @NIVIsa4031 @45IsMyGuy @NokesMR 👍</t>
  </si>
  <si>
    <t>RT @PithyPins: @EjHirschberger
@GeorgiaDirtRoad
@APTT45Babe 
@jimlibertarian 
@SharonLesley11 
@LisaMei62 
@jtull17
@DallasIrey
@StacyLStil…</t>
  </si>
  <si>
    <t>@PithyPins @AllanHavens @reverberationch @RebeccaFaussett @burns1159 @trustedstar1 @KenekhamJessica @MartyNUNN2 @MLam15 @spatterson710 @chuck91051 @CharlesOldendo1 @Switch2decaff @DBurton3 @MDissett 👍</t>
  </si>
  <si>
    <t>RT @PithyPins: @AllanHavens 
@reverberationch 
@RebeccaFaussett 
@burns1159 
@trustedstar1 
@KenekhamJessica 
@MartyNUNN2 
@MLam15 
@spatte…</t>
  </si>
  <si>
    <t>@PithyPins @southern4MAGA @JaneSevier1 @phauxpharmer @UrUnpaidPundit @ncar999 @RARRRRR @CatOnA_TinRoof @bud_cann @President1Trump @RavenHawk4 @Timesupjokers @Nancyporano @ElizabethSolle2 👍</t>
  </si>
  <si>
    <t>RT @PithyPins: @southern4MAGA 
@JaneSevier1 
@phauxpharmer 
@UrUnpaidPundit 
@ksmitchell4 
@ncar999 
@RARRRRR 
@CatOnA_TinRoof 
@bud_cann…</t>
  </si>
  <si>
    <t>RT @AugustinaG_C: #MAGA
#OBAMAGATE
#Democrats
#FakeNews 
#Lockthemallup https://t.co/z4lO3Ms7gh</t>
  </si>
  <si>
    <t>RT @swamp_draina: Career politicians are the worst. And #ShadyShafer is the worst of the worst. #gapol #gagop https://t.co/xyerVDcwQ6</t>
  </si>
  <si>
    <t>RT @BigLeague2020: COURTLAND SYKES
THE NEXT SENATOR FROM
#MISSOURI
.@seanhannity meet the REAL MAGA CANDIDATE that will FIRE CLAIRE McCASK…</t>
  </si>
  <si>
    <t>RT @BridgetKF30: @slimjhc @PrincessDebate @dr_palazzolo @bdclq @JcDeplorable @Rightwingmadman @LisaTomain @Sequencer16 @DaveSchreiber3 @The…</t>
  </si>
  <si>
    <t>RT @HDowning113: @Nov2018election @DavidShafer @tedcruz NO! NO! NO! NO!
#GAGOP #GAPOL https://t.co/U8Mv2OL1Bb</t>
  </si>
  <si>
    <t>RT @Nov2018election: GEORGIA SWAMP DAVID SHAFER #SHADYSHAFER https://t.co/CTWWLtDejD</t>
  </si>
  <si>
    <t>RT @Nov2018election: SWAMP #SHADYSHAFER https://t.co/cedMb9MVCa</t>
  </si>
  <si>
    <t>RT @Nov2018election: 🍑 GEORGIA SWAMP CANDIDATE FOR LT GOV DAVID SHAFER @DavidShafer #SHADYSHAFER YOU JUST CAN’T MAKE THIS UP! MUST WATCH 🔽🔽…</t>
  </si>
  <si>
    <t>RT @Nov2018election: GA GEOFF DUNCAN FOR LT GOV @GeoffDuncanGA #GAGOP #GAPOL #DUNCAN4GA https://t.co/0TkHVq8Vu1</t>
  </si>
  <si>
    <t>RT @BigLeague2020: COURTLAND SYKES FOR SENATE
God🇺🇸Family🇺🇸Country
Navy Veteran
Passion To Serve
Defender of our Constitution
Supports .@…</t>
  </si>
  <si>
    <t>@JannaWilkinso69 @Colonel_Infidel If any of you want my seat I believe you can have it. Haha.</t>
  </si>
  <si>
    <t>RT @JannaWilkinso69: 🤩😍 Well BLESS my Pea-pickin' little HEART !! ❤️
I'd SAY we GOT ourselves the MAKIN' of a Group GRAD PHOTO !! 👇🤩😍
Woo…</t>
  </si>
  <si>
    <t>@SaraCarterDC Your help for Kris Saucier was invaluable, and sure it will make a difference for General Flynn. Thank you for supporting our veterans and service members. 🇺🇸🇺🇸🇺🇸</t>
  </si>
  <si>
    <t>RT @SaraCarterDC: My latest: Clapper leaks big-time, Flynn didn’t lie to FBI and some people just want to keep investigating Trump, despite…</t>
  </si>
  <si>
    <t>@RealCandaceO @TheFive @5pmET @greggutfeld @JesseBWatters @kimguilfoyle @GeraldoRivera Wouldn't miss it, setting my DVR.</t>
  </si>
  <si>
    <t>RT @RealCandaceO: I am will be guest-hosting @TheFive @5pmET. 
A FULL HOUR OF MY UNFILTERED THOUGHTS ON EVERYTHING. :-) 
@greggutfeld @Jes…</t>
  </si>
  <si>
    <t>@CovfefeRegina Thank you. 🇺🇸🇺🇸🇺🇸</t>
  </si>
  <si>
    <t>@Colonel_Infidel Assahola can kiss my Christian American a$$.</t>
  </si>
  <si>
    <t>RT @DaveSchreiber3: ***We know polls don't mean squat when it comes to our President Trump, but I must say it's nice to see one in our favo…</t>
  </si>
  <si>
    <t>@DLoesch Plenty right with it.</t>
  </si>
  <si>
    <t>RT @RepStevenSmith: Giuliani Just Showed Mueller He Means BUSINESS With This Bold Move to END the Russia Probe https://t.co/wW2QxemlcL via…</t>
  </si>
  <si>
    <t>RT @RealJamesWoods: No surprises, of course... #RussiaScam https://t.co/9Zvqe9FQQ5</t>
  </si>
  <si>
    <t>RT @Colonel_Infidel: The ironic thing is that the obstructionist commiecrats had the unmitigated gall to grill Dr. Jackson on his morals an…</t>
  </si>
  <si>
    <t>RT @DLoesch: Absolutely nothing wrong with this. https://t.co/CNSGnLUSHA</t>
  </si>
  <si>
    <t>RT @ScottPresler: Last Few Days Under Trump:
✔️Kanye wears MAGA hat
✔️Chance The Rapper says you don't have to be black &amp;amp; democrat
✔️Rep…</t>
  </si>
  <si>
    <t>RT @TrumpMAGAclub: WHO AT FBI LIED THAT THE TEXTS WERE ACCIDENTALLY DELETED?
COUNTLESS LIES FROM THE DEM'S ARE JUST BEING SWEPT UNDER THE R…</t>
  </si>
  <si>
    <t>RT @joel_capizzi: @realDonaldTrump
Josh Hawley won't comment on friend John Danforth's trashing of Trump, won't comment on his relationship…</t>
  </si>
  <si>
    <t>@ClintonMSix14 Can't remember when I read a thread as refreshing and invigorating as this. Read the whole thing. So common sense does prevail in some quarters. Let's have a Texas tailgate party!! 😁</t>
  </si>
  <si>
    <t>RT @cyndi_obrion: @ClintonMSix14 Blatant &amp;amp; very public disrespect for authority. This is what happens when you have no regard for rules, la…</t>
  </si>
  <si>
    <t>RT @SykesforSenate: Bravo Zulu! Congratulations to all who made this happen. Now we focus on Iran. #MOSen #MAGA https://t.co/xg5QgiH1mI</t>
  </si>
  <si>
    <t>RT @clayfeathers: You people that want socialized medicine...still want it?  This is what it does...😢. 
The Dems do.👹
#FridayFeelings #MAGA…</t>
  </si>
  <si>
    <t>3/3
If I'm a cop and I even THINK you're pulling a weapon on me, at the end of the day I'm going home to my family and you can make whatever you want out of that.</t>
  </si>
  <si>
    <t>2/3
If I think I'm being treated unfairly I'll hire a lawyer and take it up later with the department. 
I contend and will always contend had any of the so-called victims followed these simple rules, everyone of them would be alive today.</t>
  </si>
  <si>
    <t>1/3
Cops aren't the bad guys. 
If a cop tells me to stand on my head and spit wooden nickels, I do it. If not for him/her for myself.</t>
  </si>
  <si>
    <t>@realDonaldTrump
Josh Hawley won't comment on friend John Danforth's trashing of Trump, won't comment on his relationship with Mitch McConnell, won't comment on sexual allegations against the President but can't shut up about Gov Greitens.</t>
  </si>
  <si>
    <t>@JustGoForIt @thatgrllvstrmp @blackgoldtexas Thank you.</t>
  </si>
  <si>
    <t>RT @speakupsal: @RoxannaGShatz @Shar_n_Shar @joel_capizzi @LolaWillFollow @solentgreenis @LauraAn78280207 @FlakeyBrunette @alaphiah @Topher…</t>
  </si>
  <si>
    <t>RT @thatgrllvstrmp: @blackgoldtexas @joel_capizzi I hope so! She runs into the middle of a CLEARLY busy intersection, making the cop go out…</t>
  </si>
  <si>
    <t>RT @DLoesch: Annual reminder to those who hysterically promote fake news re NRAAM: https://t.co/89NBkA1tZj</t>
  </si>
  <si>
    <t>RT @thatgrllvstrmp: Geezus! Come on ppl! 👇👇THIS is why they use force then turn around and blame the cops!!🤬🤬🤬 even the guy in the video is…</t>
  </si>
  <si>
    <t>RT @mousymama: @slimjhc @MasonBilly87 @joel_capizzi If they quit stealing our money that's how you save Social Security</t>
  </si>
  <si>
    <t>@Shar_n_Shar @HernandoDeSot11 @mancubspapa @XBeach_LivingX @joyreaper @Hoggdoodoo @AnthemRespect @JoanneTirado09 Thank you.</t>
  </si>
  <si>
    <t>RT @Shar_n_Shar: These Trumpers will follow back!
@HernandoDeSot11
@mancubspapa
@XBeach_LivingX
@joyreaper
@Hoggdoodoo
@AnthemRespect
@Joan…</t>
  </si>
  <si>
    <t>@Shar_n_Shar Sure. @joel_capizzi</t>
  </si>
  <si>
    <t>@Shar_n_Shar @Lenono910 @JoeMil34 @CovfefeRegina @TheEvansinSC @conservmia @Doodisgirl @SeverePayne 👍</t>
  </si>
  <si>
    <t>RT @Shar_n_Shar: These Trumpers will follow back!
@Shar_n_Shar
@Lenono910
@JoeMil34
@CovfefeRegina
@TheEvansinSC
@conservmia
@Doodisgirl
@S…</t>
  </si>
  <si>
    <t>@Shar_n_Shar @pressbuddy @edward_geek @happy_daystt @specificproduct @ata2dtoo @Swamp_Voice @GiiMarias @geohays 👍</t>
  </si>
  <si>
    <t>RT @Shar_n_Shar: These Trumpers will follow back!
@pressbuddy
@edward_geek
@happy_daystt
@specificproduct
@ata2dtoo
@Swamp_Voice
@GiiMarias…</t>
  </si>
  <si>
    <t>@Shar_n_Shar @LolaWillFollow @solentgreenis @LauraAn78280207 @FlakeyBrunette @alaphiah @speakupsal @Topherfrank1 @rudoniv58 👍thanks.</t>
  </si>
  <si>
    <t>RT @Shar_n_Shar: These Trumpers will follow back!
@LolaWillFollow
@solentgreenis
@LauraAn78280207
@FlakeyBrunette
@alaphiah
@speakupsal
@To…</t>
  </si>
  <si>
    <t>@SonOfGodAndMan @bikedb06 @RealEagleWings @President1Trump If you were "there" that's now on you not God... https://t.co/9IRwsIJN1Z</t>
  </si>
  <si>
    <t>RT @slimjhc: @MasonBilly87 @joel_capizzi Jeff Bridges is on point. Why should anyone who isn’t a citizen be entitled to deplete the Social…</t>
  </si>
  <si>
    <t>@skb_sara @USAHotLips This, while Twitter reports back to a number of us that tweets openly promoting and attempting to "normalize" pedophilia do not violate Twitter rules.
Today it's Mary, tomorrow it may be you. Give her a follow. 
#TrumpsArmy
#TrumpTrain
#MAGA
#NeverSilenced</t>
  </si>
  <si>
    <t>RT @skb_sara: 📡Attention Patriots📡 
Twitter silenced another Conservative! Everyone's voice should be heard! Mary is an awesome patriot &amp;amp;…</t>
  </si>
  <si>
    <t>RT @Nov2018election: @joel_capizzi @Redhead4645 @SykesforSenate @NewDayForNJ @DannyTarkanian @SaarioBrandon @AjaforCongress @AntonioSabatoJ…</t>
  </si>
  <si>
    <t>Re: US/North Korea talks.
President Trump is under no illusions. https://t.co/Bvg1wFyaR2</t>
  </si>
  <si>
    <t>RT @GetintheQ1: #Qanon #interkoreansummit #releasethetexts #UnredactedTexts  @realDonaldTrump @tracybeanz https://t.co/9nAmSGaryz</t>
  </si>
  <si>
    <t>@SherryHedden @slimjhc @scroggstl @BridgetKF30 @PrincessDebate @dr_palazzolo @bdclq @JcDeplorable @Rightwingmadman @LisaTomain @Sequencer16 @DaveSchreiber3 @The2ndA @MartinB45719553 @JAntonioM4 @PressSec___ @ouchinagirl @bronxhoops2033 @TBruceTrp773 @amory_miller @Pickles0201 Aren't they all.</t>
  </si>
  <si>
    <t>RT @SherryHedden: @slimjhc @scroggstl @BridgetKF30 @PrincessDebate @dr_palazzolo @bdclq @JcDeplorable @Rightwingmadman @LisaTomain @Sequenc…</t>
  </si>
  <si>
    <t>@PollackHunter @browardsheriff I'm so sorry for your terrible loss Mr. Pollack. Please accept my most heartfelt condolences and may your beloved sister rest in peace. ❤</t>
  </si>
  <si>
    <t>RT @PollackHunter: Knowing which dot my sister was, and watching her suffer for about 2 minutes before he fired a 2nd round of shots at her…</t>
  </si>
  <si>
    <t>RT @joel_capizzi: @RealEagleWings @President1Trump It's all contained in those sacred pages. Every bit of it. I've been watching it unfold…</t>
  </si>
  <si>
    <t>RT @bikedb06: @joel_capizzi @RealEagleWings @President1Trump Yep, and the arrogant left now calls the Bible a overrated book, unbelievable.…</t>
  </si>
  <si>
    <t>@HH_kathy @Golfinggary522 @FBI Def: 
1) to give out (information) surreptitiously. 
2) leaked the story to the press.
leaker
 play \ˈlē-kər\ noun
Miriam Webster</t>
  </si>
  <si>
    <t>@RealEagleWings @President1Trump It's all contained in those sacred pages. Every bit of it. I've been watching it unfold for over 40 years.</t>
  </si>
  <si>
    <t>@Redhead4645 @Nov2018election @SykesforSenate @NewDayForNJ @DannyTarkanian @SaarioBrandon @AjaforCongress @AntonioSabatoJr @RealErinCruz @Scottforpa @JoinTravisAllen @tedcruz @CoreyStewartVA @TracyJordan4GA @kelliwardaz This is how liberals react. Instead of telling you why she would be the better candidate, Mortensen shuts you down. How that helps I don't understand because while you can't see her tweets everyone else can, and they can see the rest of ours. 
Sad.
@DannyTarkanian 
#MAGA https://t.co/t9FGjGIHay</t>
  </si>
  <si>
    <t>@tgradous @theblaze Had President Trump been in the Oval at the time it's quite possible Warmbier would still be alive today.</t>
  </si>
  <si>
    <t>RT @a_willert: Laura Loomer will not be disparaged. RT if you believe independent journalists have the same rights as journalists who work…</t>
  </si>
  <si>
    <t>RT @tgradous: Thank You @SenTedCruz
“I encourage all my fellow Americans to join me today in praying for Alfie and his family.”
via @RedS…</t>
  </si>
  <si>
    <t>RT @KimKardashian: To the media trying to demonize my husband let me just say this... your commentary on Kanye being erratic &amp;amp; his tweets b…</t>
  </si>
  <si>
    <t>RT @JTM_YVA: We’ve got to bring castration into the justice system again for pedophiles &amp;amp; people like this. You can’t cure this. https://t.…</t>
  </si>
  <si>
    <t>@MasonBilly87 True grit. You tell em Rooster. https://t.co/7q8Foj0ATa</t>
  </si>
  <si>
    <t>@MasonBilly87 Sad that's even a question. What's next?</t>
  </si>
  <si>
    <t>RT @MasonBilly87: JEFF BRIDGES: ILLEGAL IMMIGRANTS SHOULDN’T RECEIVE SOCIAL SECURITY. DO YOU AGREE WITH HIM? https://t.co/MdYM7gSWnx</t>
  </si>
  <si>
    <t>RT @SaraCarterDC: https://t.co/CQtEWrKFXz</t>
  </si>
  <si>
    <t>RT @MarkDice: Kim Jung Un just stepped into South Korea for peace talks and shook hands with South Korean President Moon Jae-in, and all to…</t>
  </si>
  <si>
    <t>@TrumpsBlonde @dlccld1 Done. Thanks for the heads up.</t>
  </si>
  <si>
    <t>RT @USATrump45: 10 Poorest Cities in America - % below poverty level
1. Detroit 32.5%
2. Buffalo 29.9%
3. Cincinnati 27.8%
4. Cleveland 27…</t>
  </si>
  <si>
    <t>RT @vickibazter: WE ARE BEING SILENCED BY TWITTER rE #ReleaseTheTexts</t>
  </si>
  <si>
    <t>RT @knkcattle: @realDonaldTrump Drop kick the #worthless #UnitedNations from #Amercian soil.
recondition the UN building for #homeless #vet…</t>
  </si>
  <si>
    <t>@TheBeaSmith @WashTimes Then conclude it Jeff.</t>
  </si>
  <si>
    <t>@tonymess @EricGreitens Have a little class Tony. That was a cheap shot. You sound like a man who feels threatened.</t>
  </si>
  <si>
    <t>RT @Hope4Hopeless1: @Shawtypepelina @POTUS @EricGreitens #TonyMessenger is a HACK PROPAGANDIST willing to LIE &amp;amp; MISREPRESENT FACTS to furth…</t>
  </si>
  <si>
    <t>RT @ThinkingMomOf6: @pjbowles4 @AltFawn @TexunMaga @1DeplorableDiva @DM30959 @NewtTekell @flowersoffate @WyverShago @DallasIrey @joel_capiz…</t>
  </si>
  <si>
    <t>RT @magathemaga1: @plwy31 @ErgoStreetNurse @JohnLamping @DaynaGould @jallman971 @Monetti4Senate @AP4Liberty @SykesforSenate @johncombest @B…</t>
  </si>
  <si>
    <t>@Shawtypepelina @Twitter @Michael391391 As did I. Apparently stating you own a firearm or espousing conservative views is abusive but using Twitter as a platform to promote pedophilia is not. This is the response I received in from Twitter: https://t.co/eOrGbhjNnX</t>
  </si>
  <si>
    <t>RT @Belle4DJT: Get Ready Folks, Demand #ReleaseTheTexts Unredacted...Recovered Strzok-Page text messages delivered to congressional committ…</t>
  </si>
  <si>
    <t>RT @LadyRedStorm: What kind of “special” bs is this!?
#LibsRuinEverything
#ThursdayaThoughts https://t.co/HXZlcej4iy</t>
  </si>
  <si>
    <t>@satex As well voter fraud. It's real. Remember what our buddy Joe Stalin said.</t>
  </si>
  <si>
    <t>RT @satex: LET ME SAY THIS AGAIN AND SHOUT IT OUT OVER AND OVER. THE MUELLER INVESTIGATION ITSELF HAS NOW MANIPULATED US ELECTIONS MORE THA…</t>
  </si>
  <si>
    <t>RT @joel_capizzi: @satex You've touched on the nurture vs nature debate. It's both. One can be affected, one can't. Babies leave the hospit…</t>
  </si>
  <si>
    <t>@satex You've touched on the nurture vs nature debate. It's both. One can be affected, one can't. Babies leave the hospital in a blue or pink blanket. DNA notwithstanding, what happens between then and their 18th birthday by and large determines their world view. Prov 22:6.</t>
  </si>
  <si>
    <t>RT @HDowning113: @Nov2018election @bluestein @politicalinsidr SWAMP WATER GOING DOWN DOWN
WAAHOOOOO👍
GA VOTES IS DRAINING THE GREEN SWAMP O…</t>
  </si>
  <si>
    <t>RT @Nov2018election: 🍑GEORGIA VOTE GEOFF DUNCAN FOR LT GOV #GAGOP #GAPOL @bluestein @politicalinsidr https://t.co/e749WcSa3Q</t>
  </si>
  <si>
    <t>RT @NewDayForNJ: Independent Republican Red Wave in NJ! #NoMoreRINOs 🇺🇸 https://t.co/JP0IDW964h</t>
  </si>
  <si>
    <t>RT @RealCandaceO: “Think with empathy” coming from someone married to Chrissy Teigen is top 10 most ridiculously hypocritical text messages…</t>
  </si>
  <si>
    <t>@USAgaggy63 @BigLeague2020 @SykesforSenate No apology needed sir. It's hard for a truthful man to compete with a liar. We're glad to have you.</t>
  </si>
  <si>
    <t>RT @USAgaggy63: @BigLeague2020 @joel_capizzi @SykesforSenate I was wrong and apologized SO SORRY! HE is a #MAGA candidate</t>
  </si>
  <si>
    <t>RT @BigLeague2020: @USAgaggy63 @joel_capizzi COURTLAND SYKES FOR SENATE
THE REAL MAGA CANDIDATE
BOLD🇺🇸CONSERVATIVE🇺🇸VETERAN
#MOSEN #MISS…</t>
  </si>
  <si>
    <t>RT @BigLeague2020: @USAgaggy63 @joel_capizzi @SykesforSenate COURTLAND SYKES FOR SENATE
THE REAL MAGA CANDIDATE
#MOSEN #MISSOURI https://…</t>
  </si>
  <si>
    <t>@satex Very sad story.</t>
  </si>
  <si>
    <t>RT @satex: @joel_capizzi The issue was they took his clearance from him he held for 25 years.  They basically took his livelihood and he wa…</t>
  </si>
  <si>
    <t>@satex Agreed sir but it won't be if we CONTINUE on the course of inaction.</t>
  </si>
  <si>
    <t>RT @satex: @joel_capizzi Still an awesome country we have, Joe.</t>
  </si>
  <si>
    <t>@satex Said that from day one concerning using computer technology for voting. Won't happen, but we should return to paper ballots or at the very least mechanical voting machines.
I know you know this... https://t.co/zctIBKpSmu</t>
  </si>
  <si>
    <t>@satex Your old boss did?</t>
  </si>
  <si>
    <t>@MegynTODAY burned conservatives, liberals don't like her, now what? I have no sympathy for her.
None.
https://t.co/3Qhi2J4Gr3</t>
  </si>
  <si>
    <t>RT @satex: @joel_capizzi They took it down a few weeks later but, it was the event in our minds that showed us just how dangerous this was…</t>
  </si>
  <si>
    <t>RT @DARgirl92: The man deciding on the moral high ground? Remember, the internet never forgets..😉
 You are a rude, thoughtless little pig.…</t>
  </si>
  <si>
    <t>RT @realfrankfranco: @LATiffani1 Alec and Rob Reiner need to get a room, exchange secrets on how to be old, angry, chubby, hairy psychopath…</t>
  </si>
  <si>
    <t>RT @LATiffani1: Get Alec Baldwin some help. Early dementia. Confuses President Trump's White House with former White House of Rapist Bill C…</t>
  </si>
  <si>
    <t>@satex Would have thought the People's Republic of Massachusetts not Texas. Goes to show you just never know.</t>
  </si>
  <si>
    <t>RT @satex: @joel_capizzi Gonna ell ya' a story Joe Capizzi. Back in the 90's I worked at a DoD lab. One day, my boss and I were sitting in…</t>
  </si>
  <si>
    <t>@satex @NancyLucky @facebook Never have, never will, never on any social media before Twitter, here solely to support Trump. Not into telling the whole world about my personal business. My kids on the other hand, different story but what do I know?</t>
  </si>
  <si>
    <t>RT @satex: @joel_capizzi @NancyLucky @facebook If Facebook was a Government site, would you sign up ? If Google were a Government site, wou…</t>
  </si>
  <si>
    <t>@satex That's a good point.</t>
  </si>
  <si>
    <t>RT @satex: @joel_capizzi IF Mueller doesn't have this revolved SOON, then it is HE who is influencing elections. He's taken more time than…</t>
  </si>
  <si>
    <t>@gelicmonkey @NancyLucky Indeed they did.</t>
  </si>
  <si>
    <t>RT @gelicmonkey: @NancyLucky @joel_capizzi Mark sucker berg in the wrong side. Muslims SYMPATHIZED  W Hitler during  WWII</t>
  </si>
  <si>
    <t>@Shawtypepelina Manly. A real stud. 😂😂😂</t>
  </si>
  <si>
    <t>RT @NancyLucky: They appear to be but that is why we need to stand up &amp;amp; say ENOUGH IS ENOUGH DON’T LIKE OUR COUNTRY THEN LEAVE! WE ARE NOT…</t>
  </si>
  <si>
    <t>RT @MAL66992939: @joel_capizzi .</t>
  </si>
  <si>
    <t>RT @MAL66992939: @joel_capizzi All creeps.  Need replacing</t>
  </si>
  <si>
    <t>@USAgaggy63 @SykesforSenate who has been 100% Trump since he came down the escalator. https://t.co/9RnXOILmj7</t>
  </si>
  <si>
    <t>@USAgaggy63 He states it. Who doesn't? He's Mitche's #1 recruit, was promoted by never-Trumper John Danforth and is financed by never-Trumpers the Koch brothers. As far as I'm concerned he's a RINO.</t>
  </si>
  <si>
    <t>What else do you want to know?</t>
  </si>
  <si>
    <t>Josh Hawley does this... https://t.co/3jkQggDRAh</t>
  </si>
  <si>
    <t>103 days until the Missouri primary and while Courtland Sykes does this... https://t.co/blCBmQvQ31</t>
  </si>
  <si>
    <t>@NancyLucky @facebook Muslims are winning and we are losing. If I had a fb account I'd close it immediately.</t>
  </si>
  <si>
    <t>RT @NancyLucky: FB just banned Erin Cruz for something she said calling Muslims out years ago.  https://t.co/RHV2edkeYp WHEN IS CENSORSHIP…</t>
  </si>
  <si>
    <t>More on the effort to take down this President!!!
These four REPUBLICANS voted for the bill to protect special counsel Mueller: 
Sens. Thom Tillis, Lindsey Graham, Chuck Grassley and Jeff Flake.
This underscores just how CRUCIAL the midterms will be!
https://t.co/JzYId57Tsq</t>
  </si>
  <si>
    <t>@DallasIrey Congrats in 50K. You earned it.</t>
  </si>
  <si>
    <t>RT @DallasIrey: #Trumpville @DallasIrey graciously thanks all of you amazing
#Patriots 🇺🇸
I'm honored to be #United to
#MAGA and #KAG2020
I…</t>
  </si>
  <si>
    <t>RT @Sequencer16: Just unbelievable! Never thought I'd see the day where you can be legally banned from a public establishment for supportin…</t>
  </si>
  <si>
    <t>@Pickles0201 @Shawtypepelina @Twitter @Michael391391 Thanks Joely.</t>
  </si>
  <si>
    <t>RT @GodGetslastWord: We MUST BE SURE we know who are the REAL MAGA @POTUS @realDonaldTrump CANDIDATES! 
NO MORE RINOs! 
Thank you @Siddon…</t>
  </si>
  <si>
    <t>@8richard6 It's cheap, cheesy exploitation of a captive audience, tired of them hawking their books on my time.</t>
  </si>
  <si>
    <t>RT @8richard6: if it was reasonable OK 5-10 times a day pass https://t.co/vCEnScRzRX</t>
  </si>
  <si>
    <t>@8richard6 Agreed. Thank you.</t>
  </si>
  <si>
    <t>RT @8richard6: These damn books ruin the news! Self-serving profiteering 5-10 times daily! https://t.co/tAX9jr26Wa</t>
  </si>
  <si>
    <t>RT @magathemaga1: KS chose to see him
KS chose to continue the fling
KS didnt go to the police.
Sorry it was a consensual affair and it ta…</t>
  </si>
  <si>
    <t>RT @joel_capizzi: @TexasLo4Ever @Shawtypepelina Sessions' recusal as AG is the equivalent of betting on a prizefighter with a missing arm.…</t>
  </si>
  <si>
    <t>@TexasLo4Ever @Shawtypepelina Sessions' recusal as AG is the equivalent of betting on a prizefighter with a missing arm. I'm all for supporting the handicapped if they can do the job. He can't.</t>
  </si>
  <si>
    <t>RT @BridgetKF30: An absolute disgrace what they’ve done to him as well...calling him “Candyman” &amp;amp; worse!!  #ShunDemocrats #Obstructionists…</t>
  </si>
  <si>
    <t>@poconomtn @TexasLo4Ever Tarlov is in the tank. Hopeless.</t>
  </si>
  <si>
    <t>RT @joel_capizzi: @JTM_YVA Remember Ross Perot?There is a fine line between principal and pragmatism. When it comes to third parties I opt…</t>
  </si>
  <si>
    <t>@thatgrllvstrmp Well said. Thank you and God bless you too.</t>
  </si>
  <si>
    <t>RT @thatgrllvstrmp: @joel_capizzi And it’s ridiculous that we have to fear twitter shutting us down! But screw that, patriots don’t get tha…</t>
  </si>
  <si>
    <t>@thatgrllvstrmp Today it's you, tomorrow it may be me. We're family.</t>
  </si>
  <si>
    <t>RT @thatgrllvstrmp: I LOVE my fellow patriots! Amazing force here! 🗽🇺🇸🙏🏼✝️ https://t.co/no4WTXssmo</t>
  </si>
  <si>
    <t>@JTM_YVA Sometimes it comes down to you say tomato, I say tomatoe but it tastes the same in a salad.</t>
  </si>
  <si>
    <t>RT @JTM_YVA: You don’t necessarily have to love everything a political party stands for to support that party. You take the good with the b…</t>
  </si>
  <si>
    <t>@thatgrllvstrmp @ChucksWife1973 @thatgrlluvstrmp Most welcome Patriot, and thank YOU!!!</t>
  </si>
  <si>
    <t>RT @thatgrllvstrmp: @joel_capizzi @ChucksWife1973 @thatgrlluvstrmp Thank u for the support!!🇺🇸🇺🇸🇺🇸❤️</t>
  </si>
  <si>
    <t>@thatgrllvstrmp @ChucksWife1973 @thatgrlluvstrmp Please follow  @thatgrllvstrmp and RT.</t>
  </si>
  <si>
    <t>RT @thatgrllvstrmp: @ChucksWife1973 @thatgrlluvstrmp Ya this is the 2nd time for me too. A few months ago! It’s a shame! Thank u for ur sup…</t>
  </si>
  <si>
    <t>RT @joel_capizzi: @Shawtypepelina @Twitter @Michael391391 These sickos want to classify being against pedophilia as a mental illness, a psy…</t>
  </si>
  <si>
    <t>@JTM_YVA Remember Ross Perot?There is a fine line between principal and pragmatism. When it comes to third parties I opt for pragmatism. President Trump would call it the art of the deal. 
#MAGA</t>
  </si>
  <si>
    <t>RT @JTM_YVA: A vote for a third party is as bad or worse than not voting. In this coming election, the choice is between Americanism or soc…</t>
  </si>
  <si>
    <t>@Shawtypepelina @Twitter @Michael391391 These sickos want to classify being against pedophilia as a mental illness, a psychosis, i.e. "pedophobia".
EVERYONE please help.
Report, block and RT Shawty's thread.</t>
  </si>
  <si>
    <t>RT @joel_capizzi: @Shawtypepelina @Twitter @Michael391391 Thanks.</t>
  </si>
  <si>
    <t>@Shawtypepelina @Twitter @Michael391391 Thanks.</t>
  </si>
  <si>
    <t>@Shawtypepelina @Twitter @Michael391391 How did you do it?</t>
  </si>
  <si>
    <t>RT @Belle4DJT: @Shawtypepelina @Twitter @Michael391391 These people are SICK! 🤬 Reported</t>
  </si>
  <si>
    <t>RT @jacqueb1965: @Shawtypepelina @Twitter @Michael391391 I just looked at @Michael391391 Twitter account. This is a sick person and should…</t>
  </si>
  <si>
    <t>@Shawtypepelina @Twitter @Michael391391 Want to report him but nothing on the report page fits pedo, porn, or x-rated material and I'm sure it's by design.</t>
  </si>
  <si>
    <t>RT @CovfefeLadyC: Republican #Lesko wins Arizona's special election by 5 points.
Go #MAGA.
Lets keep #MAGA in every State. #RedPill all t…</t>
  </si>
  <si>
    <t>RT @aligiarc: https://t.co/Nk15eASAmX
Hey Koch brothers, KEEP YOUR DAMN MONEY! You only back RINO puppets to vote 4 the cheap labor you wa…</t>
  </si>
  <si>
    <t>RT @Lenono910: @bdclq @LisaTomain @Sequencer16 @RedPilledinNY @dr_palazzolo @CyndiRocks1 @stand4honor @Barbie55260536 @In2trux @joel_capizz…</t>
  </si>
  <si>
    <t>RT @BigLeague2020: “The Constitution is the guide which I never will abandon.” ~ George Washington
🇺🇸COURTLAND SYKES FOR SENATE🇺🇸
♦️BOLD🔹…</t>
  </si>
  <si>
    <t>RT @JTM_YVA: @kanyewest AMERICA WAS FOUNDED ON INDIVIDUAL LIBERTY. WHEN WE FOUGHT THAT WAR AGAINST THE UNITED KINGDOM IT WAS TO MAKE SURE T…</t>
  </si>
  <si>
    <t>RT @JTM_YVA: @kanyewest IF DEMOCRATS WANTED TO CHANGE INNER CITIES THEY COULD. THEY DON'T WANT TO. THEY WANT TO KEEP THEM THE WAY THEY ARE…</t>
  </si>
  <si>
    <t>RT @JTM_YVA: @kanyewest HE DIDN'T WANT IT TO CHANGE! DEMOCRATS DO NOT WANT CONDITIONS TO GET BETTER. THEY WANT EVERYONE TO STAY POOR TOGETH…</t>
  </si>
  <si>
    <t>RT @kanyewest: Obama was in office for eight years and nothing in Chicago changed.</t>
  </si>
  <si>
    <t>RT @Nov2018election: @SykesforSenate @realDonaldTrump I LIKE SYKES 🇺🇸 https://t.co/qQnjhdZOu7</t>
  </si>
  <si>
    <t>RT @SykesforSenate: Mitch McConnell is out to DESTROY the #MAGA &amp;amp; #AmericaFirst Movement using RINOs like Jeb Bush, Luther Strange, and Jos…</t>
  </si>
  <si>
    <t>RT @TootsOwen: @SKOLBLUE1 @CStamper_  https://t.co/5eg9ql7FQR</t>
  </si>
  <si>
    <t>RT @Saphina77: @robynrenee1988 @SKOLBLUE1 @2runtherace Perfectly said</t>
  </si>
  <si>
    <t>RT @robynrenee1988: @SKOLBLUE1 @2runtherace  https://t.co/hO4zBzunUS</t>
  </si>
  <si>
    <t>RT @Saphina77: @SKOLBLUE1 OMG. NO PLEASE NO. DON’T GIVE UP. PLEASE REACH OUT. WE ALL LOVE YOU. YOU SACRIFICED SO MUCH FOR OUR FREEDOM PLEAS…</t>
  </si>
  <si>
    <t>RT @Saphina77: @BigLeague2020 @SKOLBLUE1 AMEN 🙏</t>
  </si>
  <si>
    <t>RT @BigLeague2020: @SKOLBLUE1 You are loved❤️
You are not alone❤️</t>
  </si>
  <si>
    <t>RT @julieaallen1958: @SKOLBLUE1 Absolutely !! 💙</t>
  </si>
  <si>
    <t>RT @SKOLBLUE1: @julieaallen1958 With the help of you all we will! Thank you all! From the bottom of my heart! We will overcome and protect!…</t>
  </si>
  <si>
    <t>RT @julieaallen1958: @SKOLBLUE1 👍 🙏💙🙏 God Bless and Protect them All !</t>
  </si>
  <si>
    <t>RT @SKOLBLUE1: #22ADAY #VA #Veterans #USMC #SUICIDE National Suicide Prevention Hotline 1-800-273-TALK(8255) or text HOME to 741741. https:…</t>
  </si>
  <si>
    <t>@realDonaldTrump @AmericanHotLips Suck it up liberals, the President and Mr West are cool. Don't you just love this?</t>
  </si>
  <si>
    <t>RT @realDonaldTrump: MAGA! https://t.co/jFf5ONASlv</t>
  </si>
  <si>
    <t>@AmericanHotLips @ReBannedVernon Is that what it is? Haha. Thanks Mary and right back at you!! 😉</t>
  </si>
  <si>
    <t>RT @Germantownrunne: @pjbowles4 @Cheloga2 @TexunMaga @1DeplorableDiva @DM30959 @NewtTekell @flowersoffate @WyverShago @DallasIrey @joel_cap…</t>
  </si>
  <si>
    <t>RT @bradNjo: @joel_capizzi @TheAmericanOG @Bud_Doggin @kjross1970 @mlcherenfant @HighStrung1776 @1GreatDog @LeeUnderhill3 @antoniaiadi @Zen…</t>
  </si>
  <si>
    <t>@USACrusader71 @bountytx @pjbowles4 @TexunMaga @1DeplorableDiva @DM30959 @NewtTekell @flowersoffate @WyverShago @DallasIrey @sgmills52 @suprdupe @Maggieb1B @BouffantRat @SWoodruffs @PatriotMeme @PFemale53 @TallStoneMason @TXn4America @jeffhudgins3 Already am you 'ol infidel you. Haha</t>
  </si>
  <si>
    <t>RT @LivPsy: No one has the right to judge us because no one actually knows what we have been through.</t>
  </si>
  <si>
    <t>@AmericanHotLips @ReBannedVernon You gotta hang around the right people Mary. 😁</t>
  </si>
  <si>
    <t>RT @SWoodruffs: @LaDragonNRG @joel_capizzi @pjbowles4 @TexunMaga @1DeplorableDiva @DM30959 @NewtTekell @flowersoffate @WyverShago @DallasIr…</t>
  </si>
  <si>
    <t>@bradNjo @TheAmericanOG @Bud_Doggin @kjross1970 @mlcherenfant @HighStrung1776 @1GreatDog @LeeUnderhill3 @antoniaiadi @ZenmanSmith @joey_cauthen @JoeTraderj @MrRager2828 @RayRenzi0520 @Cherub973 @WeirdReport @marycjoyce2 @BetBobJo1947 @DianeRosemond Yes sir. Stop by sometime and we'll hook you and Jo up with a cold one of these. 👍 https://t.co/r3Ln3TnDjd</t>
  </si>
  <si>
    <t>@LaDragonNRG @pjbowles4 @TexunMaga @1DeplorableDiva @DM30959 @NewtTekell @flowersoffate @WyverShago @DallasIrey @sgmills52 @suprdupe @Maggieb1B @BouffantRat @SWoodruffs @PatriotMeme @PFemale53 @USACrusader71 @TallStoneMason @TXn4America @jeffhudgins3 What happened to "it's my body"? She can do whatever the hell she wants with her fingers. Maybe they'd like this better. https://t.co/BB7z9XFTfD</t>
  </si>
  <si>
    <t>@pjbowles4 @Tex50145538 @bud_cann @tmeans4452 @TxGirlUSATrump @suprdupe @bolonski @bmoorewriter @katscan27_kim @drchryso @DallasIrey @BrentJ143 @TexasTrumpTeam @mos_mp @1ofthegoodguyz @DevilDocTx @Rumfolo @sdcwatson @toby_dorena @24chimes @1MaidenUSA @V22_USMC All in. Thanks Pj.</t>
  </si>
  <si>
    <t>RT @pjbowles4: #Trumpville
#Texas
@Tex50145538
@bud_cann
@tmeans4452
@TxGirlUSATrump
@suprdupe
@bolonski
@bmoorewriter
@katscan27_kim
@drch…</t>
  </si>
  <si>
    <t>RT @Success87473781: @jedell2006 @jeffswarens @realDonaldTrump @POTUS So why didn't other Prez utilize it? Point is Trump is trying to help…</t>
  </si>
  <si>
    <t>RT @LaDragonNRG: @kanyewest Good for you for speaking your mind and not letting anyone push you into a fake apology.  That's the #DragonEne…</t>
  </si>
  <si>
    <t>@ReBannedVernon Much appreciated sir. Thank you.</t>
  </si>
  <si>
    <t>RT @ReBannedVernon: @joel_capizzi Glad you did. Also thank you for your service to me and my country!!! #maga</t>
  </si>
  <si>
    <t>@VivaLaLivin @pjbowles4 @TexunMaga @1DeplorableDiva @DM30959 @NewtTekell @flowersoffate @WyverShago @DallasIrey @sgmills52 @suprdupe @Maggieb1B @BouffantRat @SWoodruffs @PatriotMeme @PFemale53 @USACrusader71 @TallStoneMason @TXn4America @jeffhudgins3 We have lotsa guns too. 😉 https://t.co/HsUpx5YHup</t>
  </si>
  <si>
    <t>@ReBannedVernon Usually don't have time to watch vids Vernon, glad I didn't miss this one. Powerful.</t>
  </si>
  <si>
    <t>RT @flowersoffate: #ClearFlynnNow https://t.co/aAKIBwS9Ze</t>
  </si>
  <si>
    <t>@bradNjo @TheAmericanOG @Bud_Doggin @kjross1970 @mlcherenfant @HighStrung1776 @1GreatDog @LeeUnderhill3 @antoniaiadi @ZenmanSmith @joey_cauthen @JoeTraderj @MrRager2828 @RayRenzi0520 @Cherub973 @WeirdReport @marycjoyce2 @BetBobJo1947 @DianeRosemond Nice folks, nice profile Brad and Jo. My kinda people. Thanks for your service brother.</t>
  </si>
  <si>
    <t>RT @bradNjo: @TheAmericanOG @Bud_Doggin @kjross1970 @mlcherenfant @HighStrung1776 @1GreatDog @LeeUnderhill3 @antoniaiadi @ZenmanSmith @joey…</t>
  </si>
  <si>
    <t>RT @MAGA_1958: EXIT 2018.......... https://t.co/HFrsLflune</t>
  </si>
  <si>
    <t>@VivaLaLivin @pjbowles4 @TexunMaga @1DeplorableDiva @DM30959 @NewtTekell @flowersoffate @WyverShago @DallasIrey @sgmills52 @suprdupe @Maggieb1B @BouffantRat @SWoodruffs @PatriotMeme @PFemale53 @USACrusader71 @TallStoneMason @TXn4America @jeffhudgins3 We have our own way of doing things here. Haha</t>
  </si>
  <si>
    <t>RT @VivaLaLivin: @joel_capizzi @pjbowles4 @TexunMaga @1DeplorableDiva @DM30959 @NewtTekell @flowersoffate @WyverShago @DallasIrey @sgmills5…</t>
  </si>
  <si>
    <t>@VivaLaLivin @pjbowles4 @TexunMaga @1DeplorableDiva @DM30959 @NewtTekell @flowersoffate @WyverShago @DallasIrey @sgmills52 @suprdupe @Maggieb1B @BouffantRat @SWoodruffs @PatriotMeme @PFemale53 @USACrusader71 @TallStoneMason @TXn4America @jeffhudgins3 Glad to follow you fellow Texan!!</t>
  </si>
  <si>
    <t>RT @jws505: @davebrevere @pjbowles4 @TexunMaga @1DeplorableDiva @DM30959 @NewtTekell @flowersoffate @WyverShago @DallasIrey @joel_capizzi @…</t>
  </si>
  <si>
    <t>RT @VivaLaLivin: @pjbowles4 @TexunMaga @1DeplorableDiva @DM30959 @NewtTekell @flowersoffate @WyverShago @DallasIrey @joel_capizzi @sgmills5…</t>
  </si>
  <si>
    <t>RT @usmc4ever: @Mad_Vet56 @CrazyladyNaples @77Letsgofishing @IcyQueenBee @AmericanLaoch @usmc_army @scottjewell5 @JimFreedom2 @JC__Ballenge…</t>
  </si>
  <si>
    <t>RT @Mad_Vet56: @usmc4ever @CrazyladyNaples @77Letsgofishing @IcyQueenBee @AmericanLaoch @usmc_army @scottjewell5 @JimFreedom2 @JC__Ballenge…</t>
  </si>
  <si>
    <t>RT @Yonadav7: Women welcome Hillary as ‘newest member of our coven’ - https://t.co/buEKZejuUi</t>
  </si>
  <si>
    <t>RT @jar631: @Condor_Law @joel_capizzi @andersoncooper what a shnook ... no one said humans are illegal.... what some of them do is illegal.…</t>
  </si>
  <si>
    <t>@CraigAr64 And vote. Patriotism isn't a spectator sport. We have a civic responsibility to be involved every possible way or lose our freedom.</t>
  </si>
  <si>
    <t>RT @joel_capizzi: Called to pay my light bill and it said "choose the language of your choice". 
I'm so tired of this.
Make English the o…</t>
  </si>
  <si>
    <t>@GaetaSusan @POTUS @realDonaldTrump @VP @FLOTUS @tedcruz @RandPaul @SenMikeLee @freedomcaucus @seanhannity https://t.co/29gFrak1Of</t>
  </si>
  <si>
    <t>RT @GaetaSusan: DACA is Illegal &amp;amp; UnConstitutional ! @POTUS has Plenary Power to make immigration policy. DACA was never a law. These Judge…</t>
  </si>
  <si>
    <t>RT @battleofever: @Success87473781 @realDonaldTrump @POTUS They deserve it!
#VETS</t>
  </si>
  <si>
    <t>RT @CaliConsrvative: Libs are so TERRIFIED of the patriot uprising taking place in California that they are now suing the tiny little city…</t>
  </si>
  <si>
    <t>@SteveLfcco @Condor_Law @WilheminaFoxx @andersoncooper Was in this man's Navy of course they would have drummed your a$$ out of boot camp week 1.</t>
  </si>
  <si>
    <t>RT @SteveLfcco: @Condor_Law @WilheminaFoxx @andersoncooper Refusing an order is dishonorable discharge, no?</t>
  </si>
  <si>
    <t>RT @Condor_Law: Dishonorable Discharge 4 Ferrell!
“When I joined the National Guard I didn’t raise my hand &amp;amp; swear to guard the nation,” S…</t>
  </si>
  <si>
    <t>RT @flowersoffate: GET OUT OF OUR MILITARY IF YOU HAVE AN AVERSION TO AMERICA'S LAWS. https://t.co/d480IT3drJ</t>
  </si>
  <si>
    <t>RT @rocksiphone: @TheView @OfficialSting @DiRealShaggy THEY TALK ABOUT POTUS AND THE FRENCH PRESIDENT 
LOOK AT HUSSEIN OBAMA WITH UNCLE PE…</t>
  </si>
  <si>
    <t>RT @JoanneTirado09: @Chicago1Ray #LOCKHERUP https://t.co/YW5e3uaDSe</t>
  </si>
  <si>
    <t>@pjbowles4 @TexunMaga @1DeplorableDiva @DM30959 @NewtTekell @flowersoffate @WyverShago @DallasIrey @sgmills52 @suprdupe @Maggieb1B @BouffantRat @SWoodruffs @PatriotMeme @PFemale53 @USACrusader71 @TallStoneMason @TXn4America @jeffhudgins3 Thanks Pj.</t>
  </si>
  <si>
    <t>RT @pjbowles4: #Trumpville
#Texas
@TexunMaga
@1DeplorableDiva
@DM30959
@NewtTekell
@flowersoffate
@WyverShago
@DallasIrey
@joel_capizzi
@sg…</t>
  </si>
  <si>
    <t>RT @mtenorio77: I am a threat to liberals because I am a Latino man who Loves America and who stands with President Trump! 🇺🇸 #MAGA #KAG</t>
  </si>
  <si>
    <t>The real affront Julia is when I call the VA and they do too.
#EnglishOnly
#AmericaFirst 
#Assimilate 
#LoveItOrLeaveIt</t>
  </si>
  <si>
    <t>@ALbusick @Success87473781 @girl4_trump @realDonaldTrump @POTUS Hope so.</t>
  </si>
  <si>
    <t>RT @LadyKnightFury: @Success87473781 @realDonaldTrump @POTUS  https://t.co/vpbvgxuMoF</t>
  </si>
  <si>
    <t>RT @GaenellG: @Success87473781 @1ChristWarrior @realDonaldTrump @POTUS YES 👏👏👏👏</t>
  </si>
  <si>
    <t>RT @Success87473781: Trump moves to cancel student loan debt for disabled vets
What a leader and Commander-in-chief!!!
We are lucky to hav…</t>
  </si>
  <si>
    <t>Called to pay my light bill and it said "choose the language of your choice". 
I'm so tired of this.
Make English the official language. 
#EnglishOnly</t>
  </si>
  <si>
    <t>RT @mtenorio77: Why the F**k are anti-Trump democrats still winning state elections? I thought everyone was f**king awake??? 🙄🙄🙄</t>
  </si>
  <si>
    <t>RT @jonlocke82: @pjbowles4 @mmdrew2010 @TexunMaga @1DeplorableDiva @DM30959 @NewtTekell @flowersoffate @WyverShago @DallasIrey @joel_capizz…</t>
  </si>
  <si>
    <t>RT @flowersoffate: @EdElam5 @BiggersLance @pjbowles4 @TexunMaga @1DeplorableDiva @DM30959 @NewtTekell @WyverShago @DallasIrey @joel_capizzi…</t>
  </si>
  <si>
    <t>@TallStoneMason Thanks Steve.</t>
  </si>
  <si>
    <t>RT @TallStoneMason: Joel, I concur w/ your assessment. https://t.co/8PhUx5s2UY</t>
  </si>
  <si>
    <t>@davebrevere @pjbowles4 @TexunMaga @1DeplorableDiva @DM30959 @NewtTekell @flowersoffate @WyverShago @DallasIrey @sgmills52 @suprdupe @Maggieb1B @BouffantRat @SWoodruffs @PatriotMeme @PFemale53 @USACrusader71 @TallStoneMason @TXn4America @jeffhudgins3 Also... https://t.co/cHLSduP2l6</t>
  </si>
  <si>
    <t>RT @CyndiRocks1: @pjbowles4 @TexunMaga @1DeplorableDiva @DM30959 @NewtTekell @flowersoffate @WyverShago @DallasIrey @joel_capizzi @sgmills5…</t>
  </si>
  <si>
    <t>RT @davebrevere: @pjbowles4 @TexunMaga @1DeplorableDiva @DM30959 @NewtTekell @flowersoffate @WyverShago @DallasIrey @joel_capizzi @sgmills5…</t>
  </si>
  <si>
    <t>RT @SWoodruffs: @pjbowles4 @TexunMaga @1DeplorableDiva @DM30959 @NewtTekell @flowersoffate @WyverShago @DallasIrey @joel_capizzi @sgmills52…</t>
  </si>
  <si>
    <t>@magathemaga1 @plwy31 @ErgoStreetNurse @JohnLamping @DaynaGould @jallman971 @Monetti4Senate @AP4Liberty @SykesforSenate @johncombest @BigJShoota @BackTheCops @BackThePolice @BackTheBlueUSA @BackTheBlue911 @RealTravisCook @HotPokerPrinces @TheNewRight @MoScarlet @melody_grover Following everyone. Thanks for including me.</t>
  </si>
  <si>
    <t>RT @Lyndon_Dives: @pjbowles4 @TexunMaga @1DeplorableDiva @DM30959 @NewtTekell @flowersoffate @WyverShago @DallasIrey @joel_capizzi @sgmills…</t>
  </si>
  <si>
    <t>RT @scarlett_0hara: @pjbowles4 @TexunMaga @1DeplorableDiva @DM30959 @NewtTekell @flowersoffate @WyverShago @DallasIrey @joel_capizzi @sgmil…</t>
  </si>
  <si>
    <t>RT @EdElam5: @BiggersLance @pjbowles4 @TexunMaga @1DeplorableDiva @DM30959 @NewtTekell @flowersoffate @WyverShago @DallasIrey @joel_capizzi…</t>
  </si>
  <si>
    <t>RT @wilrmal2: @pjbowles4 @TexunMaga @1DeplorableDiva @DM30959 @NewtTekell @flowersoffate @WyverShago @DallasIrey @joel_capizzi @sgmills52 @…</t>
  </si>
  <si>
    <t>RT @skjultster: @pjbowles4 @TexunMaga @1DeplorableDiva @DM30959 @NewtTekell @flowersoffate @WyverShago @DallasIrey @joel_capizzi @sgmills52…</t>
  </si>
  <si>
    <t>@skjultster @pjbowles4 @TexunMaga @1DeplorableDiva @DM30959 @NewtTekell @flowersoffate @WyverShago @DallasIrey @sgmills52 @suprdupe @Maggieb1B @BouffantRat @SWoodruffs @PatriotMeme @PFemale53 @USACrusader71 @TallStoneMason @TXn4America @jeffhudgins3 @USAkidsFirst Following my fellow homeschooler and patriot @USAkidsFirst.
#MAGA</t>
  </si>
  <si>
    <t>@EWErickson @JGalt09 When did children become government property?</t>
  </si>
  <si>
    <t>RT @EWErickson: This Is the Real Reason Britain Won't Release Alfie Evans to Italy https://t.co/eODvLCVbPR</t>
  </si>
  <si>
    <t>@JGalt09 If I may say, the worst child abuse.</t>
  </si>
  <si>
    <t>RT @JGalt09: Abortion isn't healthcare. It isn't reproductive justice. It's an act of violence against an unborn human being. #prolife #def…</t>
  </si>
  <si>
    <t>@TheAmericanOG @Bud_Doggin @kjross1970 @bradNjo @mlcherenfant @HighStrung1776 @1GreatDog @LeeUnderhill3 @antoniaiadi @ZenmanSmith @joey_cauthen @JoeTraderj @MrRager2828 @RayRenzi0520 @Cherub973 @WeirdReport @marycjoyce2 @BetBobJo1947 @DianeRosemond Thanks for including me!</t>
  </si>
  <si>
    <t>RT @TheAmericanOG: CAR 22
@Bud_Doggin
@kjross1970
@bradNjo
@mlcherenfant
@HighStrung1776
@1GreatDog
@LeeUnderhill3
@antoniaiadi
@ZenmanSmit…</t>
  </si>
  <si>
    <t>@MASSOD5778 @MMchiara @pjbowles4 @TexunMaga @1DeplorableDiva @DM30959 @NewtTekell @flowersoffate @WyverShago @DallasIrey @sgmills52 @suprdupe @Maggieb1B @BouffantRat @SWoodruffs @PatriotMeme @PFemale53 @USACrusader71 @TallStoneMason @TXn4America @jeffhudgins3 More great people. 👍</t>
  </si>
  <si>
    <t>RT @MASSOD5778: @MMchiara @pjbowles4 @TexunMaga @1DeplorableDiva @DM30959 @NewtTekell @flowersoffate @WyverShago @DallasIrey @joel_capizzi…</t>
  </si>
  <si>
    <t>RT @kanyewest: fear takes strategy   Unlearn linear thinking   Hit you with these zig zag thoughts</t>
  </si>
  <si>
    <t>RT @Hope4Hopeless1: @WayneDupreeShow @PatriciaBride https://t.co/5W77rmUXx2</t>
  </si>
  <si>
    <t>RT @Hope4Hopeless1: @WayneDupreeShow @PatriciaBride These Communists/Globalists want to ban guns because THEY know that #WeThePeople are AR…</t>
  </si>
  <si>
    <t>@chart_babs @cblfailure @PrincessDebate @realDonaldTrump @FLOTUS @EmmanuelMacron 😁👍</t>
  </si>
  <si>
    <t>RT @chart_babs: @joel_capizzi @cblfailure @PrincessDebate @realDonaldTrump @FLOTUS @EmmanuelMacron BETA, more likely 😂</t>
  </si>
  <si>
    <t>@chart_babs @cblfailure @PrincessDebate @realDonaldTrump @FLOTUS @EmmanuelMacron Found her in one of their VHS collections.</t>
  </si>
  <si>
    <t>RT @chart_babs: @cblfailure @joel_capizzi @PrincessDebate @realDonaldTrump @FLOTUS @EmmanuelMacron But don't you tools on the Left like por…</t>
  </si>
  <si>
    <t>RT @knkcattle: @pjbowles4 @johngault071 @Diehlscove @TexasTrumpGirl @Texastrue11 @texastrumper @TXRight @DallasIrey @TexasTrump45 @angetx05…</t>
  </si>
  <si>
    <t>RT @BigLeague2020: @joel_capizzi @realDonaldTrump Amen. 
The greatest President in modern American history, President Trump.
The best the…</t>
  </si>
  <si>
    <t>@mtenorio77 That's a red line my friend. California, serve notice.</t>
  </si>
  <si>
    <t>@capliced @TexanLeigh Yup.</t>
  </si>
  <si>
    <t>RT @joel_capizzi: “If Hawley doesn’t gear it up and get with it, he’ll not beat her.” 
(former Sen. Christopher “Kit” Bond, R-Mo) 
https:/…</t>
  </si>
  <si>
    <t>RT @joel_capizzi: @StandBsideHer While @SykesforSenate  is out there daily meeting the rank and file and answering questions, low energy Jo…</t>
  </si>
  <si>
    <t>@zelinski_mark @mtenorio77 @TammyHughesFoss @rocksiphone @TheView Can I have time to think about it? https://t.co/QyH9kTS9m0</t>
  </si>
  <si>
    <t>RT @zelinski_mark: @mtenorio77 @joel_capizzi @TammyHughesFoss @rocksiphone @TheView  https://t.co/UoppKb85U1</t>
  </si>
  <si>
    <t>@Gottobringit @FoxNews It's not like we can't find liberal commentary anywhere else. https://t.co/oxjRdJugJM</t>
  </si>
  <si>
    <t>RT @Gottobringit: Its getting where I might as well not even turn on #outnumbered anymore. Barf as become almost a regular panelist. This w…</t>
  </si>
  <si>
    <t>RT @jcpenni7maga: Filthy mouthed Caren Z. Turner, a former finance committee member for Hillary, gets into a confrontation w/ POLICE over h…</t>
  </si>
  <si>
    <t>RT @RealCandaceO: Victim blacks have been so brainwashed to commit to the past, that they are incapable of seeing the future. 
Same black m…</t>
  </si>
  <si>
    <t>RT @mtenorio77: @TammyHughesFoss @rocksiphone @TheView She is absolutely Beautiful Miss Tammy! 😍😍😍 https://t.co/HzNMIi8qpe</t>
  </si>
  <si>
    <t>RT @LibberTea: 💣 'Straight Out of James Bond': Reporter Explains New Details in Dem IT Staffer Scandal.
#ObamaGate
#DrainTheSwamp
#LockThem…</t>
  </si>
  <si>
    <t>RT @joel_capizzi: @ColinOLearyNY https://t.co/29gFrak1Of</t>
  </si>
  <si>
    <t>@ColinOLearyNY https://t.co/29gFrak1Of</t>
  </si>
  <si>
    <t>RT @ColinOLearyNY: ICE busts 225 people during sweeping six-day raid in New York https://t.co/KUTjA1WFvU</t>
  </si>
  <si>
    <t>RT @joel_capizzi: "for ye compass sea and land to make one proselyte, and when he is made, ye make him twofold more the child of hell than…</t>
  </si>
  <si>
    <t>RT @joel_capizzi: @realDonaldTrump
Re: Trump's morality questioned.
To all pontificating,rock throwing liberals living in glass houses: "w…</t>
  </si>
  <si>
    <t>RT @BigLeague2020: @joel_capizzi @EvOConnor15 @FiveRights @realDonaldTrump Our future is so bright under President Trump, we need to wear…</t>
  </si>
  <si>
    <t>@TexanLeigh Theirs does.</t>
  </si>
  <si>
    <t>RT @TexanLeigh: This truly saddens me.  #CandaceOwens represents what all Americans should strive to be - an independent thinker. Your brai…</t>
  </si>
  <si>
    <t>"for ye compass sea and land to make one proselyte, and when he is made, ye make him twofold more the child of hell than yourselves".
So why don't you give it a rest and get off your moral high horses? Your hypocrisy is a stench in the nostrils of God and mine too!</t>
  </si>
  <si>
    <t>@realDonaldTrump
Re: Trump's morality questioned.
To all pontificating,rock throwing liberals living in glass houses: "why beholdest thou the mote that is in thy brother's eye, but considerest not the beam that is in thine own eye?</t>
  </si>
  <si>
    <t>RT @joel_capizzi: @EvOConnor15 @FiveRights @realDonaldTrump Oh, so true. BTW:
https://t.co/N6e3vVg9py</t>
  </si>
  <si>
    <t>RT @letters4trump45: 🚨This is a message to all Patriots that have sent @GenFlynn letters thru @letters4trump45 
Life is good when you wake…</t>
  </si>
  <si>
    <t>RT @JcDeplorable: @KayaJones @Jami_USA @SenWarren Of course she won't, the same way BHO would never show us his transcripts. They're liars…</t>
  </si>
  <si>
    <t>@EvOConnor15 @FiveRights @realDonaldTrump Oh, so true. BTW:
https://t.co/N6e3vVg9py</t>
  </si>
  <si>
    <t>RT @EvOConnor15: @FiveRights @realDonaldTrump I don’t care in the absolute least bit who Trump slept with. He is saving our country. I am s…</t>
  </si>
  <si>
    <t>RT @kanyewest: I'm used to the heat of independent thoughts</t>
  </si>
  <si>
    <t>@steforart1 @cblfailure @PrincessDebate @realDonaldTrump @FLOTUS @EmmanuelMacron #MAGA 
🤝</t>
  </si>
  <si>
    <t>RT @Success87473781: @Cognizant was sued for #racism and disparate treatment against US workers by Indian managers in US early in 2018.
Now…</t>
  </si>
  <si>
    <t>@rocksiphone @TheView If you play your cards right, she'll play her accordion for you.😁 https://t.co/i8YoEFILpt</t>
  </si>
  <si>
    <t>RT @rocksiphone: @TheView THE DERANGED ARE MAKING FUN OF MELANIA’S HAT 
WONDER WHY THEY NEVER MADE FUN OF MICHELLE’S OUTFITS. 
Looks like…</t>
  </si>
  <si>
    <t>@gvr_marine Nice one. Gunny would be proud of you. 😂😂😂👍👍👍</t>
  </si>
  <si>
    <t>RT @StandBsideHer: @joel_capizzi @SykesforSenate Fitness Matters😂💪😂
How the Senior Missouri GOP Leaders must regret endorsing Hawley.
COU…</t>
  </si>
  <si>
    <t>RT @kanyewest: People magazine. Watch how you speak my name. You would love a pair of Yeezys.  Don't play yourself.</t>
  </si>
  <si>
    <t>@iwillhavemyday @JoyAnnReid Nice one. 👍</t>
  </si>
  <si>
    <t>RT @iwillhavemyday: . Couldn't happen to a more deserving #racist #homophobic #arrogant piece of 💩 than @JoyAnnReid !  Those who live in gl…</t>
  </si>
  <si>
    <t>RT @BigLeague2020: #Missouri
Your Next U. S. Senator
🇺🇸COURTLAND SYKES🇺🇸
He will protect the Constitution and support our President Trum…</t>
  </si>
  <si>
    <t>@G1rly_Tattoo3d Powerful, eloquent. Thank you.</t>
  </si>
  <si>
    <t>RT @G1rly_Tattoo3d: Coming together was the beginning
Keeping together is progress
Working together is #MAGA success‼️
Individually we…</t>
  </si>
  <si>
    <t>RT @clayfeathers: Those that stand for the ILLEGALS instead of their own have this blood on their hands. 
The Dem, Socialist, have much blo…</t>
  </si>
  <si>
    <t>@cblfailure @PrincessDebate @realDonaldTrump @FLOTUS @EmmanuelMacron Yeah, its called a heart and you wouldn't qualify to paint this amazing WARM hearted patriotic woman's toenails. Wish the world had more like her. You people disgust me.</t>
  </si>
  <si>
    <t>RT @rocksiphone: @TheView Remember when they criticized the VP for not standing for N Korea during Olympics ?
Now they criticized POTUS fo…</t>
  </si>
  <si>
    <t>RT @joel_capizzi: Don't you see it? Black Democrats would rather see their own people fail than see Trump succeed.
@RealCandaceO isn't the…</t>
  </si>
  <si>
    <t>@JenNongel @KimKriz1 Death penalty for cop killers.
#BacktheBlue 
#SupportThePolice
#RuleOfLaw</t>
  </si>
  <si>
    <t>RT @Pickles0201: "The constitution and the rule of law are the foundation of conservatism. We need REAL conservatives. Not RINOs or right l…</t>
  </si>
  <si>
    <t>@BridgetKF30 @realDonaldTrump Thank you Bridget. I'm sure you could have, but it's true.</t>
  </si>
  <si>
    <t>RT @BridgetKF30: @joel_capizzi @realDonaldTrump Couldn’t have said it any better Joel!!  Thank you so much!!</t>
  </si>
  <si>
    <t>“If Hawley doesn’t gear it up and get with it, he’ll not beat her.” 
(former Sen. Christopher “Kit” Bond, R-Mo) 
https://t.co/avdudhRYkA</t>
  </si>
  <si>
    <t>@StandBsideHer While @SykesforSenate  is out there daily meeting the rank and file and answering questions, low energy Josh Hawley couldn't care less.</t>
  </si>
  <si>
    <t>RT @StandBsideHer: WHERE’S HAWLEY❓
While Jefferson City Burns, Josh Hawley Works Out In Columbia.
Is this how he’s going to take down Cla…</t>
  </si>
  <si>
    <t>@BridgetKF30 @realDonaldTrump Well said. Supporting the President goes well beyond tweeting about it and saying we do. Taking an hour to vote is nothing compared to the countless hours we spend on Twitter, and nothing compared to the hard work Trump does daily on our behalf. https://t.co/nyTamZcY4P</t>
  </si>
  <si>
    <t>RT @BridgetKF30: I agree, and of course, I’m happy she won, I’m moving there!!  My point is, we cannot allow them to “take over” anything!!…</t>
  </si>
  <si>
    <t>Don't you see it? Black Democrats would rather see their own people fail than see Trump succeed.
@RealCandaceO isn't the enemy, they are.
https://t.co/CcMFP1PUk4</t>
  </si>
  <si>
    <t>@relaxnpensacol1 @RealCandaceO Grow up.</t>
  </si>
  <si>
    <t>@CarolsCloset @GulfDogs @jrent777_james Thank YOU!!</t>
  </si>
  <si>
    <t>RT @DaveSchreiber3: @bdclq @LisaTomain @Sequencer16 @RedPilledinNY @dr_palazzolo @CyndiRocks1 @stand4honor @Barbie55260536 @In2trux @joel_c…</t>
  </si>
  <si>
    <t>RT @Jreed1178: Wow- let that sink in for a moment https://t.co/pNNsniY28Z</t>
  </si>
  <si>
    <t>@Nov2018election @TheGunGuy85 @BigLeague2020 @realDonaldTrump @KennedyForUtah Okay, I will. 
Check out @joel_capizzi’s Tweet: https://t.co/cbiGT6a4Bb</t>
  </si>
  <si>
    <t>RT @lee_prier: @joel_capizzi @BigLeague2020 @realDonaldTrump @KennedyForUtah So long, Mitt</t>
  </si>
  <si>
    <t>RT @JimSgrigg: @MittRomney Hmmm.....look at all the jobs....North Korea? A Soothsayer you are not!😂🤣😂🤣 Beat it loser!! https://t.co/voO3EJJ…</t>
  </si>
  <si>
    <t>RT @skb_sara: #FLOTUS 🇺🇸
#MelaniaTrump 💕
Our First Lady is class &amp;amp; beauty. The most amazing #FLOTUS ever to represent our country. Those th…</t>
  </si>
  <si>
    <t>RT @Hope4Hopeless1: @SKOLBLUE1 @EricGreitens .@POTUS .@GovGreitensMo
.@EricGreitens
#WeStandWithGovGreitens 
#Missourians SEE that there…</t>
  </si>
  <si>
    <t>RT @Real_PeachyKeen: GEN FLYNN SUPPORTERS RETWEET⬇
Dear,
@foxandfriends
@ainsleyearhardt
@SteveDoocy
@kilmeade
@seanhannity
@SaraCarterDC…</t>
  </si>
  <si>
    <t>RT @BigLeague2020: @Nov2018election @CStamper_ @SykesforSenate I heard he’s out shopping for LADDERS, while #Missouri is looking for LEADER…</t>
  </si>
  <si>
    <t>RT @Nov2018election: @melody_grover @AP4Liberty @Monetti4Senate It looks like you intentionally forget the most important candidate of all…</t>
  </si>
  <si>
    <t>RT @Nov2018election: @BigLeague2020 @CStamper_ @SykesforSenate Is LOW ENERGY HAWLEY MIA again/still?? https://t.co/76uhmEYfQk</t>
  </si>
  <si>
    <t>RT @BigLeague2020: @CStamper_ @SykesforSenate SYKES FOR SENATE
#MOSEN https://t.co/oEOKyCFtvT</t>
  </si>
  <si>
    <t>RT @BigLeague2020: @CStamper_ Where’s Hawley❓
Hiding Hawley
#MOSEN
THE REAL CONSERVATIVE, AMERICA FIRST CANDIDATE IS
COURTLAND SYKES
B…</t>
  </si>
  <si>
    <t>RT @Nov2018election: @joel_capizzi @TheGunGuy85 @BigLeague2020 @realDonaldTrump @KennedyForUtah Keep tweeting that Joel!!!</t>
  </si>
  <si>
    <t>@skb_sara @ETrumpgirl @W_C_Patriot @Redheaded_Jenn @Tabasc0NGinger @redpillrekt @MTReserved @Fuctupmind @Rachie_Rach__ @Terri101092 @workbench59 "to be followed by to be followed by"??? Predictive text got me again. 😅😅😅</t>
  </si>
  <si>
    <t>RT @clayfeathers: @PGutierrez630 @BilldeBlasio Yes...yes we do! https://t.co/mtGRH4HsPj</t>
  </si>
  <si>
    <t>RT @PGutierrez630: It’s a beacon ‘all over the world’ except for New York and the rest of the country. Proof positive of your global intent…</t>
  </si>
  <si>
    <t>RT @BigLeague2020: Call Senate Majority Leader McConnell’s office
 (202) 224-2541 and tell him to #ConfirmGrenell.
Our President Trump des…</t>
  </si>
  <si>
    <t>RT @BigLeague2020: President Trump to host Germany’s Chancellor Merkel this Friday.
.@realDonaldTrump should have @RichardGrenell present…</t>
  </si>
  <si>
    <t>RT @jrosenbaum: A bit of audio from the Watkins gaggle outside the courtroom re: the $100K payment from an unknown source to deal with @Eri…</t>
  </si>
  <si>
    <t>RT @Hope4Hopeless1: @ScottCharton @EricGreitens #Missourians especially HERE in Rural Missouri HATE us a FRIGGIN group of #Soros funded Com…</t>
  </si>
  <si>
    <t>@skb_sara @ETrumpgirl @W_C_Patriot @Redheaded_Jenn @Tabasc0NGinger @redpillrekt @MTReserved @Fuctupmind @Rachie_Rach__ @Terri101092 @workbench59 Following and honored to be followed by to be followed by @Etrumpgirl.</t>
  </si>
  <si>
    <t>RT @skb_sara: 📡 Attention Patriots 📡
Everyone #Follow my gorgeous friend Elizabeth @ETrumpgirl 
She's a huge Trump supporter &amp;amp; awesome  pa…</t>
  </si>
  <si>
    <t>RT @melody_grover: Luck has nothing to do with it. Voters don't take kindly to rogue prosecutors corrupt PIs &amp;amp; overly ambitious politicians…</t>
  </si>
  <si>
    <t>RT @BigLeague2020: Umm, you inadvertently forgot to list .@SykesforSenate
🇺🇸COURTLAND SYKES FOR SENATE🇺🇸
Navy Veteran
America First Agend…</t>
  </si>
  <si>
    <t>RT @CHIZMAGA: Greatest Foreign Policy President ever!</t>
  </si>
  <si>
    <t>After numerous conversations with Pompeo, Rand Paul claims he just found out minutes before the vote Pompeo agrees with Trump's position on the Iraq war and that's why he voted yes.</t>
  </si>
  <si>
    <t>RT @debclay5153: What would CNN call BRO. MARTIN L. KING....he too was a REPUBLICAN https://t.co/3ZuLOTnJKv</t>
  </si>
  <si>
    <t>@CraigAr64 I didn't get rich working in a machine shop but everything I own is mine.</t>
  </si>
  <si>
    <t>@CherylHarley3 @RealCandaceO If a conservative used "token" anything to describe a woman, feminists would be foaming at the mouth for "objectifying" her.</t>
  </si>
  <si>
    <t>RT @CherylHarley3: @joel_capizzi @RealCandaceO Such an insult to an honorable woman.</t>
  </si>
  <si>
    <t>RT @TGrandma2006: @joel_capizzi @RealCandaceO Plain racist! @CNN COMMUNIST NEWS NETWORK! Are you scared of great free thinking BLACK PPL? O…</t>
  </si>
  <si>
    <t>@Shawtypepelina Parents put filters on TV and the internet to block porn then send them to school where it's taught as subject matter.</t>
  </si>
  <si>
    <t>RT @bburks1412: @Cernovich @drmrs121 Priceless coming from the Communist News Network</t>
  </si>
  <si>
    <t>RT @PennyHicks13: @Cernovich @Tabertronic CNN’s collective intelligence fits in a thimble. 
Our collective intelligence is a crucial compon…</t>
  </si>
  <si>
    <t>RT @kenk22: All from a guy who lives in a sewer.. https://t.co/KgYGS6bus3</t>
  </si>
  <si>
    <t>RT @kenk22: Wait till they start Uncle Tom’ing Kanye... https://t.co/DBrBtNFmj2</t>
  </si>
  <si>
    <t>RT @CraigAr64: Not everyone is a college student, nothing to be ashamed of, just do what you do well and be proud 
of it.  Vocational skill…</t>
  </si>
  <si>
    <t>@hrtablaze @skb_sara Wisdom.</t>
  </si>
  <si>
    <t>RT @hrtablaze: When someone begins to have a philosophical shift,  it does not happen overnight,  it is a process,  it happens gradually. C…</t>
  </si>
  <si>
    <t>RT @hrtablaze: I respect any man that is willing to risk it all on order to be true to himself.  People say this is a publicity stunt, well…</t>
  </si>
  <si>
    <t>RT @hrtablaze: Instead embrace them &amp;amp;help them cultivate better ideas. I'm seeing some on the right attacking kanye west. Of course he does…</t>
  </si>
  <si>
    <t>RT @jojoh888: Thank you all for following me, for making me 80K strong! 
I'm a Latina who loves our country, our flag and I defend the 2nd…</t>
  </si>
  <si>
    <t>RT @xxAddi_Mayxx: @raulg1320 @Maximus_4EVR @realDonaldTrump @W_C_Patriot @skb_sara @AliciaTolbert @DonnaWR8 @hrenee80 @ColoradoGirl2A @Taba…</t>
  </si>
  <si>
    <t>RT @Flkittie: @joel_capizzi @RealCandaceO I’m sure Democrat slave owners called the first Freed Slave a “Token”</t>
  </si>
  <si>
    <t>RT @BridgetKF30: @aligiarc Well, not only do they have dead people,
Illegal voters, under 16 voters, and now convicted felons as voters, ho…</t>
  </si>
  <si>
    <t>RT @AIIAmericanGirI: Kanye West professes 'love' for Donald Trump, criticizes Obama https://t.co/WXmdVfhY5h @true_pundit #AAG</t>
  </si>
  <si>
    <t>RT @vannsmole: Kanye's Defense of Candace Owens 'A Big Deal'-'He Challenged the Mob'
The left will praise 2 black men loitering at Starbuc…</t>
  </si>
  <si>
    <t>RT @VisioDeiFromLA: Key point.
Not allowing a bench trial unconstitutional.
#MoLeg #MoGov #Greitens #MoSen https://t.co/uiYbOLHF3I</t>
  </si>
  <si>
    <t>RT @Real_PeachyKeen: ALL GENERAL FLYNN SUPPORTERS PLEASE RETWEET! GET THE WORD OUT FOR @GenFlynn! 🇺🇸
@foxandfriends please share General M…</t>
  </si>
  <si>
    <t>RT @Doodisgirl: Don’t be fooled. Leftists are THE party of death.
Always have been. Always will be.
💀
#abortion #euthanasia #genocide #infa…</t>
  </si>
  <si>
    <t>RT @CarlaDaddesi: The California Revolution is Now! Be silent NO MORE! #TuesdayThoughts https://t.co/YFhZZ3GhnK</t>
  </si>
  <si>
    <t>RT @AIIAmericanGirI: Alfie Evans Survives for 15 Hours After Hospital Yanks His Life Support and Oxygen https://t.co/OToGRC00eG @LifeNewsHQ…</t>
  </si>
  <si>
    <t>RT @dr_palazzolo: Candace Owens is a refreshing new voice who has struck a nerve among the liberal elite because they can’t handle the trut…</t>
  </si>
  <si>
    <t>RT @EOLeinberger: ENRAGED AMERICAN HERE!! FIRE JEFF!! TAKE OUR MONEY BACK! https://t.co/q7U3BeP5G2</t>
  </si>
  <si>
    <t>RT @BigLeague2020: 🇺🇸ANTONIO SABATO, JR. FOR CONGRESS🇺🇸
CALIFORNIA #CD26
🇺🇸Primary June 5th🇺🇸
♦️Supports President Trump
🔹National Secur…</t>
  </si>
  <si>
    <t>@Shawtypepelina In any other context it would be considered porn.</t>
  </si>
  <si>
    <t>RT @BillieCotter: @Shawtypepelina I want to wish they made the data up since so much always is but it wouldn't surprise me in the least if…</t>
  </si>
  <si>
    <t>RT @BillieCotter: @Shawtypepelina I have no words for this nonsense! I'm sooo glad I homeschooled my children through middle &amp;amp; high school.…</t>
  </si>
  <si>
    <t>RT @Star8400CPD: @joel_capizzi @RealCandaceO I call her a fellow patriot who loves America and she would be welcome in our home any time.…</t>
  </si>
  <si>
    <t>RT @Joeblow2857: @joel_capizzi @solentgreenis @RealCandaceO  https://t.co/KoUoDhmbsA</t>
  </si>
  <si>
    <t>RT @MemphisGrits2: Looks like we can add racist &amp;amp; sexist to @CNN’s credentials... https://t.co/GyX8fklrRE</t>
  </si>
  <si>
    <t>RT @RealCandaceO: I find it hilarious that the media thinks it can tell Kanye West, of all people, what he is allowed to think. Here’s a qu…</t>
  </si>
  <si>
    <t>@SonofLiberty357 Gawd.</t>
  </si>
  <si>
    <t>RT @Blackdi51264299: Candace Owens on left's attempts to silence conservatives via the @FoxNews App- Truth to Power, Really bad news for De…</t>
  </si>
  <si>
    <t>RT @EOLeinberger: CNN IS TRASH! NOT DESERVING OF AMERICAN AIRTIME! https://t.co/HX5JI9V1Mi</t>
  </si>
  <si>
    <t>RT @SamGCHQ: @joel_capizzi 
EVERYTHING IN ME REBELS WHEN I SAY THIS!
🆘
Most of U don’t get it —&amp;gt;NBC  
🆘
BEFORE 1998 RED WAS COMMUNIST NAZ…</t>
  </si>
  <si>
    <t>@David_Hogg16 Proof there's a silver lining in everything and you're it David.
Thanks for the followback and have a great day son.</t>
  </si>
  <si>
    <t>RT @David_Hogg16: This David Hogg wishes all of my Conservative friends an awesome day! Also, here is a little message from my "Mama Hogg."…</t>
  </si>
  <si>
    <t>RT @Sequencer16: No one cares what you have to say.  
"Broken Promise" = Obamacare. 
#KAG
👇 https://t.co/sHxUHzCiio</t>
  </si>
  <si>
    <t>RT @kanyewest: new ideas will no longer be condemned by the masses. We are on the frontier of massive change. Starting from breaking out of…</t>
  </si>
  <si>
    <t>RT @mtenorio77: @JudsonSimpson5 @Fedupandready @pelicancoolers @NRA Because it is Democrats causing the problems Dumbass! OMFG! You are Stu…</t>
  </si>
  <si>
    <t>RT @TrumpLove4: @JoanneTirado09 @Chicago1Ray @RealCandaceO I love this courageous woman 🇺🇸</t>
  </si>
  <si>
    <t>RT @Chicago1Ray: @JoanneTirado09 @RealCandaceO #ThankYou @RealCandaceO ✔ you are a great American</t>
  </si>
  <si>
    <t>RT @JoanneTirado09: @Chicago1Ray @RealCandaceO  https://t.co/xT9ZvEKHPu</t>
  </si>
  <si>
    <t>You're not alone @RealCandaceO .
CNN calls Alveda King, niece the father of the civil rights movement a “token Right-wing black woman” because of her support for Trump.
https://t.co/4hY2r1I93i</t>
  </si>
  <si>
    <t>@NewDayForNJ @POTUS Thanks for running. 
Tricia is MAGA 
#MAGAMomentum 
Keep it going. 
#KAG
#MAGA2018 
#DrainTheSwamp https://t.co/v2yfajKDiK</t>
  </si>
  <si>
    <t>@YuonSee @RealCandaceO Let's follow that logic. If my doctor never had what I have he has no right to tell me what I have? That's just stupid.</t>
  </si>
  <si>
    <t>RT @joel_capizzi: @RealCandaceO Candace Owens has the guts, the insight and the heart of a Rosa Parks to stand against the Democratic Plant…</t>
  </si>
  <si>
    <t>RT @Pickles0201: PENNSYLVANIA ❤ District 05
👉 Please VOTE ✔ for #MAGA candidate @billie4congress 4 Congress
🔴Pro-Conservative
⚪Pro-Consti…</t>
  </si>
  <si>
    <t>RT @AMErikaNGIRLBOT: ⬇️The New Silent Majority of Brave Young Conservative Patriots Rise to Defend our Rights! #FakeNews will NOT Cover thi…</t>
  </si>
  <si>
    <t>RT @NewDayForNJ: @joel_capizzi @POTUS Let’s roll! 👍👍👍🇺🇸🇺🇸🇺🇸</t>
  </si>
  <si>
    <t>RT @Thomas1774Paine: OUTRAGE: AG Sessions Rewards Broward County Sheriff with $1 Million of Your Money for Response to Parkland School Shoo…</t>
  </si>
  <si>
    <t>RT @BigLeague2020: Michelle Mortensen: A Lukewarm Republican With Populist-Leftist Beliefs
https://t.co/LiaPqiY5TG
#cd3 #NV03 https://t.c…</t>
  </si>
  <si>
    <t>RT @maryann_penza: @davis1988will @RealCandaceO Candace is a movement. For good!</t>
  </si>
  <si>
    <t>@CHIZMAGA And all we have to do is vote.
#MagaMomentum 
Keep it going.</t>
  </si>
  <si>
    <t>RT @CHIZMAGA: Trump’s net worth has decreased by a billion dollars since he became President...
He’s working for free to try and fix this…</t>
  </si>
  <si>
    <t>@NewDayForNJ @POTUS #MAGAMomentum
Keep it going.</t>
  </si>
  <si>
    <t>RT @NewDayForNJ: Good morning Patriots!☀️🇺🇸
Thank you for showing the ❤️ NJ is showing up &amp;amp; showing out like never before to save our State…</t>
  </si>
  <si>
    <t>RT @AIIAmericanGirI: Italian Embassy To British Hospital: Remove The Ventilator From Alfie Evans And We Will Accuse You Of Murder https://t…</t>
  </si>
  <si>
    <t>RT @MAGAKrissy: AZ patriots... you still need to VOTE TOMORROW. Every vote matters. YOUR VOICE MATTERS! Keep AZ Red! Vote @DebbieLesko #Red…</t>
  </si>
  <si>
    <t>@herredness66 @Change Signed.</t>
  </si>
  <si>
    <t>RT @herredness66: California state university: Remove Randa Jarrar from Fresno State University for Racist comments - Sign the Petition! ht…</t>
  </si>
  <si>
    <t>RT @KenGalistan: @joel_capizzi @Nov2018election @realDonaldTrump @KennedyForUtah Just make sure Utah  Republicans vote for a MAGA Agenda ca…</t>
  </si>
  <si>
    <t>RT @LLViola: @joel_capizzi @kanyewest @YouTube temporarily demonetizes Dave Rubin interview with #ThomasSowell  What the Heck ❗️❗️❗️@RealCa…</t>
  </si>
  <si>
    <t>RT @TheRISEofROD: Father stabbed to death by homeless man, while daughter sat on his knee in a restaurant.
Welcome to Jerry Brown's Libera…</t>
  </si>
  <si>
    <t>Somebody please send in an interpreter. 
https://t.co/NXzvazuuJ6</t>
  </si>
  <si>
    <t>RT @DougFlowers6: If you do not want to be shot by the police. Don't be a criminal. If you choose to be one, obey the orders of the officer…</t>
  </si>
  <si>
    <t>RT @BasketOfSexy: We aren’t fawning. We are just pleasantly surprised Kanye isn’t a DNC cult follower like every other celeb. https://t.co/…</t>
  </si>
  <si>
    <t>RT @codeofvets: POTUS+WTP+OUTSIDER/VETERAN CANDIDATES=A FUNCTIONAL DC @SykesforSenate -MO Senate candidate-Navy Veteran https://t.co/g37DiU…</t>
  </si>
  <si>
    <t>@RedPilledinNY @KeithOB224 Already following.</t>
  </si>
  <si>
    <t>RT @DavidPankey10: @joel_capizzi @spatterson710 Well that tells you where his actual loyalties lie.</t>
  </si>
  <si>
    <t>Rand Paul makes 11th hour switch from no, to a yes on Pompeo's confirmation citing assurances Pompeo agrees going into Iraq was a mistake. Draw your own conclusions, I think it was to avoid political suicide. 
https://t.co/XEjcDghCs1</t>
  </si>
  <si>
    <t>RT @mtenorio77: I am an American Soldier and Warrior in this fight for our country and I am not alone in this fight!🇺🇸🇺🇸🇺🇸🇺🇸🇺🇸</t>
  </si>
  <si>
    <t>RT @JoanneTirado09: @Chicago1Ray #JamesShawJrIsAHero https://t.co/MfTaH0Ay0i</t>
  </si>
  <si>
    <t>RT @Success87473781: Vote #MAGA 
Vote #Red
Vote #Trump
#AmericaFirst
#HireAmerican
#BuildTheWall
#DeportThemAll
No #Illegals
#Illegals_are_…</t>
  </si>
  <si>
    <t>RT @myGianLuca: BOOM!! -&amp;gt;&amp;gt;Rep. Devin Nunes: "It's Possible" Russians have Dirt on James Comey (VIDEO) https://t.co/aG23M5ZsRt</t>
  </si>
  <si>
    <t>RT @JoanneTirado09: @Chicago1Ray #GODBlessOurMilitary https://t.co/pv3k6vPwfp</t>
  </si>
  <si>
    <t>RT @PradRachael: WHAT AN HONOR AND PRIVILEGE FOR THIS AWESOME FAMILY IN THE PEOPLE HOUSE 🇺🇸
#POTUS 
#FLOTUS 
#QAnon 
#RedWaveRising2018 
#…</t>
  </si>
  <si>
    <t>RT @The2ndA: #MAGAVeteran
#TrumpTrain
Car #1 of 3
@001_lr 
@AnthonyUSMC11  
@APondview  
@BamaMike101 
@barkerchris48 
@BOZ1776 
@Catasus…</t>
  </si>
  <si>
    <t>RT @LisaTomain: Once again, Sarah Sanders nails it. @GovMikeHuckabee your daughter is amazing!!!
#ConfirmPompeoWeAreWatching 🇺🇸 https://t.…</t>
  </si>
  <si>
    <t>RT @JoanneTirado09: @Chicago1Ray @KellyannePolls  https://t.co/GO1EucRIXA</t>
  </si>
  <si>
    <t>RT @JoanneTirado09: @Chicago1Ray  https://t.co/k3koSsB4c0</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</si>
</sst>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41"/>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HYPERLINK("http://www.twitter.com/NathanBLawrence/status/998921759045963776", "998921759045963776")</f>
        <v/>
      </c>
      <c r="B2" s="2" t="n">
        <v>43242.57038194445</v>
      </c>
      <c r="C2" t="n">
        <v>2</v>
      </c>
      <c r="D2" t="n">
        <v>1</v>
      </c>
      <c r="E2" t="s">
        <v>13</v>
      </c>
      <c r="F2" t="s"/>
      <c r="G2" t="s"/>
      <c r="H2" t="s"/>
      <c r="I2" t="s"/>
      <c r="J2" t="n">
        <v>-0.5266999999999999</v>
      </c>
      <c r="K2" t="n">
        <v>0.167</v>
      </c>
      <c r="L2" t="n">
        <v>0.833</v>
      </c>
      <c r="M2" t="n">
        <v>0</v>
      </c>
    </row>
    <row r="3" spans="1:13">
      <c r="A3" s="1">
        <f>HYPERLINK("http://www.twitter.com/NathanBLawrence/status/998921571531149317", "998921571531149317")</f>
        <v/>
      </c>
      <c r="B3" s="2" t="n">
        <v>43242.56986111111</v>
      </c>
      <c r="C3" t="n">
        <v>0</v>
      </c>
      <c r="D3" t="n">
        <v>13</v>
      </c>
      <c r="E3" t="s">
        <v>14</v>
      </c>
      <c r="F3">
        <f>HYPERLINK("http://pbs.twimg.com/media/DcUJXOEXUAAuXKn.jpg", "http://pbs.twimg.com/media/DcUJXOEXUAAuXKn.jpg")</f>
        <v/>
      </c>
      <c r="G3" t="s"/>
      <c r="H3" t="s"/>
      <c r="I3" t="s"/>
      <c r="J3" t="n">
        <v>-0.7371</v>
      </c>
      <c r="K3" t="n">
        <v>0.258</v>
      </c>
      <c r="L3" t="n">
        <v>0.742</v>
      </c>
      <c r="M3" t="n">
        <v>0</v>
      </c>
    </row>
    <row r="4" spans="1:13">
      <c r="A4" s="1">
        <f>HYPERLINK("http://www.twitter.com/NathanBLawrence/status/998921107557310464", "998921107557310464")</f>
        <v/>
      </c>
      <c r="B4" s="2" t="n">
        <v>43242.56857638889</v>
      </c>
      <c r="C4" t="n">
        <v>1</v>
      </c>
      <c r="D4" t="n">
        <v>0</v>
      </c>
      <c r="E4" t="s">
        <v>15</v>
      </c>
      <c r="F4" t="s"/>
      <c r="G4" t="s"/>
      <c r="H4" t="s"/>
      <c r="I4" t="s"/>
      <c r="J4" t="n">
        <v>-0.8979</v>
      </c>
      <c r="K4" t="n">
        <v>0.679</v>
      </c>
      <c r="L4" t="n">
        <v>0.242</v>
      </c>
      <c r="M4" t="n">
        <v>0.079</v>
      </c>
    </row>
    <row r="5" spans="1:13">
      <c r="A5" s="1">
        <f>HYPERLINK("http://www.twitter.com/NathanBLawrence/status/998920896109858817", "998920896109858817")</f>
        <v/>
      </c>
      <c r="B5" s="2" t="n">
        <v>43242.56799768518</v>
      </c>
      <c r="C5" t="n">
        <v>0</v>
      </c>
      <c r="D5" t="n">
        <v>20</v>
      </c>
      <c r="E5" t="s">
        <v>16</v>
      </c>
      <c r="F5">
        <f>HYPERLINK("http://pbs.twimg.com/media/Ddrki3uU8AIWISk.jpg", "http://pbs.twimg.com/media/Ddrki3uU8AIWISk.jpg")</f>
        <v/>
      </c>
      <c r="G5" t="s"/>
      <c r="H5" t="s"/>
      <c r="I5" t="s"/>
      <c r="J5" t="n">
        <v>-0.4019</v>
      </c>
      <c r="K5" t="n">
        <v>0.222</v>
      </c>
      <c r="L5" t="n">
        <v>0.655</v>
      </c>
      <c r="M5" t="n">
        <v>0.124</v>
      </c>
    </row>
    <row r="6" spans="1:13">
      <c r="A6" s="1">
        <f>HYPERLINK("http://www.twitter.com/NathanBLawrence/status/998920796541259776", "998920796541259776")</f>
        <v/>
      </c>
      <c r="B6" s="2" t="n">
        <v>43242.56771990741</v>
      </c>
      <c r="C6" t="n">
        <v>0</v>
      </c>
      <c r="D6" t="n">
        <v>11</v>
      </c>
      <c r="E6" t="s">
        <v>17</v>
      </c>
      <c r="F6" t="s"/>
      <c r="G6" t="s"/>
      <c r="H6" t="s"/>
      <c r="I6" t="s"/>
      <c r="J6" t="n">
        <v>-0.1779</v>
      </c>
      <c r="K6" t="n">
        <v>0.2</v>
      </c>
      <c r="L6" t="n">
        <v>0.667</v>
      </c>
      <c r="M6" t="n">
        <v>0.133</v>
      </c>
    </row>
    <row r="7" spans="1:13">
      <c r="A7" s="1">
        <f>HYPERLINK("http://www.twitter.com/NathanBLawrence/status/998920767302717441", "998920767302717441")</f>
        <v/>
      </c>
      <c r="B7" s="2" t="n">
        <v>43242.56763888889</v>
      </c>
      <c r="C7" t="n">
        <v>0</v>
      </c>
      <c r="D7" t="n">
        <v>6</v>
      </c>
      <c r="E7" t="s">
        <v>18</v>
      </c>
      <c r="F7">
        <f>HYPERLINK("http://pbs.twimg.com/media/DdzgIWCVAAARHY8.jpg", "http://pbs.twimg.com/media/DdzgIWCVAAARHY8.jpg")</f>
        <v/>
      </c>
      <c r="G7" t="s"/>
      <c r="H7" t="s"/>
      <c r="I7" t="s"/>
      <c r="J7" t="n">
        <v>0</v>
      </c>
      <c r="K7" t="n">
        <v>0</v>
      </c>
      <c r="L7" t="n">
        <v>1</v>
      </c>
      <c r="M7" t="n">
        <v>0</v>
      </c>
    </row>
    <row r="8" spans="1:13">
      <c r="A8" s="1">
        <f>HYPERLINK("http://www.twitter.com/NathanBLawrence/status/998920681457897472", "998920681457897472")</f>
        <v/>
      </c>
      <c r="B8" s="2" t="n">
        <v>43242.5674074074</v>
      </c>
      <c r="C8" t="n">
        <v>0</v>
      </c>
      <c r="D8" t="n">
        <v>8</v>
      </c>
      <c r="E8" t="s">
        <v>19</v>
      </c>
      <c r="F8">
        <f>HYPERLINK("http://pbs.twimg.com/media/Ddzfmk8VQAAerdV.jpg", "http://pbs.twimg.com/media/Ddzfmk8VQAAerdV.jpg")</f>
        <v/>
      </c>
      <c r="G8" t="s"/>
      <c r="H8" t="s"/>
      <c r="I8" t="s"/>
      <c r="J8" t="n">
        <v>0</v>
      </c>
      <c r="K8" t="n">
        <v>0</v>
      </c>
      <c r="L8" t="n">
        <v>1</v>
      </c>
      <c r="M8" t="n">
        <v>0</v>
      </c>
    </row>
    <row r="9" spans="1:13">
      <c r="A9" s="1">
        <f>HYPERLINK("http://www.twitter.com/NathanBLawrence/status/998916009871466497", "998916009871466497")</f>
        <v/>
      </c>
      <c r="B9" s="2" t="n">
        <v>43242.55451388889</v>
      </c>
      <c r="C9" t="n">
        <v>2</v>
      </c>
      <c r="D9" t="n">
        <v>2</v>
      </c>
      <c r="E9" t="s">
        <v>20</v>
      </c>
      <c r="F9" t="s"/>
      <c r="G9" t="s"/>
      <c r="H9" t="s"/>
      <c r="I9" t="s"/>
      <c r="J9" t="n">
        <v>-0.8979</v>
      </c>
      <c r="K9" t="n">
        <v>0.723</v>
      </c>
      <c r="L9" t="n">
        <v>0.194</v>
      </c>
      <c r="M9" t="n">
        <v>0.08400000000000001</v>
      </c>
    </row>
    <row r="10" spans="1:13">
      <c r="A10" s="1">
        <f>HYPERLINK("http://www.twitter.com/NathanBLawrence/status/998914759432048641", "998914759432048641")</f>
        <v/>
      </c>
      <c r="B10" s="2" t="n">
        <v>43242.55106481481</v>
      </c>
      <c r="C10" t="n">
        <v>0</v>
      </c>
      <c r="D10" t="n">
        <v>3</v>
      </c>
      <c r="E10" t="s">
        <v>21</v>
      </c>
      <c r="F10" t="s"/>
      <c r="G10" t="s"/>
      <c r="H10" t="s"/>
      <c r="I10" t="s"/>
      <c r="J10" t="n">
        <v>0.3182</v>
      </c>
      <c r="K10" t="n">
        <v>0</v>
      </c>
      <c r="L10" t="n">
        <v>0.881</v>
      </c>
      <c r="M10" t="n">
        <v>0.119</v>
      </c>
    </row>
    <row r="11" spans="1:13">
      <c r="A11" s="1">
        <f>HYPERLINK("http://www.twitter.com/NathanBLawrence/status/998914725378392064", "998914725378392064")</f>
        <v/>
      </c>
      <c r="B11" s="2" t="n">
        <v>43242.55097222222</v>
      </c>
      <c r="C11" t="n">
        <v>0</v>
      </c>
      <c r="D11" t="n">
        <v>10</v>
      </c>
      <c r="E11" t="s">
        <v>22</v>
      </c>
      <c r="F11" t="s"/>
      <c r="G11" t="s"/>
      <c r="H11" t="s"/>
      <c r="I11" t="s"/>
      <c r="J11" t="n">
        <v>0</v>
      </c>
      <c r="K11" t="n">
        <v>0</v>
      </c>
      <c r="L11" t="n">
        <v>1</v>
      </c>
      <c r="M11" t="n">
        <v>0</v>
      </c>
    </row>
    <row r="12" spans="1:13">
      <c r="A12" s="1">
        <f>HYPERLINK("http://www.twitter.com/NathanBLawrence/status/998914690586693641", "998914690586693641")</f>
        <v/>
      </c>
      <c r="B12" s="2" t="n">
        <v>43242.55086805556</v>
      </c>
      <c r="C12" t="n">
        <v>0</v>
      </c>
      <c r="D12" t="n">
        <v>19</v>
      </c>
      <c r="E12" t="s">
        <v>23</v>
      </c>
      <c r="F12">
        <f>HYPERLINK("http://pbs.twimg.com/media/Ddyr5snV4AItvO2.jpg", "http://pbs.twimg.com/media/Ddyr5snV4AItvO2.jpg")</f>
        <v/>
      </c>
      <c r="G12" t="s"/>
      <c r="H12" t="s"/>
      <c r="I12" t="s"/>
      <c r="J12" t="n">
        <v>0.3182</v>
      </c>
      <c r="K12" t="n">
        <v>0</v>
      </c>
      <c r="L12" t="n">
        <v>0.723</v>
      </c>
      <c r="M12" t="n">
        <v>0.277</v>
      </c>
    </row>
    <row r="13" spans="1:13">
      <c r="A13" s="1">
        <f>HYPERLINK("http://www.twitter.com/NathanBLawrence/status/998914677974368256", "998914677974368256")</f>
        <v/>
      </c>
      <c r="B13" s="2" t="n">
        <v>43242.55083333333</v>
      </c>
      <c r="C13" t="n">
        <v>0</v>
      </c>
      <c r="D13" t="n">
        <v>86</v>
      </c>
      <c r="E13" t="s">
        <v>24</v>
      </c>
      <c r="F13" t="s"/>
      <c r="G13" t="s"/>
      <c r="H13" t="s"/>
      <c r="I13" t="s"/>
      <c r="J13" t="n">
        <v>0</v>
      </c>
      <c r="K13" t="n">
        <v>0</v>
      </c>
      <c r="L13" t="n">
        <v>1</v>
      </c>
      <c r="M13" t="n">
        <v>0</v>
      </c>
    </row>
    <row r="14" spans="1:13">
      <c r="A14" s="1">
        <f>HYPERLINK("http://www.twitter.com/NathanBLawrence/status/998914196518694912", "998914196518694912")</f>
        <v/>
      </c>
      <c r="B14" s="2" t="n">
        <v>43242.54951388889</v>
      </c>
      <c r="C14" t="n">
        <v>2</v>
      </c>
      <c r="D14" t="n">
        <v>0</v>
      </c>
      <c r="E14" t="s">
        <v>25</v>
      </c>
      <c r="F14" t="s"/>
      <c r="G14" t="s"/>
      <c r="H14" t="s"/>
      <c r="I14" t="s"/>
      <c r="J14" t="n">
        <v>0</v>
      </c>
      <c r="K14" t="n">
        <v>0</v>
      </c>
      <c r="L14" t="n">
        <v>1</v>
      </c>
      <c r="M14" t="n">
        <v>0</v>
      </c>
    </row>
    <row r="15" spans="1:13">
      <c r="A15" s="1">
        <f>HYPERLINK("http://www.twitter.com/NathanBLawrence/status/998909326260686848", "998909326260686848")</f>
        <v/>
      </c>
      <c r="B15" s="2" t="n">
        <v>43242.53606481481</v>
      </c>
      <c r="C15" t="n">
        <v>0</v>
      </c>
      <c r="D15" t="n">
        <v>0</v>
      </c>
      <c r="E15" t="s">
        <v>26</v>
      </c>
      <c r="F15" t="s"/>
      <c r="G15" t="s"/>
      <c r="H15" t="s"/>
      <c r="I15" t="s"/>
      <c r="J15" t="n">
        <v>0</v>
      </c>
      <c r="K15" t="n">
        <v>0</v>
      </c>
      <c r="L15" t="n">
        <v>1</v>
      </c>
      <c r="M15" t="n">
        <v>0</v>
      </c>
    </row>
    <row r="16" spans="1:13">
      <c r="A16" s="1">
        <f>HYPERLINK("http://www.twitter.com/NathanBLawrence/status/998787144247382016", "998787144247382016")</f>
        <v/>
      </c>
      <c r="B16" s="2" t="n">
        <v>43242.19891203703</v>
      </c>
      <c r="C16" t="n">
        <v>0</v>
      </c>
      <c r="D16" t="n">
        <v>204</v>
      </c>
      <c r="E16" t="s">
        <v>27</v>
      </c>
      <c r="F16" t="s"/>
      <c r="G16" t="s"/>
      <c r="H16" t="s"/>
      <c r="I16" t="s"/>
      <c r="J16" t="n">
        <v>0.6103</v>
      </c>
      <c r="K16" t="n">
        <v>0</v>
      </c>
      <c r="L16" t="n">
        <v>0.79</v>
      </c>
      <c r="M16" t="n">
        <v>0.21</v>
      </c>
    </row>
    <row r="17" spans="1:13">
      <c r="A17" s="1">
        <f>HYPERLINK("http://www.twitter.com/NathanBLawrence/status/998787098546237441", "998787098546237441")</f>
        <v/>
      </c>
      <c r="B17" s="2" t="n">
        <v>43242.19878472222</v>
      </c>
      <c r="C17" t="n">
        <v>0</v>
      </c>
      <c r="D17" t="n">
        <v>14</v>
      </c>
      <c r="E17" t="s">
        <v>28</v>
      </c>
      <c r="F17" t="s"/>
      <c r="G17" t="s"/>
      <c r="H17" t="s"/>
      <c r="I17" t="s"/>
      <c r="J17" t="n">
        <v>0</v>
      </c>
      <c r="K17" t="n">
        <v>0</v>
      </c>
      <c r="L17" t="n">
        <v>1</v>
      </c>
      <c r="M17" t="n">
        <v>0</v>
      </c>
    </row>
    <row r="18" spans="1:13">
      <c r="A18" s="1">
        <f>HYPERLINK("http://www.twitter.com/NathanBLawrence/status/998787037548474368", "998787037548474368")</f>
        <v/>
      </c>
      <c r="B18" s="2" t="n">
        <v>43242.19861111111</v>
      </c>
      <c r="C18" t="n">
        <v>0</v>
      </c>
      <c r="D18" t="n">
        <v>17</v>
      </c>
      <c r="E18" t="s">
        <v>29</v>
      </c>
      <c r="F18" t="s"/>
      <c r="G18" t="s"/>
      <c r="H18" t="s"/>
      <c r="I18" t="s"/>
      <c r="J18" t="n">
        <v>-0.6486</v>
      </c>
      <c r="K18" t="n">
        <v>0.209</v>
      </c>
      <c r="L18" t="n">
        <v>0.791</v>
      </c>
      <c r="M18" t="n">
        <v>0</v>
      </c>
    </row>
    <row r="19" spans="1:13">
      <c r="A19" s="1">
        <f>HYPERLINK("http://www.twitter.com/NathanBLawrence/status/998786951934365696", "998786951934365696")</f>
        <v/>
      </c>
      <c r="B19" s="2" t="n">
        <v>43242.19837962963</v>
      </c>
      <c r="C19" t="n">
        <v>0</v>
      </c>
      <c r="D19" t="n">
        <v>14</v>
      </c>
      <c r="E19" t="s">
        <v>30</v>
      </c>
      <c r="F19">
        <f>HYPERLINK("http://pbs.twimg.com/media/DdwbsbiUQAEKIHK.jpg", "http://pbs.twimg.com/media/DdwbsbiUQAEKIHK.jpg")</f>
        <v/>
      </c>
      <c r="G19" t="s"/>
      <c r="H19" t="s"/>
      <c r="I19" t="s"/>
      <c r="J19" t="n">
        <v>0.5079</v>
      </c>
      <c r="K19" t="n">
        <v>0.099</v>
      </c>
      <c r="L19" t="n">
        <v>0.6840000000000001</v>
      </c>
      <c r="M19" t="n">
        <v>0.217</v>
      </c>
    </row>
    <row r="20" spans="1:13">
      <c r="A20" s="1">
        <f>HYPERLINK("http://www.twitter.com/NathanBLawrence/status/998786851765997568", "998786851765997568")</f>
        <v/>
      </c>
      <c r="B20" s="2" t="n">
        <v>43242.19810185185</v>
      </c>
      <c r="C20" t="n">
        <v>0</v>
      </c>
      <c r="D20" t="n">
        <v>6</v>
      </c>
      <c r="E20" t="s">
        <v>31</v>
      </c>
      <c r="F20" t="s"/>
      <c r="G20" t="s"/>
      <c r="H20" t="s"/>
      <c r="I20" t="s"/>
      <c r="J20" t="n">
        <v>0</v>
      </c>
      <c r="K20" t="n">
        <v>0</v>
      </c>
      <c r="L20" t="n">
        <v>1</v>
      </c>
      <c r="M20" t="n">
        <v>0</v>
      </c>
    </row>
    <row r="21" spans="1:13">
      <c r="A21" s="1">
        <f>HYPERLINK("http://www.twitter.com/NathanBLawrence/status/998786826856009728", "998786826856009728")</f>
        <v/>
      </c>
      <c r="B21" s="2" t="n">
        <v>43242.19803240741</v>
      </c>
      <c r="C21" t="n">
        <v>0</v>
      </c>
      <c r="D21" t="n">
        <v>2</v>
      </c>
      <c r="E21" t="s">
        <v>32</v>
      </c>
      <c r="F21" t="s"/>
      <c r="G21" t="s"/>
      <c r="H21" t="s"/>
      <c r="I21" t="s"/>
      <c r="J21" t="n">
        <v>0</v>
      </c>
      <c r="K21" t="n">
        <v>0</v>
      </c>
      <c r="L21" t="n">
        <v>1</v>
      </c>
      <c r="M21" t="n">
        <v>0</v>
      </c>
    </row>
    <row r="22" spans="1:13">
      <c r="A22" s="1">
        <f>HYPERLINK("http://www.twitter.com/NathanBLawrence/status/998786774444003329", "998786774444003329")</f>
        <v/>
      </c>
      <c r="B22" s="2" t="n">
        <v>43242.19789351852</v>
      </c>
      <c r="C22" t="n">
        <v>0</v>
      </c>
      <c r="D22" t="n">
        <v>2</v>
      </c>
      <c r="E22" t="s">
        <v>33</v>
      </c>
      <c r="F22" t="s"/>
      <c r="G22" t="s"/>
      <c r="H22" t="s"/>
      <c r="I22" t="s"/>
      <c r="J22" t="n">
        <v>0</v>
      </c>
      <c r="K22" t="n">
        <v>0</v>
      </c>
      <c r="L22" t="n">
        <v>1</v>
      </c>
      <c r="M22" t="n">
        <v>0</v>
      </c>
    </row>
    <row r="23" spans="1:13">
      <c r="A23" s="1">
        <f>HYPERLINK("http://www.twitter.com/NathanBLawrence/status/998778821884235776", "998778821884235776")</f>
        <v/>
      </c>
      <c r="B23" s="2" t="n">
        <v>43242.17594907407</v>
      </c>
      <c r="C23" t="n">
        <v>0</v>
      </c>
      <c r="D23" t="n">
        <v>6</v>
      </c>
      <c r="E23" t="s">
        <v>34</v>
      </c>
      <c r="F23">
        <f>HYPERLINK("http://pbs.twimg.com/media/DdxfdiPUQAA7D_T.jpg", "http://pbs.twimg.com/media/DdxfdiPUQAA7D_T.jpg")</f>
        <v/>
      </c>
      <c r="G23" t="s"/>
      <c r="H23" t="s"/>
      <c r="I23" t="s"/>
      <c r="J23" t="n">
        <v>0</v>
      </c>
      <c r="K23" t="n">
        <v>0</v>
      </c>
      <c r="L23" t="n">
        <v>1</v>
      </c>
      <c r="M23" t="n">
        <v>0</v>
      </c>
    </row>
    <row r="24" spans="1:13">
      <c r="A24" s="1">
        <f>HYPERLINK("http://www.twitter.com/NathanBLawrence/status/998762946242252800", "998762946242252800")</f>
        <v/>
      </c>
      <c r="B24" s="2" t="n">
        <v>43242.13214120371</v>
      </c>
      <c r="C24" t="n">
        <v>0</v>
      </c>
      <c r="D24" t="n">
        <v>14</v>
      </c>
      <c r="E24" t="s">
        <v>35</v>
      </c>
      <c r="F24">
        <f>HYPERLINK("http://pbs.twimg.com/media/DdwkJc-U8AEXWTi.jpg", "http://pbs.twimg.com/media/DdwkJc-U8AEXWTi.jpg")</f>
        <v/>
      </c>
      <c r="G24" t="s"/>
      <c r="H24" t="s"/>
      <c r="I24" t="s"/>
      <c r="J24" t="n">
        <v>0.4926</v>
      </c>
      <c r="K24" t="n">
        <v>0</v>
      </c>
      <c r="L24" t="n">
        <v>0.825</v>
      </c>
      <c r="M24" t="n">
        <v>0.175</v>
      </c>
    </row>
    <row r="25" spans="1:13">
      <c r="A25" s="1">
        <f>HYPERLINK("http://www.twitter.com/NathanBLawrence/status/998746382918934528", "998746382918934528")</f>
        <v/>
      </c>
      <c r="B25" s="2" t="n">
        <v>43242.08643518519</v>
      </c>
      <c r="C25" t="n">
        <v>3</v>
      </c>
      <c r="D25" t="n">
        <v>2</v>
      </c>
      <c r="E25" t="s">
        <v>36</v>
      </c>
      <c r="F25" t="s"/>
      <c r="G25" t="s"/>
      <c r="H25" t="s"/>
      <c r="I25" t="s"/>
      <c r="J25" t="n">
        <v>0.3769</v>
      </c>
      <c r="K25" t="n">
        <v>0.08599999999999999</v>
      </c>
      <c r="L25" t="n">
        <v>0.716</v>
      </c>
      <c r="M25" t="n">
        <v>0.199</v>
      </c>
    </row>
    <row r="26" spans="1:13">
      <c r="A26" s="1">
        <f>HYPERLINK("http://www.twitter.com/NathanBLawrence/status/998740482372063232", "998740482372063232")</f>
        <v/>
      </c>
      <c r="B26" s="2" t="n">
        <v>43242.07015046296</v>
      </c>
      <c r="C26" t="n">
        <v>2</v>
      </c>
      <c r="D26" t="n">
        <v>0</v>
      </c>
      <c r="E26" t="s">
        <v>37</v>
      </c>
      <c r="F26" t="s"/>
      <c r="G26" t="s"/>
      <c r="H26" t="s"/>
      <c r="I26" t="s"/>
      <c r="J26" t="n">
        <v>0.8519</v>
      </c>
      <c r="K26" t="n">
        <v>0.077</v>
      </c>
      <c r="L26" t="n">
        <v>0.617</v>
      </c>
      <c r="M26" t="n">
        <v>0.306</v>
      </c>
    </row>
    <row r="27" spans="1:13">
      <c r="A27" s="1">
        <f>HYPERLINK("http://www.twitter.com/NathanBLawrence/status/998735132289916928", "998735132289916928")</f>
        <v/>
      </c>
      <c r="B27" s="2" t="n">
        <v>43242.05538194445</v>
      </c>
      <c r="C27" t="n">
        <v>0</v>
      </c>
      <c r="D27" t="n">
        <v>261</v>
      </c>
      <c r="E27" t="s">
        <v>38</v>
      </c>
      <c r="F27">
        <f>HYPERLINK("http://pbs.twimg.com/media/DdwvM-TVAAEaRCl.jpg", "http://pbs.twimg.com/media/DdwvM-TVAAEaRCl.jpg")</f>
        <v/>
      </c>
      <c r="G27" t="s"/>
      <c r="H27" t="s"/>
      <c r="I27" t="s"/>
      <c r="J27" t="n">
        <v>0.8883</v>
      </c>
      <c r="K27" t="n">
        <v>0</v>
      </c>
      <c r="L27" t="n">
        <v>0.657</v>
      </c>
      <c r="M27" t="n">
        <v>0.343</v>
      </c>
    </row>
    <row r="28" spans="1:13">
      <c r="A28" s="1">
        <f>HYPERLINK("http://www.twitter.com/NathanBLawrence/status/998711997079441408", "998711997079441408")</f>
        <v/>
      </c>
      <c r="B28" s="2" t="n">
        <v>43241.99153935185</v>
      </c>
      <c r="C28" t="n">
        <v>0</v>
      </c>
      <c r="D28" t="n">
        <v>15</v>
      </c>
      <c r="E28" t="s">
        <v>39</v>
      </c>
      <c r="F28" t="s"/>
      <c r="G28" t="s"/>
      <c r="H28" t="s"/>
      <c r="I28" t="s"/>
      <c r="J28" t="n">
        <v>0</v>
      </c>
      <c r="K28" t="n">
        <v>0</v>
      </c>
      <c r="L28" t="n">
        <v>1</v>
      </c>
      <c r="M28" t="n">
        <v>0</v>
      </c>
    </row>
    <row r="29" spans="1:13">
      <c r="A29" s="1">
        <f>HYPERLINK("http://www.twitter.com/NathanBLawrence/status/998711841424592896", "998711841424592896")</f>
        <v/>
      </c>
      <c r="B29" s="2" t="n">
        <v>43241.99111111111</v>
      </c>
      <c r="C29" t="n">
        <v>0</v>
      </c>
      <c r="D29" t="n">
        <v>1</v>
      </c>
      <c r="E29" t="s">
        <v>40</v>
      </c>
      <c r="F29" t="s"/>
      <c r="G29" t="s"/>
      <c r="H29" t="s"/>
      <c r="I29" t="s"/>
      <c r="J29" t="n">
        <v>0.3773</v>
      </c>
      <c r="K29" t="n">
        <v>0.076</v>
      </c>
      <c r="L29" t="n">
        <v>0.749</v>
      </c>
      <c r="M29" t="n">
        <v>0.175</v>
      </c>
    </row>
    <row r="30" spans="1:13">
      <c r="A30" s="1">
        <f>HYPERLINK("http://www.twitter.com/NathanBLawrence/status/998708824419815425", "998708824419815425")</f>
        <v/>
      </c>
      <c r="B30" s="2" t="n">
        <v>43241.98278935185</v>
      </c>
      <c r="C30" t="n">
        <v>2</v>
      </c>
      <c r="D30" t="n">
        <v>0</v>
      </c>
      <c r="E30" t="s">
        <v>41</v>
      </c>
      <c r="F30" t="s"/>
      <c r="G30" t="s"/>
      <c r="H30" t="s"/>
      <c r="I30" t="s"/>
      <c r="J30" t="n">
        <v>-0.4215</v>
      </c>
      <c r="K30" t="n">
        <v>0.061</v>
      </c>
      <c r="L30" t="n">
        <v>0.9389999999999999</v>
      </c>
      <c r="M30" t="n">
        <v>0</v>
      </c>
    </row>
    <row r="31" spans="1:13">
      <c r="A31" s="1">
        <f>HYPERLINK("http://www.twitter.com/NathanBLawrence/status/998707989245808640", "998707989245808640")</f>
        <v/>
      </c>
      <c r="B31" s="2" t="n">
        <v>43241.98048611111</v>
      </c>
      <c r="C31" t="n">
        <v>0</v>
      </c>
      <c r="D31" t="n">
        <v>1919</v>
      </c>
      <c r="E31" t="s">
        <v>42</v>
      </c>
      <c r="F31" t="s"/>
      <c r="G31" t="s"/>
      <c r="H31" t="s"/>
      <c r="I31" t="s"/>
      <c r="J31" t="n">
        <v>0</v>
      </c>
      <c r="K31" t="n">
        <v>0</v>
      </c>
      <c r="L31" t="n">
        <v>1</v>
      </c>
      <c r="M31" t="n">
        <v>0</v>
      </c>
    </row>
    <row r="32" spans="1:13">
      <c r="A32" s="1">
        <f>HYPERLINK("http://www.twitter.com/NathanBLawrence/status/998707143560912896", "998707143560912896")</f>
        <v/>
      </c>
      <c r="B32" s="2" t="n">
        <v>43241.97814814815</v>
      </c>
      <c r="C32" t="n">
        <v>0</v>
      </c>
      <c r="D32" t="n">
        <v>2</v>
      </c>
      <c r="E32" t="s">
        <v>43</v>
      </c>
      <c r="F32" t="s"/>
      <c r="G32" t="s"/>
      <c r="H32" t="s"/>
      <c r="I32" t="s"/>
      <c r="J32" t="n">
        <v>-0.128</v>
      </c>
      <c r="K32" t="n">
        <v>0.176</v>
      </c>
      <c r="L32" t="n">
        <v>0.711</v>
      </c>
      <c r="M32" t="n">
        <v>0.113</v>
      </c>
    </row>
    <row r="33" spans="1:13">
      <c r="A33" s="1">
        <f>HYPERLINK("http://www.twitter.com/NathanBLawrence/status/998707099017338880", "998707099017338880")</f>
        <v/>
      </c>
      <c r="B33" s="2" t="n">
        <v>43241.97803240741</v>
      </c>
      <c r="C33" t="n">
        <v>0</v>
      </c>
      <c r="D33" t="n">
        <v>40</v>
      </c>
      <c r="E33" t="s">
        <v>44</v>
      </c>
      <c r="F33">
        <f>HYPERLINK("http://pbs.twimg.com/media/DdrEA9nUwAIAGhL.jpg", "http://pbs.twimg.com/media/DdrEA9nUwAIAGhL.jpg")</f>
        <v/>
      </c>
      <c r="G33" t="s"/>
      <c r="H33" t="s"/>
      <c r="I33" t="s"/>
      <c r="J33" t="n">
        <v>0.6369</v>
      </c>
      <c r="K33" t="n">
        <v>0</v>
      </c>
      <c r="L33" t="n">
        <v>0.488</v>
      </c>
      <c r="M33" t="n">
        <v>0.512</v>
      </c>
    </row>
    <row r="34" spans="1:13">
      <c r="A34" s="1">
        <f>HYPERLINK("http://www.twitter.com/NathanBLawrence/status/998707044013273088", "998707044013273088")</f>
        <v/>
      </c>
      <c r="B34" s="2" t="n">
        <v>43241.97788194445</v>
      </c>
      <c r="C34" t="n">
        <v>0</v>
      </c>
      <c r="D34" t="n">
        <v>3635</v>
      </c>
      <c r="E34" t="s">
        <v>45</v>
      </c>
      <c r="F34" t="s"/>
      <c r="G34" t="s"/>
      <c r="H34" t="s"/>
      <c r="I34" t="s"/>
      <c r="J34" t="n">
        <v>-0.6369</v>
      </c>
      <c r="K34" t="n">
        <v>0.198</v>
      </c>
      <c r="L34" t="n">
        <v>0.802</v>
      </c>
      <c r="M34" t="n">
        <v>0</v>
      </c>
    </row>
    <row r="35" spans="1:13">
      <c r="A35" s="1">
        <f>HYPERLINK("http://www.twitter.com/NathanBLawrence/status/998706970738810881", "998706970738810881")</f>
        <v/>
      </c>
      <c r="B35" s="2" t="n">
        <v>43241.97767361111</v>
      </c>
      <c r="C35" t="n">
        <v>0</v>
      </c>
      <c r="D35" t="n">
        <v>75</v>
      </c>
      <c r="E35" t="s">
        <v>46</v>
      </c>
      <c r="F35" t="s"/>
      <c r="G35" t="s"/>
      <c r="H35" t="s"/>
      <c r="I35" t="s"/>
      <c r="J35" t="n">
        <v>0.3612</v>
      </c>
      <c r="K35" t="n">
        <v>0</v>
      </c>
      <c r="L35" t="n">
        <v>0.889</v>
      </c>
      <c r="M35" t="n">
        <v>0.111</v>
      </c>
    </row>
    <row r="36" spans="1:13">
      <c r="A36" s="1">
        <f>HYPERLINK("http://www.twitter.com/NathanBLawrence/status/998706924131627008", "998706924131627008")</f>
        <v/>
      </c>
      <c r="B36" s="2" t="n">
        <v>43241.97754629629</v>
      </c>
      <c r="C36" t="n">
        <v>0</v>
      </c>
      <c r="D36" t="n">
        <v>234</v>
      </c>
      <c r="E36" t="s">
        <v>47</v>
      </c>
      <c r="F36">
        <f>HYPERLINK("http://pbs.twimg.com/media/Ddv5bILUwAA1hcc.jpg", "http://pbs.twimg.com/media/Ddv5bILUwAA1hcc.jpg")</f>
        <v/>
      </c>
      <c r="G36" t="s"/>
      <c r="H36" t="s"/>
      <c r="I36" t="s"/>
      <c r="J36" t="n">
        <v>-0.4278</v>
      </c>
      <c r="K36" t="n">
        <v>0.13</v>
      </c>
      <c r="L36" t="n">
        <v>0.87</v>
      </c>
      <c r="M36" t="n">
        <v>0</v>
      </c>
    </row>
    <row r="37" spans="1:13">
      <c r="A37" s="1">
        <f>HYPERLINK("http://www.twitter.com/NathanBLawrence/status/998692519973146624", "998692519973146624")</f>
        <v/>
      </c>
      <c r="B37" s="2" t="n">
        <v>43241.93780092592</v>
      </c>
      <c r="C37" t="n">
        <v>1</v>
      </c>
      <c r="D37" t="n">
        <v>0</v>
      </c>
      <c r="E37" t="s">
        <v>48</v>
      </c>
      <c r="F37" t="s"/>
      <c r="G37" t="s"/>
      <c r="H37" t="s"/>
      <c r="I37" t="s"/>
      <c r="J37" t="n">
        <v>0.3612</v>
      </c>
      <c r="K37" t="n">
        <v>0</v>
      </c>
      <c r="L37" t="n">
        <v>0.783</v>
      </c>
      <c r="M37" t="n">
        <v>0.217</v>
      </c>
    </row>
    <row r="38" spans="1:13">
      <c r="A38" s="1">
        <f>HYPERLINK("http://www.twitter.com/NathanBLawrence/status/998692441329987584", "998692441329987584")</f>
        <v/>
      </c>
      <c r="B38" s="2" t="n">
        <v>43241.93758101852</v>
      </c>
      <c r="C38" t="n">
        <v>0</v>
      </c>
      <c r="D38" t="n">
        <v>2</v>
      </c>
      <c r="E38" t="s">
        <v>49</v>
      </c>
      <c r="F38" t="s"/>
      <c r="G38" t="s"/>
      <c r="H38" t="s"/>
      <c r="I38" t="s"/>
      <c r="J38" t="n">
        <v>0</v>
      </c>
      <c r="K38" t="n">
        <v>0</v>
      </c>
      <c r="L38" t="n">
        <v>1</v>
      </c>
      <c r="M38" t="n">
        <v>0</v>
      </c>
    </row>
    <row r="39" spans="1:13">
      <c r="A39" s="1">
        <f>HYPERLINK("http://www.twitter.com/NathanBLawrence/status/998674905888690176", "998674905888690176")</f>
        <v/>
      </c>
      <c r="B39" s="2" t="n">
        <v>43241.88918981481</v>
      </c>
      <c r="C39" t="n">
        <v>8</v>
      </c>
      <c r="D39" t="n">
        <v>7</v>
      </c>
      <c r="E39" t="s">
        <v>50</v>
      </c>
      <c r="F39" t="s"/>
      <c r="G39" t="s"/>
      <c r="H39" t="s"/>
      <c r="I39" t="s"/>
      <c r="J39" t="n">
        <v>0.552</v>
      </c>
      <c r="K39" t="n">
        <v>0</v>
      </c>
      <c r="L39" t="n">
        <v>0.754</v>
      </c>
      <c r="M39" t="n">
        <v>0.246</v>
      </c>
    </row>
    <row r="40" spans="1:13">
      <c r="A40" s="1">
        <f>HYPERLINK("http://www.twitter.com/NathanBLawrence/status/998674451838488576", "998674451838488576")</f>
        <v/>
      </c>
      <c r="B40" s="2" t="n">
        <v>43241.88793981481</v>
      </c>
      <c r="C40" t="n">
        <v>0</v>
      </c>
      <c r="D40" t="n">
        <v>8</v>
      </c>
      <c r="E40" t="s">
        <v>51</v>
      </c>
      <c r="F40">
        <f>HYPERLINK("https://video.twimg.com/ext_tw_video/998672720039587840/pu/vid/1280x720/Lv_iGIeT_2X-XBPy.mp4?tag=3", "https://video.twimg.com/ext_tw_video/998672720039587840/pu/vid/1280x720/Lv_iGIeT_2X-XBPy.mp4?tag=3")</f>
        <v/>
      </c>
      <c r="G40" t="s"/>
      <c r="H40" t="s"/>
      <c r="I40" t="s"/>
      <c r="J40" t="n">
        <v>0</v>
      </c>
      <c r="K40" t="n">
        <v>0</v>
      </c>
      <c r="L40" t="n">
        <v>1</v>
      </c>
      <c r="M40" t="n">
        <v>0</v>
      </c>
    </row>
    <row r="41" spans="1:13">
      <c r="A41" s="1">
        <f>HYPERLINK("http://www.twitter.com/NathanBLawrence/status/998673681915269125", "998673681915269125")</f>
        <v/>
      </c>
      <c r="B41" s="2" t="n">
        <v>43241.88581018519</v>
      </c>
      <c r="C41" t="n">
        <v>0</v>
      </c>
      <c r="D41" t="n">
        <v>4</v>
      </c>
      <c r="E41" t="s">
        <v>52</v>
      </c>
      <c r="F41" t="s"/>
      <c r="G41" t="s"/>
      <c r="H41" t="s"/>
      <c r="I41" t="s"/>
      <c r="J41" t="n">
        <v>0.4574</v>
      </c>
      <c r="K41" t="n">
        <v>0</v>
      </c>
      <c r="L41" t="n">
        <v>0.87</v>
      </c>
      <c r="M41" t="n">
        <v>0.13</v>
      </c>
    </row>
    <row r="42" spans="1:13">
      <c r="A42" s="1">
        <f>HYPERLINK("http://www.twitter.com/NathanBLawrence/status/998673663254843394", "998673663254843394")</f>
        <v/>
      </c>
      <c r="B42" s="2" t="n">
        <v>43241.88576388889</v>
      </c>
      <c r="C42" t="n">
        <v>0</v>
      </c>
      <c r="D42" t="n">
        <v>13</v>
      </c>
      <c r="E42" t="s">
        <v>53</v>
      </c>
      <c r="F42">
        <f>HYPERLINK("http://pbs.twimg.com/media/DdpT8NTVMAYVIUl.jpg", "http://pbs.twimg.com/media/DdpT8NTVMAYVIUl.jpg")</f>
        <v/>
      </c>
      <c r="G42" t="s"/>
      <c r="H42" t="s"/>
      <c r="I42" t="s"/>
      <c r="J42" t="n">
        <v>0.5266999999999999</v>
      </c>
      <c r="K42" t="n">
        <v>0</v>
      </c>
      <c r="L42" t="n">
        <v>0.827</v>
      </c>
      <c r="M42" t="n">
        <v>0.173</v>
      </c>
    </row>
    <row r="43" spans="1:13">
      <c r="A43" s="1">
        <f>HYPERLINK("http://www.twitter.com/NathanBLawrence/status/998673616945471489", "998673616945471489")</f>
        <v/>
      </c>
      <c r="B43" s="2" t="n">
        <v>43241.88563657407</v>
      </c>
      <c r="C43" t="n">
        <v>0</v>
      </c>
      <c r="D43" t="n">
        <v>10</v>
      </c>
      <c r="E43" t="s">
        <v>54</v>
      </c>
      <c r="F43" t="s"/>
      <c r="G43" t="s"/>
      <c r="H43" t="s"/>
      <c r="I43" t="s"/>
      <c r="J43" t="n">
        <v>0</v>
      </c>
      <c r="K43" t="n">
        <v>0</v>
      </c>
      <c r="L43" t="n">
        <v>1</v>
      </c>
      <c r="M43" t="n">
        <v>0</v>
      </c>
    </row>
    <row r="44" spans="1:13">
      <c r="A44" s="1">
        <f>HYPERLINK("http://www.twitter.com/NathanBLawrence/status/998673586016735232", "998673586016735232")</f>
        <v/>
      </c>
      <c r="B44" s="2" t="n">
        <v>43241.88555555556</v>
      </c>
      <c r="C44" t="n">
        <v>0</v>
      </c>
      <c r="D44" t="n">
        <v>5</v>
      </c>
      <c r="E44" t="s">
        <v>55</v>
      </c>
      <c r="F44" t="s"/>
      <c r="G44" t="s"/>
      <c r="H44" t="s"/>
      <c r="I44" t="s"/>
      <c r="J44" t="n">
        <v>0.3237</v>
      </c>
      <c r="K44" t="n">
        <v>0</v>
      </c>
      <c r="L44" t="n">
        <v>0.6830000000000001</v>
      </c>
      <c r="M44" t="n">
        <v>0.317</v>
      </c>
    </row>
    <row r="45" spans="1:13">
      <c r="A45" s="1">
        <f>HYPERLINK("http://www.twitter.com/NathanBLawrence/status/998673548066611201", "998673548066611201")</f>
        <v/>
      </c>
      <c r="B45" s="2" t="n">
        <v>43241.88543981482</v>
      </c>
      <c r="C45" t="n">
        <v>0</v>
      </c>
      <c r="D45" t="n">
        <v>9</v>
      </c>
      <c r="E45" t="s">
        <v>56</v>
      </c>
      <c r="F45">
        <f>HYPERLINK("http://pbs.twimg.com/media/Ddqf8yCV0AA3qqY.jpg", "http://pbs.twimg.com/media/Ddqf8yCV0AA3qqY.jpg")</f>
        <v/>
      </c>
      <c r="G45" t="s"/>
      <c r="H45" t="s"/>
      <c r="I45" t="s"/>
      <c r="J45" t="n">
        <v>-0.2732</v>
      </c>
      <c r="K45" t="n">
        <v>0.139</v>
      </c>
      <c r="L45" t="n">
        <v>0.861</v>
      </c>
      <c r="M45" t="n">
        <v>0</v>
      </c>
    </row>
    <row r="46" spans="1:13">
      <c r="A46" s="1">
        <f>HYPERLINK("http://www.twitter.com/NathanBLawrence/status/998673424296931329", "998673424296931329")</f>
        <v/>
      </c>
      <c r="B46" s="2" t="n">
        <v>43241.88510416666</v>
      </c>
      <c r="C46" t="n">
        <v>0</v>
      </c>
      <c r="D46" t="n">
        <v>4</v>
      </c>
      <c r="E46" t="s">
        <v>57</v>
      </c>
      <c r="F46">
        <f>HYPERLINK("http://pbs.twimg.com/media/Ddq6iOqVwAAbTMn.jpg", "http://pbs.twimg.com/media/Ddq6iOqVwAAbTMn.jpg")</f>
        <v/>
      </c>
      <c r="G46" t="s"/>
      <c r="H46" t="s"/>
      <c r="I46" t="s"/>
      <c r="J46" t="n">
        <v>0</v>
      </c>
      <c r="K46" t="n">
        <v>0</v>
      </c>
      <c r="L46" t="n">
        <v>1</v>
      </c>
      <c r="M46" t="n">
        <v>0</v>
      </c>
    </row>
    <row r="47" spans="1:13">
      <c r="A47" s="1">
        <f>HYPERLINK("http://www.twitter.com/NathanBLawrence/status/998673398699057158", "998673398699057158")</f>
        <v/>
      </c>
      <c r="B47" s="2" t="n">
        <v>43241.88503472223</v>
      </c>
      <c r="C47" t="n">
        <v>0</v>
      </c>
      <c r="D47" t="n">
        <v>3</v>
      </c>
      <c r="E47" t="s">
        <v>58</v>
      </c>
      <c r="F47">
        <f>HYPERLINK("http://pbs.twimg.com/media/DdrcCcMVwAAXipi.jpg", "http://pbs.twimg.com/media/DdrcCcMVwAAXipi.jpg")</f>
        <v/>
      </c>
      <c r="G47" t="s"/>
      <c r="H47" t="s"/>
      <c r="I47" t="s"/>
      <c r="J47" t="n">
        <v>0</v>
      </c>
      <c r="K47" t="n">
        <v>0</v>
      </c>
      <c r="L47" t="n">
        <v>1</v>
      </c>
      <c r="M47" t="n">
        <v>0</v>
      </c>
    </row>
    <row r="48" spans="1:13">
      <c r="A48" s="1">
        <f>HYPERLINK("http://www.twitter.com/NathanBLawrence/status/998673331942559747", "998673331942559747")</f>
        <v/>
      </c>
      <c r="B48" s="2" t="n">
        <v>43241.88484953704</v>
      </c>
      <c r="C48" t="n">
        <v>0</v>
      </c>
      <c r="D48" t="n">
        <v>4</v>
      </c>
      <c r="E48" t="s">
        <v>59</v>
      </c>
      <c r="F48" t="s"/>
      <c r="G48" t="s"/>
      <c r="H48" t="s"/>
      <c r="I48" t="s"/>
      <c r="J48" t="n">
        <v>0</v>
      </c>
      <c r="K48" t="n">
        <v>0</v>
      </c>
      <c r="L48" t="n">
        <v>1</v>
      </c>
      <c r="M48" t="n">
        <v>0</v>
      </c>
    </row>
    <row r="49" spans="1:13">
      <c r="A49" s="1">
        <f>HYPERLINK("http://www.twitter.com/NathanBLawrence/status/998673297016545281", "998673297016545281")</f>
        <v/>
      </c>
      <c r="B49" s="2" t="n">
        <v>43241.88475694445</v>
      </c>
      <c r="C49" t="n">
        <v>0</v>
      </c>
      <c r="D49" t="n">
        <v>6</v>
      </c>
      <c r="E49" t="s">
        <v>60</v>
      </c>
      <c r="F49" t="s"/>
      <c r="G49" t="s"/>
      <c r="H49" t="s"/>
      <c r="I49" t="s"/>
      <c r="J49" t="n">
        <v>0.6588000000000001</v>
      </c>
      <c r="K49" t="n">
        <v>0</v>
      </c>
      <c r="L49" t="n">
        <v>0.82</v>
      </c>
      <c r="M49" t="n">
        <v>0.18</v>
      </c>
    </row>
    <row r="50" spans="1:13">
      <c r="A50" s="1">
        <f>HYPERLINK("http://www.twitter.com/NathanBLawrence/status/998673238371774464", "998673238371774464")</f>
        <v/>
      </c>
      <c r="B50" s="2" t="n">
        <v>43241.88459490741</v>
      </c>
      <c r="C50" t="n">
        <v>0</v>
      </c>
      <c r="D50" t="n">
        <v>13</v>
      </c>
      <c r="E50" t="s">
        <v>61</v>
      </c>
      <c r="F50" t="s"/>
      <c r="G50" t="s"/>
      <c r="H50" t="s"/>
      <c r="I50" t="s"/>
      <c r="J50" t="n">
        <v>-0.0772</v>
      </c>
      <c r="K50" t="n">
        <v>0.056</v>
      </c>
      <c r="L50" t="n">
        <v>0.944</v>
      </c>
      <c r="M50" t="n">
        <v>0</v>
      </c>
    </row>
    <row r="51" spans="1:13">
      <c r="A51" s="1">
        <f>HYPERLINK("http://www.twitter.com/NathanBLawrence/status/998673182033960966", "998673182033960966")</f>
        <v/>
      </c>
      <c r="B51" s="2" t="n">
        <v>43241.88443287037</v>
      </c>
      <c r="C51" t="n">
        <v>8</v>
      </c>
      <c r="D51" t="n">
        <v>8</v>
      </c>
      <c r="E51" t="s">
        <v>62</v>
      </c>
      <c r="F51">
        <f>HYPERLINK("https://video.twimg.com/ext_tw_video/998672720039587840/pu/vid/1280x720/Lv_iGIeT_2X-XBPy.mp4?tag=3", "https://video.twimg.com/ext_tw_video/998672720039587840/pu/vid/1280x720/Lv_iGIeT_2X-XBPy.mp4?tag=3")</f>
        <v/>
      </c>
      <c r="G51" t="s"/>
      <c r="H51" t="s"/>
      <c r="I51" t="s"/>
      <c r="J51" t="n">
        <v>0</v>
      </c>
      <c r="K51" t="n">
        <v>0</v>
      </c>
      <c r="L51" t="n">
        <v>1</v>
      </c>
      <c r="M51" t="n">
        <v>0</v>
      </c>
    </row>
    <row r="52" spans="1:13">
      <c r="A52" s="1">
        <f>HYPERLINK("http://www.twitter.com/NathanBLawrence/status/998673118431412226", "998673118431412226")</f>
        <v/>
      </c>
      <c r="B52" s="2" t="n">
        <v>43241.88425925926</v>
      </c>
      <c r="C52" t="n">
        <v>0</v>
      </c>
      <c r="D52" t="n">
        <v>20</v>
      </c>
      <c r="E52" t="s">
        <v>63</v>
      </c>
      <c r="F52" t="s"/>
      <c r="G52" t="s"/>
      <c r="H52" t="s"/>
      <c r="I52" t="s"/>
      <c r="J52" t="n">
        <v>-0.2942</v>
      </c>
      <c r="K52" t="n">
        <v>0.103</v>
      </c>
      <c r="L52" t="n">
        <v>0.897</v>
      </c>
      <c r="M52" t="n">
        <v>0</v>
      </c>
    </row>
    <row r="53" spans="1:13">
      <c r="A53" s="1">
        <f>HYPERLINK("http://www.twitter.com/NathanBLawrence/status/998673057861513216", "998673057861513216")</f>
        <v/>
      </c>
      <c r="B53" s="2" t="n">
        <v>43241.88409722222</v>
      </c>
      <c r="C53" t="n">
        <v>0</v>
      </c>
      <c r="D53" t="n">
        <v>14</v>
      </c>
      <c r="E53" t="s">
        <v>64</v>
      </c>
      <c r="F53">
        <f>HYPERLINK("http://pbs.twimg.com/media/Ddv-dINU8AATRuf.jpg", "http://pbs.twimg.com/media/Ddv-dINU8AATRuf.jpg")</f>
        <v/>
      </c>
      <c r="G53" t="s"/>
      <c r="H53" t="s"/>
      <c r="I53" t="s"/>
      <c r="J53" t="n">
        <v>0</v>
      </c>
      <c r="K53" t="n">
        <v>0</v>
      </c>
      <c r="L53" t="n">
        <v>1</v>
      </c>
      <c r="M53" t="n">
        <v>0</v>
      </c>
    </row>
    <row r="54" spans="1:13">
      <c r="A54" s="1">
        <f>HYPERLINK("http://www.twitter.com/NathanBLawrence/status/998673046859853826", "998673046859853826")</f>
        <v/>
      </c>
      <c r="B54" s="2" t="n">
        <v>43241.8840625</v>
      </c>
      <c r="C54" t="n">
        <v>0</v>
      </c>
      <c r="D54" t="n">
        <v>17</v>
      </c>
      <c r="E54" t="s">
        <v>65</v>
      </c>
      <c r="F54">
        <f>HYPERLINK("http://pbs.twimg.com/media/Ddv-EyJVwAElQ3O.jpg", "http://pbs.twimg.com/media/Ddv-EyJVwAElQ3O.jpg")</f>
        <v/>
      </c>
      <c r="G54" t="s"/>
      <c r="H54" t="s"/>
      <c r="I54" t="s"/>
      <c r="J54" t="n">
        <v>0</v>
      </c>
      <c r="K54" t="n">
        <v>0</v>
      </c>
      <c r="L54" t="n">
        <v>1</v>
      </c>
      <c r="M54" t="n">
        <v>0</v>
      </c>
    </row>
    <row r="55" spans="1:13">
      <c r="A55" s="1">
        <f>HYPERLINK("http://www.twitter.com/NathanBLawrence/status/998673032255299584", "998673032255299584")</f>
        <v/>
      </c>
      <c r="B55" s="2" t="n">
        <v>43241.8840162037</v>
      </c>
      <c r="C55" t="n">
        <v>0</v>
      </c>
      <c r="D55" t="n">
        <v>30</v>
      </c>
      <c r="E55" t="s">
        <v>66</v>
      </c>
      <c r="F55">
        <f>HYPERLINK("http://pbs.twimg.com/media/Ddv9eiIVQAEPoTS.jpg", "http://pbs.twimg.com/media/Ddv9eiIVQAEPoTS.jpg")</f>
        <v/>
      </c>
      <c r="G55" t="s"/>
      <c r="H55" t="s"/>
      <c r="I55" t="s"/>
      <c r="J55" t="n">
        <v>0</v>
      </c>
      <c r="K55" t="n">
        <v>0</v>
      </c>
      <c r="L55" t="n">
        <v>1</v>
      </c>
      <c r="M55" t="n">
        <v>0</v>
      </c>
    </row>
    <row r="56" spans="1:13">
      <c r="A56" s="1">
        <f>HYPERLINK("http://www.twitter.com/NathanBLawrence/status/998672576191885312", "998672576191885312")</f>
        <v/>
      </c>
      <c r="B56" s="2" t="n">
        <v>43241.8827662037</v>
      </c>
      <c r="C56" t="n">
        <v>0</v>
      </c>
      <c r="D56" t="n">
        <v>431</v>
      </c>
      <c r="E56" t="s">
        <v>67</v>
      </c>
      <c r="F56" t="s"/>
      <c r="G56" t="s"/>
      <c r="H56" t="s"/>
      <c r="I56" t="s"/>
      <c r="J56" t="n">
        <v>0</v>
      </c>
      <c r="K56" t="n">
        <v>0</v>
      </c>
      <c r="L56" t="n">
        <v>1</v>
      </c>
      <c r="M56" t="n">
        <v>0</v>
      </c>
    </row>
    <row r="57" spans="1:13">
      <c r="A57" s="1">
        <f>HYPERLINK("http://www.twitter.com/NathanBLawrence/status/998672389289447424", "998672389289447424")</f>
        <v/>
      </c>
      <c r="B57" s="2" t="n">
        <v>43241.88224537037</v>
      </c>
      <c r="C57" t="n">
        <v>0</v>
      </c>
      <c r="D57" t="n">
        <v>76</v>
      </c>
      <c r="E57" t="s">
        <v>68</v>
      </c>
      <c r="F57">
        <f>HYPERLINK("http://pbs.twimg.com/media/Ddv6kc-VQAAfl5K.jpg", "http://pbs.twimg.com/media/Ddv6kc-VQAAfl5K.jpg")</f>
        <v/>
      </c>
      <c r="G57">
        <f>HYPERLINK("http://pbs.twimg.com/media/Ddv6lxoV0AA7jeT.jpg", "http://pbs.twimg.com/media/Ddv6lxoV0AA7jeT.jpg")</f>
        <v/>
      </c>
      <c r="H57">
        <f>HYPERLINK("http://pbs.twimg.com/media/Ddv6mVDVMAEItr4.jpg", "http://pbs.twimg.com/media/Ddv6mVDVMAEItr4.jpg")</f>
        <v/>
      </c>
      <c r="I57">
        <f>HYPERLINK("http://pbs.twimg.com/media/Ddv6mzZUwAAW3lm.jpg", "http://pbs.twimg.com/media/Ddv6mzZUwAAW3lm.jpg")</f>
        <v/>
      </c>
      <c r="J57" t="n">
        <v>0</v>
      </c>
      <c r="K57" t="n">
        <v>0</v>
      </c>
      <c r="L57" t="n">
        <v>1</v>
      </c>
      <c r="M57" t="n">
        <v>0</v>
      </c>
    </row>
    <row r="58" spans="1:13">
      <c r="A58" s="1">
        <f>HYPERLINK("http://www.twitter.com/NathanBLawrence/status/998672196154396672", "998672196154396672")</f>
        <v/>
      </c>
      <c r="B58" s="2" t="n">
        <v>43241.88171296296</v>
      </c>
      <c r="C58" t="n">
        <v>0</v>
      </c>
      <c r="D58" t="n">
        <v>10</v>
      </c>
      <c r="E58" t="s">
        <v>69</v>
      </c>
      <c r="F58" t="s"/>
      <c r="G58" t="s"/>
      <c r="H58" t="s"/>
      <c r="I58" t="s"/>
      <c r="J58" t="n">
        <v>0.6808</v>
      </c>
      <c r="K58" t="n">
        <v>0</v>
      </c>
      <c r="L58" t="n">
        <v>0.752</v>
      </c>
      <c r="M58" t="n">
        <v>0.248</v>
      </c>
    </row>
    <row r="59" spans="1:13">
      <c r="A59" s="1">
        <f>HYPERLINK("http://www.twitter.com/NathanBLawrence/status/998672059139010561", "998672059139010561")</f>
        <v/>
      </c>
      <c r="B59" s="2" t="n">
        <v>43241.88133101852</v>
      </c>
      <c r="C59" t="n">
        <v>0</v>
      </c>
      <c r="D59" t="n">
        <v>13</v>
      </c>
      <c r="E59" t="s">
        <v>70</v>
      </c>
      <c r="F59">
        <f>HYPERLINK("http://pbs.twimg.com/media/Ddv-sk4UwAAEJro.jpg", "http://pbs.twimg.com/media/Ddv-sk4UwAAEJro.jpg")</f>
        <v/>
      </c>
      <c r="G59" t="s"/>
      <c r="H59" t="s"/>
      <c r="I59" t="s"/>
      <c r="J59" t="n">
        <v>0</v>
      </c>
      <c r="K59" t="n">
        <v>0</v>
      </c>
      <c r="L59" t="n">
        <v>1</v>
      </c>
      <c r="M59" t="n">
        <v>0</v>
      </c>
    </row>
    <row r="60" spans="1:13">
      <c r="A60" s="1">
        <f>HYPERLINK("http://www.twitter.com/NathanBLawrence/status/998672046874943495", "998672046874943495")</f>
        <v/>
      </c>
      <c r="B60" s="2" t="n">
        <v>43241.88130787037</v>
      </c>
      <c r="C60" t="n">
        <v>0</v>
      </c>
      <c r="D60" t="n">
        <v>1</v>
      </c>
      <c r="E60" t="s">
        <v>71</v>
      </c>
      <c r="F60" t="s"/>
      <c r="G60" t="s"/>
      <c r="H60" t="s"/>
      <c r="I60" t="s"/>
      <c r="J60" t="n">
        <v>0</v>
      </c>
      <c r="K60" t="n">
        <v>0</v>
      </c>
      <c r="L60" t="n">
        <v>1</v>
      </c>
      <c r="M60" t="n">
        <v>0</v>
      </c>
    </row>
    <row r="61" spans="1:13">
      <c r="A61" s="1">
        <f>HYPERLINK("http://www.twitter.com/NathanBLawrence/status/998671891543023616", "998671891543023616")</f>
        <v/>
      </c>
      <c r="B61" s="2" t="n">
        <v>43241.88087962963</v>
      </c>
      <c r="C61" t="n">
        <v>0</v>
      </c>
      <c r="D61" t="n">
        <v>0</v>
      </c>
      <c r="E61" t="s">
        <v>72</v>
      </c>
      <c r="F61">
        <f>HYPERLINK("http://pbs.twimg.com/media/Ddv-yscVwAA1wtU.jpg", "http://pbs.twimg.com/media/Ddv-yscVwAA1wtU.jpg")</f>
        <v/>
      </c>
      <c r="G61" t="s"/>
      <c r="H61" t="s"/>
      <c r="I61" t="s"/>
      <c r="J61" t="n">
        <v>0</v>
      </c>
      <c r="K61" t="n">
        <v>0</v>
      </c>
      <c r="L61" t="n">
        <v>1</v>
      </c>
      <c r="M61" t="n">
        <v>0</v>
      </c>
    </row>
    <row r="62" spans="1:13">
      <c r="A62" s="1">
        <f>HYPERLINK("http://www.twitter.com/NathanBLawrence/status/998671389958778880", "998671389958778880")</f>
        <v/>
      </c>
      <c r="B62" s="2" t="n">
        <v>43241.87949074074</v>
      </c>
      <c r="C62" t="n">
        <v>0</v>
      </c>
      <c r="D62" t="n">
        <v>2894</v>
      </c>
      <c r="E62" t="s">
        <v>73</v>
      </c>
      <c r="F62" t="s"/>
      <c r="G62" t="s"/>
      <c r="H62" t="s"/>
      <c r="I62" t="s"/>
      <c r="J62" t="n">
        <v>0</v>
      </c>
      <c r="K62" t="n">
        <v>0</v>
      </c>
      <c r="L62" t="n">
        <v>1</v>
      </c>
      <c r="M62" t="n">
        <v>0</v>
      </c>
    </row>
    <row r="63" spans="1:13">
      <c r="A63" s="1">
        <f>HYPERLINK("http://www.twitter.com/NathanBLawrence/status/998671219674271744", "998671219674271744")</f>
        <v/>
      </c>
      <c r="B63" s="2" t="n">
        <v>43241.8790162037</v>
      </c>
      <c r="C63" t="n">
        <v>0</v>
      </c>
      <c r="D63" t="n">
        <v>77</v>
      </c>
      <c r="E63" t="s">
        <v>74</v>
      </c>
      <c r="F63" t="s"/>
      <c r="G63" t="s"/>
      <c r="H63" t="s"/>
      <c r="I63" t="s"/>
      <c r="J63" t="n">
        <v>0.9555</v>
      </c>
      <c r="K63" t="n">
        <v>0</v>
      </c>
      <c r="L63" t="n">
        <v>0.507</v>
      </c>
      <c r="M63" t="n">
        <v>0.493</v>
      </c>
    </row>
    <row r="64" spans="1:13">
      <c r="A64" s="1">
        <f>HYPERLINK("http://www.twitter.com/NathanBLawrence/status/998671185603907585", "998671185603907585")</f>
        <v/>
      </c>
      <c r="B64" s="2" t="n">
        <v>43241.87892361111</v>
      </c>
      <c r="C64" t="n">
        <v>0</v>
      </c>
      <c r="D64" t="n">
        <v>9</v>
      </c>
      <c r="E64" t="s">
        <v>75</v>
      </c>
      <c r="F64">
        <f>HYPERLINK("http://pbs.twimg.com/media/Ddv9ujTV4AAZFs0.jpg", "http://pbs.twimg.com/media/Ddv9ujTV4AAZFs0.jpg")</f>
        <v/>
      </c>
      <c r="G64" t="s"/>
      <c r="H64" t="s"/>
      <c r="I64" t="s"/>
      <c r="J64" t="n">
        <v>0</v>
      </c>
      <c r="K64" t="n">
        <v>0</v>
      </c>
      <c r="L64" t="n">
        <v>1</v>
      </c>
      <c r="M64" t="n">
        <v>0</v>
      </c>
    </row>
    <row r="65" spans="1:13">
      <c r="A65" s="1">
        <f>HYPERLINK("http://www.twitter.com/NathanBLawrence/status/998671132868972544", "998671132868972544")</f>
        <v/>
      </c>
      <c r="B65" s="2" t="n">
        <v>43241.87878472222</v>
      </c>
      <c r="C65" t="n">
        <v>0</v>
      </c>
      <c r="D65" t="n">
        <v>605</v>
      </c>
      <c r="E65" t="s">
        <v>76</v>
      </c>
      <c r="F65">
        <f>HYPERLINK("https://video.twimg.com/amplify_video/998668932302229504/vid/1280x720/IGmO-YStju16EMVH.mp4?tag=2", "https://video.twimg.com/amplify_video/998668932302229504/vid/1280x720/IGmO-YStju16EMVH.mp4?tag=2")</f>
        <v/>
      </c>
      <c r="G65" t="s"/>
      <c r="H65" t="s"/>
      <c r="I65" t="s"/>
      <c r="J65" t="n">
        <v>0</v>
      </c>
      <c r="K65" t="n">
        <v>0</v>
      </c>
      <c r="L65" t="n">
        <v>1</v>
      </c>
      <c r="M65" t="n">
        <v>0</v>
      </c>
    </row>
    <row r="66" spans="1:13">
      <c r="A66" s="1">
        <f>HYPERLINK("http://www.twitter.com/NathanBLawrence/status/998671081195081729", "998671081195081729")</f>
        <v/>
      </c>
      <c r="B66" s="2" t="n">
        <v>43241.87863425926</v>
      </c>
      <c r="C66" t="n">
        <v>5</v>
      </c>
      <c r="D66" t="n">
        <v>0</v>
      </c>
      <c r="E66" t="s">
        <v>77</v>
      </c>
      <c r="F66" t="s"/>
      <c r="G66" t="s"/>
      <c r="H66" t="s"/>
      <c r="I66" t="s"/>
      <c r="J66" t="n">
        <v>0.4404</v>
      </c>
      <c r="K66" t="n">
        <v>0</v>
      </c>
      <c r="L66" t="n">
        <v>0.256</v>
      </c>
      <c r="M66" t="n">
        <v>0.744</v>
      </c>
    </row>
    <row r="67" spans="1:13">
      <c r="A67" s="1">
        <f>HYPERLINK("http://www.twitter.com/NathanBLawrence/status/998671019962458112", "998671019962458112")</f>
        <v/>
      </c>
      <c r="B67" s="2" t="n">
        <v>43241.87847222222</v>
      </c>
      <c r="C67" t="n">
        <v>0</v>
      </c>
      <c r="D67" t="n">
        <v>4</v>
      </c>
      <c r="E67" t="s">
        <v>78</v>
      </c>
      <c r="F67">
        <f>HYPERLINK("http://pbs.twimg.com/media/Ddv98foU0AAP3a_.jpg", "http://pbs.twimg.com/media/Ddv98foU0AAP3a_.jpg")</f>
        <v/>
      </c>
      <c r="G67" t="s"/>
      <c r="H67" t="s"/>
      <c r="I67" t="s"/>
      <c r="J67" t="n">
        <v>0</v>
      </c>
      <c r="K67" t="n">
        <v>0</v>
      </c>
      <c r="L67" t="n">
        <v>1</v>
      </c>
      <c r="M67" t="n">
        <v>0</v>
      </c>
    </row>
    <row r="68" spans="1:13">
      <c r="A68" s="1">
        <f>HYPERLINK("http://www.twitter.com/NathanBLawrence/status/998670961154166784", "998670961154166784")</f>
        <v/>
      </c>
      <c r="B68" s="2" t="n">
        <v>43241.87831018519</v>
      </c>
      <c r="C68" t="n">
        <v>7</v>
      </c>
      <c r="D68" t="n">
        <v>4</v>
      </c>
      <c r="E68" t="s">
        <v>79</v>
      </c>
      <c r="F68">
        <f>HYPERLINK("http://pbs.twimg.com/media/Ddv98foU0AAP3a_.jpg", "http://pbs.twimg.com/media/Ddv98foU0AAP3a_.jpg")</f>
        <v/>
      </c>
      <c r="G68" t="s"/>
      <c r="H68" t="s"/>
      <c r="I68" t="s"/>
      <c r="J68" t="n">
        <v>0</v>
      </c>
      <c r="K68" t="n">
        <v>0</v>
      </c>
      <c r="L68" t="n">
        <v>1</v>
      </c>
      <c r="M68" t="n">
        <v>0</v>
      </c>
    </row>
    <row r="69" spans="1:13">
      <c r="A69" s="1">
        <f>HYPERLINK("http://www.twitter.com/NathanBLawrence/status/998670184633257984", "998670184633257984")</f>
        <v/>
      </c>
      <c r="B69" s="2" t="n">
        <v>43241.87616898148</v>
      </c>
      <c r="C69" t="n">
        <v>0</v>
      </c>
      <c r="D69" t="n">
        <v>1</v>
      </c>
      <c r="E69" t="s">
        <v>80</v>
      </c>
      <c r="F69" t="s"/>
      <c r="G69" t="s"/>
      <c r="H69" t="s"/>
      <c r="I69" t="s"/>
      <c r="J69" t="n">
        <v>0</v>
      </c>
      <c r="K69" t="n">
        <v>0</v>
      </c>
      <c r="L69" t="n">
        <v>1</v>
      </c>
      <c r="M69" t="n">
        <v>0</v>
      </c>
    </row>
    <row r="70" spans="1:13">
      <c r="A70" s="1">
        <f>HYPERLINK("http://www.twitter.com/NathanBLawrence/status/998670166723629056", "998670166723629056")</f>
        <v/>
      </c>
      <c r="B70" s="2" t="n">
        <v>43241.87611111111</v>
      </c>
      <c r="C70" t="n">
        <v>0</v>
      </c>
      <c r="D70" t="n">
        <v>1</v>
      </c>
      <c r="E70" t="s">
        <v>81</v>
      </c>
      <c r="F70" t="s"/>
      <c r="G70" t="s"/>
      <c r="H70" t="s"/>
      <c r="I70" t="s"/>
      <c r="J70" t="n">
        <v>0</v>
      </c>
      <c r="K70" t="n">
        <v>0</v>
      </c>
      <c r="L70" t="n">
        <v>1</v>
      </c>
      <c r="M70" t="n">
        <v>0</v>
      </c>
    </row>
    <row r="71" spans="1:13">
      <c r="A71" s="1">
        <f>HYPERLINK("http://www.twitter.com/NathanBLawrence/status/998670111581097985", "998670111581097985")</f>
        <v/>
      </c>
      <c r="B71" s="2" t="n">
        <v>43241.87596064815</v>
      </c>
      <c r="C71" t="n">
        <v>2</v>
      </c>
      <c r="D71" t="n">
        <v>1</v>
      </c>
      <c r="E71" t="s">
        <v>82</v>
      </c>
      <c r="F71" t="s"/>
      <c r="G71" t="s"/>
      <c r="H71" t="s"/>
      <c r="I71" t="s"/>
      <c r="J71" t="n">
        <v>0.836</v>
      </c>
      <c r="K71" t="n">
        <v>0</v>
      </c>
      <c r="L71" t="n">
        <v>0.765</v>
      </c>
      <c r="M71" t="n">
        <v>0.235</v>
      </c>
    </row>
    <row r="72" spans="1:13">
      <c r="A72" s="1">
        <f>HYPERLINK("http://www.twitter.com/NathanBLawrence/status/998652206307074048", "998652206307074048")</f>
        <v/>
      </c>
      <c r="B72" s="2" t="n">
        <v>43241.82655092593</v>
      </c>
      <c r="C72" t="n">
        <v>0</v>
      </c>
      <c r="D72" t="n">
        <v>35</v>
      </c>
      <c r="E72" t="s">
        <v>83</v>
      </c>
      <c r="F72" t="s"/>
      <c r="G72" t="s"/>
      <c r="H72" t="s"/>
      <c r="I72" t="s"/>
      <c r="J72" t="n">
        <v>0</v>
      </c>
      <c r="K72" t="n">
        <v>0</v>
      </c>
      <c r="L72" t="n">
        <v>1</v>
      </c>
      <c r="M72" t="n">
        <v>0</v>
      </c>
    </row>
    <row r="73" spans="1:13">
      <c r="A73" s="1">
        <f>HYPERLINK("http://www.twitter.com/NathanBLawrence/status/998652183884259330", "998652183884259330")</f>
        <v/>
      </c>
      <c r="B73" s="2" t="n">
        <v>43241.82649305555</v>
      </c>
      <c r="C73" t="n">
        <v>0</v>
      </c>
      <c r="D73" t="n">
        <v>1144</v>
      </c>
      <c r="E73" t="s">
        <v>84</v>
      </c>
      <c r="F73">
        <f>HYPERLINK("https://video.twimg.com/ext_tw_video/998497013338525696/pu/vid/1280x720/kvRmsEysBoA-Rkx9.mp4?tag=3", "https://video.twimg.com/ext_tw_video/998497013338525696/pu/vid/1280x720/kvRmsEysBoA-Rkx9.mp4?tag=3")</f>
        <v/>
      </c>
      <c r="G73" t="s"/>
      <c r="H73" t="s"/>
      <c r="I73" t="s"/>
      <c r="J73" t="n">
        <v>0</v>
      </c>
      <c r="K73" t="n">
        <v>0</v>
      </c>
      <c r="L73" t="n">
        <v>1</v>
      </c>
      <c r="M73" t="n">
        <v>0</v>
      </c>
    </row>
    <row r="74" spans="1:13">
      <c r="A74" s="1">
        <f>HYPERLINK("http://www.twitter.com/NathanBLawrence/status/998652109468917761", "998652109468917761")</f>
        <v/>
      </c>
      <c r="B74" s="2" t="n">
        <v>43241.82628472222</v>
      </c>
      <c r="C74" t="n">
        <v>0</v>
      </c>
      <c r="D74" t="n">
        <v>1141</v>
      </c>
      <c r="E74" t="s">
        <v>85</v>
      </c>
      <c r="F74" t="s"/>
      <c r="G74" t="s"/>
      <c r="H74" t="s"/>
      <c r="I74" t="s"/>
      <c r="J74" t="n">
        <v>0</v>
      </c>
      <c r="K74" t="n">
        <v>0</v>
      </c>
      <c r="L74" t="n">
        <v>1</v>
      </c>
      <c r="M74" t="n">
        <v>0</v>
      </c>
    </row>
    <row r="75" spans="1:13">
      <c r="A75" s="1">
        <f>HYPERLINK("http://www.twitter.com/NathanBLawrence/status/998652009841594368", "998652009841594368")</f>
        <v/>
      </c>
      <c r="B75" s="2" t="n">
        <v>43241.82600694444</v>
      </c>
      <c r="C75" t="n">
        <v>0</v>
      </c>
      <c r="D75" t="n">
        <v>0</v>
      </c>
      <c r="E75" t="s">
        <v>86</v>
      </c>
      <c r="F75" t="s"/>
      <c r="G75" t="s"/>
      <c r="H75" t="s"/>
      <c r="I75" t="s"/>
      <c r="J75" t="n">
        <v>0.7964</v>
      </c>
      <c r="K75" t="n">
        <v>0</v>
      </c>
      <c r="L75" t="n">
        <v>0.198</v>
      </c>
      <c r="M75" t="n">
        <v>0.802</v>
      </c>
    </row>
    <row r="76" spans="1:13">
      <c r="A76" s="1">
        <f>HYPERLINK("http://www.twitter.com/NathanBLawrence/status/998651899044917249", "998651899044917249")</f>
        <v/>
      </c>
      <c r="B76" s="2" t="n">
        <v>43241.82570601852</v>
      </c>
      <c r="C76" t="n">
        <v>0</v>
      </c>
      <c r="D76" t="n">
        <v>68</v>
      </c>
      <c r="E76" t="s">
        <v>87</v>
      </c>
      <c r="F76" t="s"/>
      <c r="G76" t="s"/>
      <c r="H76" t="s"/>
      <c r="I76" t="s"/>
      <c r="J76" t="n">
        <v>-0.4215</v>
      </c>
      <c r="K76" t="n">
        <v>0.113</v>
      </c>
      <c r="L76" t="n">
        <v>0.887</v>
      </c>
      <c r="M76" t="n">
        <v>0</v>
      </c>
    </row>
    <row r="77" spans="1:13">
      <c r="A77" s="1">
        <f>HYPERLINK("http://www.twitter.com/NathanBLawrence/status/998651830048608256", "998651830048608256")</f>
        <v/>
      </c>
      <c r="B77" s="2" t="n">
        <v>43241.82550925926</v>
      </c>
      <c r="C77" t="n">
        <v>0</v>
      </c>
      <c r="D77" t="n">
        <v>33727</v>
      </c>
      <c r="E77" t="s">
        <v>88</v>
      </c>
      <c r="F77">
        <f>HYPERLINK("http://pbs.twimg.com/media/C86drBxVoAAyDij.jpg", "http://pbs.twimg.com/media/C86drBxVoAAyDij.jpg")</f>
        <v/>
      </c>
      <c r="G77" t="s"/>
      <c r="H77" t="s"/>
      <c r="I77" t="s"/>
      <c r="J77" t="n">
        <v>-0.4215</v>
      </c>
      <c r="K77" t="n">
        <v>0.266</v>
      </c>
      <c r="L77" t="n">
        <v>0.526</v>
      </c>
      <c r="M77" t="n">
        <v>0.207</v>
      </c>
    </row>
    <row r="78" spans="1:13">
      <c r="A78" s="1">
        <f>HYPERLINK("http://www.twitter.com/NathanBLawrence/status/998651678378352642", "998651678378352642")</f>
        <v/>
      </c>
      <c r="B78" s="2" t="n">
        <v>43241.82509259259</v>
      </c>
      <c r="C78" t="n">
        <v>0</v>
      </c>
      <c r="D78" t="n">
        <v>9516</v>
      </c>
      <c r="E78" t="s">
        <v>89</v>
      </c>
      <c r="F78" t="s"/>
      <c r="G78" t="s"/>
      <c r="H78" t="s"/>
      <c r="I78" t="s"/>
      <c r="J78" t="n">
        <v>-0.3612</v>
      </c>
      <c r="K78" t="n">
        <v>0.218</v>
      </c>
      <c r="L78" t="n">
        <v>0.669</v>
      </c>
      <c r="M78" t="n">
        <v>0.113</v>
      </c>
    </row>
    <row r="79" spans="1:13">
      <c r="A79" s="1">
        <f>HYPERLINK("http://www.twitter.com/NathanBLawrence/status/998651473604042752", "998651473604042752")</f>
        <v/>
      </c>
      <c r="B79" s="2" t="n">
        <v>43241.82453703704</v>
      </c>
      <c r="C79" t="n">
        <v>0</v>
      </c>
      <c r="D79" t="n">
        <v>974</v>
      </c>
      <c r="E79" t="s">
        <v>90</v>
      </c>
      <c r="F79">
        <f>HYPERLINK("https://video.twimg.com/ext_tw_video/998649065188474880/pu/vid/1280x720/cj3BHzBJvxEAgxo5.mp4?tag=3", "https://video.twimg.com/ext_tw_video/998649065188474880/pu/vid/1280x720/cj3BHzBJvxEAgxo5.mp4?tag=3")</f>
        <v/>
      </c>
      <c r="G79" t="s"/>
      <c r="H79" t="s"/>
      <c r="I79" t="s"/>
      <c r="J79" t="n">
        <v>0</v>
      </c>
      <c r="K79" t="n">
        <v>0</v>
      </c>
      <c r="L79" t="n">
        <v>1</v>
      </c>
      <c r="M79" t="n">
        <v>0</v>
      </c>
    </row>
    <row r="80" spans="1:13">
      <c r="A80" s="1">
        <f>HYPERLINK("http://www.twitter.com/NathanBLawrence/status/998650278474932225", "998650278474932225")</f>
        <v/>
      </c>
      <c r="B80" s="2" t="n">
        <v>43241.82123842592</v>
      </c>
      <c r="C80" t="n">
        <v>0</v>
      </c>
      <c r="D80" t="n">
        <v>0</v>
      </c>
      <c r="E80" t="s">
        <v>91</v>
      </c>
      <c r="F80" t="s"/>
      <c r="G80" t="s"/>
      <c r="H80" t="s"/>
      <c r="I80" t="s"/>
      <c r="J80" t="n">
        <v>0</v>
      </c>
      <c r="K80" t="n">
        <v>0</v>
      </c>
      <c r="L80" t="n">
        <v>1</v>
      </c>
      <c r="M80" t="n">
        <v>0</v>
      </c>
    </row>
    <row r="81" spans="1:13">
      <c r="A81" s="1">
        <f>HYPERLINK("http://www.twitter.com/NathanBLawrence/status/998650197650571264", "998650197650571264")</f>
        <v/>
      </c>
      <c r="B81" s="2" t="n">
        <v>43241.82100694445</v>
      </c>
      <c r="C81" t="n">
        <v>0</v>
      </c>
      <c r="D81" t="n">
        <v>1</v>
      </c>
      <c r="E81" t="s">
        <v>92</v>
      </c>
      <c r="F81" t="s"/>
      <c r="G81" t="s"/>
      <c r="H81" t="s"/>
      <c r="I81" t="s"/>
      <c r="J81" t="n">
        <v>0.6808</v>
      </c>
      <c r="K81" t="n">
        <v>0</v>
      </c>
      <c r="L81" t="n">
        <v>0.804</v>
      </c>
      <c r="M81" t="n">
        <v>0.196</v>
      </c>
    </row>
    <row r="82" spans="1:13">
      <c r="A82" s="1">
        <f>HYPERLINK("http://www.twitter.com/NathanBLawrence/status/998650161407627266", "998650161407627266")</f>
        <v/>
      </c>
      <c r="B82" s="2" t="n">
        <v>43241.82091435185</v>
      </c>
      <c r="C82" t="n">
        <v>0</v>
      </c>
      <c r="D82" t="n">
        <v>10</v>
      </c>
      <c r="E82" t="s">
        <v>93</v>
      </c>
      <c r="F82" t="s"/>
      <c r="G82" t="s"/>
      <c r="H82" t="s"/>
      <c r="I82" t="s"/>
      <c r="J82" t="n">
        <v>0</v>
      </c>
      <c r="K82" t="n">
        <v>0</v>
      </c>
      <c r="L82" t="n">
        <v>1</v>
      </c>
      <c r="M82" t="n">
        <v>0</v>
      </c>
    </row>
    <row r="83" spans="1:13">
      <c r="A83" s="1">
        <f>HYPERLINK("http://www.twitter.com/NathanBLawrence/status/998650101471043584", "998650101471043584")</f>
        <v/>
      </c>
      <c r="B83" s="2" t="n">
        <v>43241.82074074074</v>
      </c>
      <c r="C83" t="n">
        <v>0</v>
      </c>
      <c r="D83" t="n">
        <v>104</v>
      </c>
      <c r="E83" t="s">
        <v>94</v>
      </c>
      <c r="F83" t="s"/>
      <c r="G83" t="s"/>
      <c r="H83" t="s"/>
      <c r="I83" t="s"/>
      <c r="J83" t="n">
        <v>0.4404</v>
      </c>
      <c r="K83" t="n">
        <v>0</v>
      </c>
      <c r="L83" t="n">
        <v>0.805</v>
      </c>
      <c r="M83" t="n">
        <v>0.195</v>
      </c>
    </row>
    <row r="84" spans="1:13">
      <c r="A84" s="1">
        <f>HYPERLINK("http://www.twitter.com/NathanBLawrence/status/998650092889440256", "998650092889440256")</f>
        <v/>
      </c>
      <c r="B84" s="2" t="n">
        <v>43241.82071759259</v>
      </c>
      <c r="C84" t="n">
        <v>1</v>
      </c>
      <c r="D84" t="n">
        <v>1</v>
      </c>
      <c r="E84" t="s">
        <v>95</v>
      </c>
      <c r="F84" t="s"/>
      <c r="G84" t="s"/>
      <c r="H84" t="s"/>
      <c r="I84" t="s"/>
      <c r="J84" t="n">
        <v>0</v>
      </c>
      <c r="K84" t="n">
        <v>0</v>
      </c>
      <c r="L84" t="n">
        <v>1</v>
      </c>
      <c r="M84" t="n">
        <v>0</v>
      </c>
    </row>
    <row r="85" spans="1:13">
      <c r="A85" s="1">
        <f>HYPERLINK("http://www.twitter.com/NathanBLawrence/status/998649984903008257", "998649984903008257")</f>
        <v/>
      </c>
      <c r="B85" s="2" t="n">
        <v>43241.82042824074</v>
      </c>
      <c r="C85" t="n">
        <v>0</v>
      </c>
      <c r="D85" t="n">
        <v>1836</v>
      </c>
      <c r="E85" t="s">
        <v>96</v>
      </c>
      <c r="F85" t="s"/>
      <c r="G85" t="s"/>
      <c r="H85" t="s"/>
      <c r="I85" t="s"/>
      <c r="J85" t="n">
        <v>-0.5106000000000001</v>
      </c>
      <c r="K85" t="n">
        <v>0.207</v>
      </c>
      <c r="L85" t="n">
        <v>0.702</v>
      </c>
      <c r="M85" t="n">
        <v>0.091</v>
      </c>
    </row>
    <row r="86" spans="1:13">
      <c r="A86" s="1">
        <f>HYPERLINK("http://www.twitter.com/NathanBLawrence/status/998649132842668033", "998649132842668033")</f>
        <v/>
      </c>
      <c r="B86" s="2" t="n">
        <v>43241.81806712963</v>
      </c>
      <c r="C86" t="n">
        <v>3</v>
      </c>
      <c r="D86" t="n">
        <v>1</v>
      </c>
      <c r="E86" t="s">
        <v>97</v>
      </c>
      <c r="F86" t="s"/>
      <c r="G86" t="s"/>
      <c r="H86" t="s"/>
      <c r="I86" t="s"/>
      <c r="J86" t="n">
        <v>0.4404</v>
      </c>
      <c r="K86" t="n">
        <v>0</v>
      </c>
      <c r="L86" t="n">
        <v>0.888</v>
      </c>
      <c r="M86" t="n">
        <v>0.112</v>
      </c>
    </row>
    <row r="87" spans="1:13">
      <c r="A87" s="1">
        <f>HYPERLINK("http://www.twitter.com/NathanBLawrence/status/998648985937203200", "998648985937203200")</f>
        <v/>
      </c>
      <c r="B87" s="2" t="n">
        <v>43241.81766203704</v>
      </c>
      <c r="C87" t="n">
        <v>3</v>
      </c>
      <c r="D87" t="n">
        <v>1</v>
      </c>
      <c r="E87" t="s">
        <v>98</v>
      </c>
      <c r="F87" t="s"/>
      <c r="G87" t="s"/>
      <c r="H87" t="s"/>
      <c r="I87" t="s"/>
      <c r="J87" t="n">
        <v>-0.644</v>
      </c>
      <c r="K87" t="n">
        <v>0.183</v>
      </c>
      <c r="L87" t="n">
        <v>0.8169999999999999</v>
      </c>
      <c r="M87" t="n">
        <v>0</v>
      </c>
    </row>
    <row r="88" spans="1:13">
      <c r="A88" s="1">
        <f>HYPERLINK("http://www.twitter.com/NathanBLawrence/status/998647422736916483", "998647422736916483")</f>
        <v/>
      </c>
      <c r="B88" s="2" t="n">
        <v>43241.81335648148</v>
      </c>
      <c r="C88" t="n">
        <v>0</v>
      </c>
      <c r="D88" t="n">
        <v>1702</v>
      </c>
      <c r="E88" t="s">
        <v>99</v>
      </c>
      <c r="F88">
        <f>HYPERLINK("http://pbs.twimg.com/media/Ddu7Eo6UQAEO_O5.jpg", "http://pbs.twimg.com/media/Ddu7Eo6UQAEO_O5.jpg")</f>
        <v/>
      </c>
      <c r="G88" t="s"/>
      <c r="H88" t="s"/>
      <c r="I88" t="s"/>
      <c r="J88" t="n">
        <v>0.8221000000000001</v>
      </c>
      <c r="K88" t="n">
        <v>0</v>
      </c>
      <c r="L88" t="n">
        <v>0.734</v>
      </c>
      <c r="M88" t="n">
        <v>0.266</v>
      </c>
    </row>
    <row r="89" spans="1:13">
      <c r="A89" s="1">
        <f>HYPERLINK("http://www.twitter.com/NathanBLawrence/status/998644633415581696", "998644633415581696")</f>
        <v/>
      </c>
      <c r="B89" s="2" t="n">
        <v>43241.80565972222</v>
      </c>
      <c r="C89" t="n">
        <v>0</v>
      </c>
      <c r="D89" t="n">
        <v>4408</v>
      </c>
      <c r="E89" t="s">
        <v>100</v>
      </c>
      <c r="F89" t="s"/>
      <c r="G89" t="s"/>
      <c r="H89" t="s"/>
      <c r="I89" t="s"/>
      <c r="J89" t="n">
        <v>0.4779</v>
      </c>
      <c r="K89" t="n">
        <v>0.066</v>
      </c>
      <c r="L89" t="n">
        <v>0.782</v>
      </c>
      <c r="M89" t="n">
        <v>0.152</v>
      </c>
    </row>
    <row r="90" spans="1:13">
      <c r="A90" s="1">
        <f>HYPERLINK("http://www.twitter.com/NathanBLawrence/status/998644229235716096", "998644229235716096")</f>
        <v/>
      </c>
      <c r="B90" s="2" t="n">
        <v>43241.80453703704</v>
      </c>
      <c r="C90" t="n">
        <v>0</v>
      </c>
      <c r="D90" t="n">
        <v>0</v>
      </c>
      <c r="E90" t="s">
        <v>101</v>
      </c>
      <c r="F90" t="s"/>
      <c r="G90" t="s"/>
      <c r="H90" t="s"/>
      <c r="I90" t="s"/>
      <c r="J90" t="n">
        <v>0.1506</v>
      </c>
      <c r="K90" t="n">
        <v>0.205</v>
      </c>
      <c r="L90" t="n">
        <v>0.652</v>
      </c>
      <c r="M90" t="n">
        <v>0.143</v>
      </c>
    </row>
    <row r="91" spans="1:13">
      <c r="A91" s="1">
        <f>HYPERLINK("http://www.twitter.com/NathanBLawrence/status/998643148002865152", "998643148002865152")</f>
        <v/>
      </c>
      <c r="B91" s="2" t="n">
        <v>43241.8015625</v>
      </c>
      <c r="C91" t="n">
        <v>0</v>
      </c>
      <c r="D91" t="n">
        <v>0</v>
      </c>
      <c r="E91" t="s">
        <v>102</v>
      </c>
      <c r="F91" t="s"/>
      <c r="G91" t="s"/>
      <c r="H91" t="s"/>
      <c r="I91" t="s"/>
      <c r="J91" t="n">
        <v>-0.6306</v>
      </c>
      <c r="K91" t="n">
        <v>0.213</v>
      </c>
      <c r="L91" t="n">
        <v>0.787</v>
      </c>
      <c r="M91" t="n">
        <v>0</v>
      </c>
    </row>
    <row r="92" spans="1:13">
      <c r="A92" s="1">
        <f>HYPERLINK("http://www.twitter.com/NathanBLawrence/status/998642284643135488", "998642284643135488")</f>
        <v/>
      </c>
      <c r="B92" s="2" t="n">
        <v>43241.79917824074</v>
      </c>
      <c r="C92" t="n">
        <v>0</v>
      </c>
      <c r="D92" t="n">
        <v>3</v>
      </c>
      <c r="E92" t="s">
        <v>103</v>
      </c>
      <c r="F92" t="s"/>
      <c r="G92" t="s"/>
      <c r="H92" t="s"/>
      <c r="I92" t="s"/>
      <c r="J92" t="n">
        <v>0.3818</v>
      </c>
      <c r="K92" t="n">
        <v>0</v>
      </c>
      <c r="L92" t="n">
        <v>0.89</v>
      </c>
      <c r="M92" t="n">
        <v>0.11</v>
      </c>
    </row>
    <row r="93" spans="1:13">
      <c r="A93" s="1">
        <f>HYPERLINK("http://www.twitter.com/NathanBLawrence/status/998642178653065217", "998642178653065217")</f>
        <v/>
      </c>
      <c r="B93" s="2" t="n">
        <v>43241.79887731482</v>
      </c>
      <c r="C93" t="n">
        <v>0</v>
      </c>
      <c r="D93" t="n">
        <v>164</v>
      </c>
      <c r="E93" t="s">
        <v>104</v>
      </c>
      <c r="F93">
        <f>HYPERLINK("http://pbs.twimg.com/media/DdvbbDgUwAAsRdH.jpg", "http://pbs.twimg.com/media/DdvbbDgUwAAsRdH.jpg")</f>
        <v/>
      </c>
      <c r="G93">
        <f>HYPERLINK("http://pbs.twimg.com/media/DdvbbhvV4AAEBj5.jpg", "http://pbs.twimg.com/media/DdvbbhvV4AAEBj5.jpg")</f>
        <v/>
      </c>
      <c r="H93">
        <f>HYPERLINK("http://pbs.twimg.com/media/DdvbcH5UwAAg1qJ.jpg", "http://pbs.twimg.com/media/DdvbcH5UwAAg1qJ.jpg")</f>
        <v/>
      </c>
      <c r="I93">
        <f>HYPERLINK("http://pbs.twimg.com/media/Ddvbch9UwAAlag3.jpg", "http://pbs.twimg.com/media/Ddvbch9UwAAlag3.jpg")</f>
        <v/>
      </c>
      <c r="J93" t="n">
        <v>0</v>
      </c>
      <c r="K93" t="n">
        <v>0</v>
      </c>
      <c r="L93" t="n">
        <v>1</v>
      </c>
      <c r="M93" t="n">
        <v>0</v>
      </c>
    </row>
    <row r="94" spans="1:13">
      <c r="A94" s="1">
        <f>HYPERLINK("http://www.twitter.com/NathanBLawrence/status/998642150240935936", "998642150240935936")</f>
        <v/>
      </c>
      <c r="B94" s="2" t="n">
        <v>43241.79880787037</v>
      </c>
      <c r="C94" t="n">
        <v>5</v>
      </c>
      <c r="D94" t="n">
        <v>4</v>
      </c>
      <c r="E94" t="s">
        <v>105</v>
      </c>
      <c r="F94">
        <f>HYPERLINK("http://pbs.twimg.com/media/DdvjvSmUwAA4ieD.jpg", "http://pbs.twimg.com/media/DdvjvSmUwAA4ieD.jpg")</f>
        <v/>
      </c>
      <c r="G94" t="s"/>
      <c r="H94" t="s"/>
      <c r="I94" t="s"/>
      <c r="J94" t="n">
        <v>0</v>
      </c>
      <c r="K94" t="n">
        <v>0</v>
      </c>
      <c r="L94" t="n">
        <v>1</v>
      </c>
      <c r="M94" t="n">
        <v>0</v>
      </c>
    </row>
    <row r="95" spans="1:13">
      <c r="A95" s="1">
        <f>HYPERLINK("http://www.twitter.com/NathanBLawrence/status/998641523909713924", "998641523909713924")</f>
        <v/>
      </c>
      <c r="B95" s="2" t="n">
        <v>43241.79707175926</v>
      </c>
      <c r="C95" t="n">
        <v>0</v>
      </c>
      <c r="D95" t="n">
        <v>2</v>
      </c>
      <c r="E95" t="s">
        <v>106</v>
      </c>
      <c r="F95" t="s"/>
      <c r="G95" t="s"/>
      <c r="H95" t="s"/>
      <c r="I95" t="s"/>
      <c r="J95" t="n">
        <v>0</v>
      </c>
      <c r="K95" t="n">
        <v>0</v>
      </c>
      <c r="L95" t="n">
        <v>1</v>
      </c>
      <c r="M95" t="n">
        <v>0</v>
      </c>
    </row>
    <row r="96" spans="1:13">
      <c r="A96" s="1">
        <f>HYPERLINK("http://www.twitter.com/NathanBLawrence/status/998606533402529793", "998606533402529793")</f>
        <v/>
      </c>
      <c r="B96" s="2" t="n">
        <v>43241.70052083334</v>
      </c>
      <c r="C96" t="n">
        <v>6</v>
      </c>
      <c r="D96" t="n">
        <v>3</v>
      </c>
      <c r="E96" t="s">
        <v>107</v>
      </c>
      <c r="F96" t="s"/>
      <c r="G96" t="s"/>
      <c r="H96" t="s"/>
      <c r="I96" t="s"/>
      <c r="J96" t="n">
        <v>0</v>
      </c>
      <c r="K96" t="n">
        <v>0</v>
      </c>
      <c r="L96" t="n">
        <v>1</v>
      </c>
      <c r="M96" t="n">
        <v>0</v>
      </c>
    </row>
    <row r="97" spans="1:13">
      <c r="A97" s="1">
        <f>HYPERLINK("http://www.twitter.com/NathanBLawrence/status/998605700669599744", "998605700669599744")</f>
        <v/>
      </c>
      <c r="B97" s="2" t="n">
        <v>43241.6982175926</v>
      </c>
      <c r="C97" t="n">
        <v>0</v>
      </c>
      <c r="D97" t="n">
        <v>5</v>
      </c>
      <c r="E97" t="s">
        <v>108</v>
      </c>
      <c r="F97">
        <f>HYPERLINK("http://pbs.twimg.com/media/DdZa0rGVMAExtJg.jpg", "http://pbs.twimg.com/media/DdZa0rGVMAExtJg.jpg")</f>
        <v/>
      </c>
      <c r="G97" t="s"/>
      <c r="H97" t="s"/>
      <c r="I97" t="s"/>
      <c r="J97" t="n">
        <v>0.6249</v>
      </c>
      <c r="K97" t="n">
        <v>0</v>
      </c>
      <c r="L97" t="n">
        <v>0.757</v>
      </c>
      <c r="M97" t="n">
        <v>0.243</v>
      </c>
    </row>
    <row r="98" spans="1:13">
      <c r="A98" s="1">
        <f>HYPERLINK("http://www.twitter.com/NathanBLawrence/status/998602379221258240", "998602379221258240")</f>
        <v/>
      </c>
      <c r="B98" s="2" t="n">
        <v>43241.68905092592</v>
      </c>
      <c r="C98" t="n">
        <v>0</v>
      </c>
      <c r="D98" t="n">
        <v>0</v>
      </c>
      <c r="E98" t="s">
        <v>109</v>
      </c>
      <c r="F98" t="s"/>
      <c r="G98" t="s"/>
      <c r="H98" t="s"/>
      <c r="I98" t="s"/>
      <c r="J98" t="n">
        <v>0</v>
      </c>
      <c r="K98" t="n">
        <v>0</v>
      </c>
      <c r="L98" t="n">
        <v>1</v>
      </c>
      <c r="M98" t="n">
        <v>0</v>
      </c>
    </row>
    <row r="99" spans="1:13">
      <c r="A99" s="1">
        <f>HYPERLINK("http://www.twitter.com/NathanBLawrence/status/998602329539665920", "998602329539665920")</f>
        <v/>
      </c>
      <c r="B99" s="2" t="n">
        <v>43241.68892361111</v>
      </c>
      <c r="C99" t="n">
        <v>0</v>
      </c>
      <c r="D99" t="n">
        <v>478</v>
      </c>
      <c r="E99" t="s">
        <v>110</v>
      </c>
      <c r="F99">
        <f>HYPERLINK("http://pbs.twimg.com/media/DduXntrVAAAgOOF.jpg", "http://pbs.twimg.com/media/DduXntrVAAAgOOF.jpg")</f>
        <v/>
      </c>
      <c r="G99" t="s"/>
      <c r="H99" t="s"/>
      <c r="I99" t="s"/>
      <c r="J99" t="n">
        <v>-0.4019</v>
      </c>
      <c r="K99" t="n">
        <v>0.101</v>
      </c>
      <c r="L99" t="n">
        <v>0.899</v>
      </c>
      <c r="M99" t="n">
        <v>0</v>
      </c>
    </row>
    <row r="100" spans="1:13">
      <c r="A100" s="1">
        <f>HYPERLINK("http://www.twitter.com/NathanBLawrence/status/998602078531571714", "998602078531571714")</f>
        <v/>
      </c>
      <c r="B100" s="2" t="n">
        <v>43241.68822916667</v>
      </c>
      <c r="C100" t="n">
        <v>6</v>
      </c>
      <c r="D100" t="n">
        <v>2</v>
      </c>
      <c r="E100" t="s">
        <v>111</v>
      </c>
      <c r="F100" t="s"/>
      <c r="G100" t="s"/>
      <c r="H100" t="s"/>
      <c r="I100" t="s"/>
      <c r="J100" t="n">
        <v>0</v>
      </c>
      <c r="K100" t="n">
        <v>0</v>
      </c>
      <c r="L100" t="n">
        <v>1</v>
      </c>
      <c r="M100" t="n">
        <v>0</v>
      </c>
    </row>
    <row r="101" spans="1:13">
      <c r="A101" s="1">
        <f>HYPERLINK("http://www.twitter.com/NathanBLawrence/status/998600030285164550", "998600030285164550")</f>
        <v/>
      </c>
      <c r="B101" s="2" t="n">
        <v>43241.68256944444</v>
      </c>
      <c r="C101" t="n">
        <v>0</v>
      </c>
      <c r="D101" t="n">
        <v>6</v>
      </c>
      <c r="E101" t="s">
        <v>112</v>
      </c>
      <c r="F101" t="s"/>
      <c r="G101" t="s"/>
      <c r="H101" t="s"/>
      <c r="I101" t="s"/>
      <c r="J101" t="n">
        <v>0.9022</v>
      </c>
      <c r="K101" t="n">
        <v>0</v>
      </c>
      <c r="L101" t="n">
        <v>0.645</v>
      </c>
      <c r="M101" t="n">
        <v>0.355</v>
      </c>
    </row>
    <row r="102" spans="1:13">
      <c r="A102" s="1">
        <f>HYPERLINK("http://www.twitter.com/NathanBLawrence/status/998596480935038981", "998596480935038981")</f>
        <v/>
      </c>
      <c r="B102" s="2" t="n">
        <v>43241.67277777778</v>
      </c>
      <c r="C102" t="n">
        <v>0</v>
      </c>
      <c r="D102" t="n">
        <v>21</v>
      </c>
      <c r="E102" t="s">
        <v>113</v>
      </c>
      <c r="F102" t="s"/>
      <c r="G102" t="s"/>
      <c r="H102" t="s"/>
      <c r="I102" t="s"/>
      <c r="J102" t="n">
        <v>0.0772</v>
      </c>
      <c r="K102" t="n">
        <v>0.112</v>
      </c>
      <c r="L102" t="n">
        <v>0.761</v>
      </c>
      <c r="M102" t="n">
        <v>0.127</v>
      </c>
    </row>
    <row r="103" spans="1:13">
      <c r="A103" s="1">
        <f>HYPERLINK("http://www.twitter.com/NathanBLawrence/status/998596314626777088", "998596314626777088")</f>
        <v/>
      </c>
      <c r="B103" s="2" t="n">
        <v>43241.67232638889</v>
      </c>
      <c r="C103" t="n">
        <v>4</v>
      </c>
      <c r="D103" t="n">
        <v>0</v>
      </c>
      <c r="E103" t="s">
        <v>114</v>
      </c>
      <c r="F103" t="s"/>
      <c r="G103" t="s"/>
      <c r="H103" t="s"/>
      <c r="I103" t="s"/>
      <c r="J103" t="n">
        <v>0.6908</v>
      </c>
      <c r="K103" t="n">
        <v>0</v>
      </c>
      <c r="L103" t="n">
        <v>0.513</v>
      </c>
      <c r="M103" t="n">
        <v>0.487</v>
      </c>
    </row>
    <row r="104" spans="1:13">
      <c r="A104" s="1">
        <f>HYPERLINK("http://www.twitter.com/NathanBLawrence/status/998595661560991745", "998595661560991745")</f>
        <v/>
      </c>
      <c r="B104" s="2" t="n">
        <v>43241.67052083334</v>
      </c>
      <c r="C104" t="n">
        <v>0</v>
      </c>
      <c r="D104" t="n">
        <v>67</v>
      </c>
      <c r="E104" t="s">
        <v>115</v>
      </c>
      <c r="F104">
        <f>HYPERLINK("http://pbs.twimg.com/media/Ddu3SiJU8AEap74.jpg", "http://pbs.twimg.com/media/Ddu3SiJU8AEap74.jpg")</f>
        <v/>
      </c>
      <c r="G104" t="s"/>
      <c r="H104" t="s"/>
      <c r="I104" t="s"/>
      <c r="J104" t="n">
        <v>0.4753</v>
      </c>
      <c r="K104" t="n">
        <v>0.089</v>
      </c>
      <c r="L104" t="n">
        <v>0.744</v>
      </c>
      <c r="M104" t="n">
        <v>0.167</v>
      </c>
    </row>
    <row r="105" spans="1:13">
      <c r="A105" s="1">
        <f>HYPERLINK("http://www.twitter.com/NathanBLawrence/status/998595431037841409", "998595431037841409")</f>
        <v/>
      </c>
      <c r="B105" s="2" t="n">
        <v>43241.66988425926</v>
      </c>
      <c r="C105" t="n">
        <v>6</v>
      </c>
      <c r="D105" t="n">
        <v>3</v>
      </c>
      <c r="E105" t="s">
        <v>116</v>
      </c>
      <c r="F105" t="s"/>
      <c r="G105" t="s"/>
      <c r="H105" t="s"/>
      <c r="I105" t="s"/>
      <c r="J105" t="n">
        <v>0</v>
      </c>
      <c r="K105" t="n">
        <v>0</v>
      </c>
      <c r="L105" t="n">
        <v>1</v>
      </c>
      <c r="M105" t="n">
        <v>0</v>
      </c>
    </row>
    <row r="106" spans="1:13">
      <c r="A106" s="1">
        <f>HYPERLINK("http://www.twitter.com/NathanBLawrence/status/998595203136196609", "998595203136196609")</f>
        <v/>
      </c>
      <c r="B106" s="2" t="n">
        <v>43241.66925925926</v>
      </c>
      <c r="C106" t="n">
        <v>0</v>
      </c>
      <c r="D106" t="n">
        <v>196</v>
      </c>
      <c r="E106" t="s">
        <v>117</v>
      </c>
      <c r="F106">
        <f>HYPERLINK("http://pbs.twimg.com/media/Ddu3fA0V4AEBjAC.jpg", "http://pbs.twimg.com/media/Ddu3fA0V4AEBjAC.jpg")</f>
        <v/>
      </c>
      <c r="G106" t="s"/>
      <c r="H106" t="s"/>
      <c r="I106" t="s"/>
      <c r="J106" t="n">
        <v>0.5266999999999999</v>
      </c>
      <c r="K106" t="n">
        <v>0</v>
      </c>
      <c r="L106" t="n">
        <v>0.855</v>
      </c>
      <c r="M106" t="n">
        <v>0.145</v>
      </c>
    </row>
    <row r="107" spans="1:13">
      <c r="A107" s="1">
        <f>HYPERLINK("http://www.twitter.com/NathanBLawrence/status/998594736045912065", "998594736045912065")</f>
        <v/>
      </c>
      <c r="B107" s="2" t="n">
        <v>43241.66796296297</v>
      </c>
      <c r="C107" t="n">
        <v>0</v>
      </c>
      <c r="D107" t="n">
        <v>4028</v>
      </c>
      <c r="E107" t="s">
        <v>118</v>
      </c>
      <c r="F107">
        <f>HYPERLINK("http://pbs.twimg.com/media/Ddu3kvEVQAAgnUq.jpg", "http://pbs.twimg.com/media/Ddu3kvEVQAAgnUq.jpg")</f>
        <v/>
      </c>
      <c r="G107" t="s"/>
      <c r="H107" t="s"/>
      <c r="I107" t="s"/>
      <c r="J107" t="n">
        <v>0.8316</v>
      </c>
      <c r="K107" t="n">
        <v>0</v>
      </c>
      <c r="L107" t="n">
        <v>0.642</v>
      </c>
      <c r="M107" t="n">
        <v>0.358</v>
      </c>
    </row>
    <row r="108" spans="1:13">
      <c r="A108" s="1">
        <f>HYPERLINK("http://www.twitter.com/NathanBLawrence/status/998594630437556224", "998594630437556224")</f>
        <v/>
      </c>
      <c r="B108" s="2" t="n">
        <v>43241.66767361111</v>
      </c>
      <c r="C108" t="n">
        <v>0</v>
      </c>
      <c r="D108" t="n">
        <v>6</v>
      </c>
      <c r="E108" t="s">
        <v>119</v>
      </c>
      <c r="F108">
        <f>HYPERLINK("https://video.twimg.com/ext_tw_video/998593251178233857/pu/vid/240x240/QLnFr2za87ngV44n.mp4?tag=3", "https://video.twimg.com/ext_tw_video/998593251178233857/pu/vid/240x240/QLnFr2za87ngV44n.mp4?tag=3")</f>
        <v/>
      </c>
      <c r="G108" t="s"/>
      <c r="H108" t="s"/>
      <c r="I108" t="s"/>
      <c r="J108" t="n">
        <v>0</v>
      </c>
      <c r="K108" t="n">
        <v>0</v>
      </c>
      <c r="L108" t="n">
        <v>1</v>
      </c>
      <c r="M108" t="n">
        <v>0</v>
      </c>
    </row>
    <row r="109" spans="1:13">
      <c r="A109" s="1">
        <f>HYPERLINK("http://www.twitter.com/NathanBLawrence/status/998593321156202496", "998593321156202496")</f>
        <v/>
      </c>
      <c r="B109" s="2" t="n">
        <v>43241.6640625</v>
      </c>
      <c r="C109" t="n">
        <v>0</v>
      </c>
      <c r="D109" t="n">
        <v>1</v>
      </c>
      <c r="E109" t="s">
        <v>120</v>
      </c>
      <c r="F109" t="s"/>
      <c r="G109" t="s"/>
      <c r="H109" t="s"/>
      <c r="I109" t="s"/>
      <c r="J109" t="n">
        <v>0</v>
      </c>
      <c r="K109" t="n">
        <v>0</v>
      </c>
      <c r="L109" t="n">
        <v>1</v>
      </c>
      <c r="M109" t="n">
        <v>0</v>
      </c>
    </row>
    <row r="110" spans="1:13">
      <c r="A110" s="1">
        <f>HYPERLINK("http://www.twitter.com/NathanBLawrence/status/998593284334391296", "998593284334391296")</f>
        <v/>
      </c>
      <c r="B110" s="2" t="n">
        <v>43241.66395833333</v>
      </c>
      <c r="C110" t="n">
        <v>4</v>
      </c>
      <c r="D110" t="n">
        <v>6</v>
      </c>
      <c r="E110" t="s">
        <v>121</v>
      </c>
      <c r="F110">
        <f>HYPERLINK("https://video.twimg.com/ext_tw_video/998593251178233857/pu/vid/240x240/QLnFr2za87ngV44n.mp4?tag=3", "https://video.twimg.com/ext_tw_video/998593251178233857/pu/vid/240x240/QLnFr2za87ngV44n.mp4?tag=3")</f>
        <v/>
      </c>
      <c r="G110" t="s"/>
      <c r="H110" t="s"/>
      <c r="I110" t="s"/>
      <c r="J110" t="n">
        <v>0</v>
      </c>
      <c r="K110" t="n">
        <v>0.055</v>
      </c>
      <c r="L110" t="n">
        <v>0.89</v>
      </c>
      <c r="M110" t="n">
        <v>0.055</v>
      </c>
    </row>
    <row r="111" spans="1:13">
      <c r="A111" s="1">
        <f>HYPERLINK("http://www.twitter.com/NathanBLawrence/status/998588351589572608", "998588351589572608")</f>
        <v/>
      </c>
      <c r="B111" s="2" t="n">
        <v>43241.65034722222</v>
      </c>
      <c r="C111" t="n">
        <v>2</v>
      </c>
      <c r="D111" t="n">
        <v>0</v>
      </c>
      <c r="E111" t="s">
        <v>122</v>
      </c>
      <c r="F111">
        <f>HYPERLINK("http://pbs.twimg.com/media/DduyzgDUQAE8H20.jpg", "http://pbs.twimg.com/media/DduyzgDUQAE8H20.jpg")</f>
        <v/>
      </c>
      <c r="G111" t="s"/>
      <c r="H111" t="s"/>
      <c r="I111" t="s"/>
      <c r="J111" t="n">
        <v>0.8225</v>
      </c>
      <c r="K111" t="n">
        <v>0</v>
      </c>
      <c r="L111" t="n">
        <v>0.744</v>
      </c>
      <c r="M111" t="n">
        <v>0.256</v>
      </c>
    </row>
    <row r="112" spans="1:13">
      <c r="A112" s="1">
        <f>HYPERLINK("http://www.twitter.com/NathanBLawrence/status/998586486445494272", "998586486445494272")</f>
        <v/>
      </c>
      <c r="B112" s="2" t="n">
        <v>43241.64519675926</v>
      </c>
      <c r="C112" t="n">
        <v>0</v>
      </c>
      <c r="D112" t="n">
        <v>2</v>
      </c>
      <c r="E112" t="s">
        <v>123</v>
      </c>
      <c r="F112" t="s"/>
      <c r="G112" t="s"/>
      <c r="H112" t="s"/>
      <c r="I112" t="s"/>
      <c r="J112" t="n">
        <v>0</v>
      </c>
      <c r="K112" t="n">
        <v>0</v>
      </c>
      <c r="L112" t="n">
        <v>1</v>
      </c>
      <c r="M112" t="n">
        <v>0</v>
      </c>
    </row>
    <row r="113" spans="1:13">
      <c r="A113" s="1">
        <f>HYPERLINK("http://www.twitter.com/NathanBLawrence/status/998584464589705216", "998584464589705216")</f>
        <v/>
      </c>
      <c r="B113" s="2" t="n">
        <v>43241.63961805555</v>
      </c>
      <c r="C113" t="n">
        <v>3</v>
      </c>
      <c r="D113" t="n">
        <v>0</v>
      </c>
      <c r="E113" t="s">
        <v>124</v>
      </c>
      <c r="F113" t="s"/>
      <c r="G113" t="s"/>
      <c r="H113" t="s"/>
      <c r="I113" t="s"/>
      <c r="J113" t="n">
        <v>0</v>
      </c>
      <c r="K113" t="n">
        <v>0</v>
      </c>
      <c r="L113" t="n">
        <v>1</v>
      </c>
      <c r="M113" t="n">
        <v>0</v>
      </c>
    </row>
    <row r="114" spans="1:13">
      <c r="A114" s="1">
        <f>HYPERLINK("http://www.twitter.com/NathanBLawrence/status/998584141024256000", "998584141024256000")</f>
        <v/>
      </c>
      <c r="B114" s="2" t="n">
        <v>43241.63872685185</v>
      </c>
      <c r="C114" t="n">
        <v>0</v>
      </c>
      <c r="D114" t="n">
        <v>12690</v>
      </c>
      <c r="E114" t="s">
        <v>125</v>
      </c>
      <c r="F114" t="s"/>
      <c r="G114" t="s"/>
      <c r="H114" t="s"/>
      <c r="I114" t="s"/>
      <c r="J114" t="n">
        <v>-0.5574</v>
      </c>
      <c r="K114" t="n">
        <v>0.153</v>
      </c>
      <c r="L114" t="n">
        <v>0.847</v>
      </c>
      <c r="M114" t="n">
        <v>0</v>
      </c>
    </row>
    <row r="115" spans="1:13">
      <c r="A115" s="1">
        <f>HYPERLINK("http://www.twitter.com/NathanBLawrence/status/998573495058563072", "998573495058563072")</f>
        <v/>
      </c>
      <c r="B115" s="2" t="n">
        <v>43241.60935185185</v>
      </c>
      <c r="C115" t="n">
        <v>4</v>
      </c>
      <c r="D115" t="n">
        <v>2</v>
      </c>
      <c r="E115" t="s">
        <v>126</v>
      </c>
      <c r="F115" t="s"/>
      <c r="G115" t="s"/>
      <c r="H115" t="s"/>
      <c r="I115" t="s"/>
      <c r="J115" t="n">
        <v>0</v>
      </c>
      <c r="K115" t="n">
        <v>0</v>
      </c>
      <c r="L115" t="n">
        <v>1</v>
      </c>
      <c r="M115" t="n">
        <v>0</v>
      </c>
    </row>
    <row r="116" spans="1:13">
      <c r="A116" s="1">
        <f>HYPERLINK("http://www.twitter.com/NathanBLawrence/status/998572689546731521", "998572689546731521")</f>
        <v/>
      </c>
      <c r="B116" s="2" t="n">
        <v>43241.60712962963</v>
      </c>
      <c r="C116" t="n">
        <v>0</v>
      </c>
      <c r="D116" t="n">
        <v>3</v>
      </c>
      <c r="E116" t="s">
        <v>127</v>
      </c>
      <c r="F116" t="s"/>
      <c r="G116" t="s"/>
      <c r="H116" t="s"/>
      <c r="I116" t="s"/>
      <c r="J116" t="n">
        <v>0</v>
      </c>
      <c r="K116" t="n">
        <v>0</v>
      </c>
      <c r="L116" t="n">
        <v>1</v>
      </c>
      <c r="M116" t="n">
        <v>0</v>
      </c>
    </row>
    <row r="117" spans="1:13">
      <c r="A117" s="1">
        <f>HYPERLINK("http://www.twitter.com/NathanBLawrence/status/998572660513759232", "998572660513759232")</f>
        <v/>
      </c>
      <c r="B117" s="2" t="n">
        <v>43241.60704861111</v>
      </c>
      <c r="C117" t="n">
        <v>0</v>
      </c>
      <c r="D117" t="n">
        <v>24</v>
      </c>
      <c r="E117" t="s">
        <v>128</v>
      </c>
      <c r="F117">
        <f>HYPERLINK("http://pbs.twimg.com/media/Ddtx48ZVAAA0rLc.jpg", "http://pbs.twimg.com/media/Ddtx48ZVAAA0rLc.jpg")</f>
        <v/>
      </c>
      <c r="G117" t="s"/>
      <c r="H117" t="s"/>
      <c r="I117" t="s"/>
      <c r="J117" t="n">
        <v>-0.2387</v>
      </c>
      <c r="K117" t="n">
        <v>0.176</v>
      </c>
      <c r="L117" t="n">
        <v>0.6889999999999999</v>
      </c>
      <c r="M117" t="n">
        <v>0.135</v>
      </c>
    </row>
    <row r="118" spans="1:13">
      <c r="A118" s="1">
        <f>HYPERLINK("http://www.twitter.com/NathanBLawrence/status/998572433778118656", "998572433778118656")</f>
        <v/>
      </c>
      <c r="B118" s="2" t="n">
        <v>43241.60642361111</v>
      </c>
      <c r="C118" t="n">
        <v>0</v>
      </c>
      <c r="D118" t="n">
        <v>647</v>
      </c>
      <c r="E118" t="s">
        <v>129</v>
      </c>
      <c r="F118" t="s"/>
      <c r="G118" t="s"/>
      <c r="H118" t="s"/>
      <c r="I118" t="s"/>
      <c r="J118" t="n">
        <v>0.7164</v>
      </c>
      <c r="K118" t="n">
        <v>0.127</v>
      </c>
      <c r="L118" t="n">
        <v>0.528</v>
      </c>
      <c r="M118" t="n">
        <v>0.344</v>
      </c>
    </row>
    <row r="119" spans="1:13">
      <c r="A119" s="1">
        <f>HYPERLINK("http://www.twitter.com/NathanBLawrence/status/998572114520178688", "998572114520178688")</f>
        <v/>
      </c>
      <c r="B119" s="2" t="n">
        <v>43241.60554398148</v>
      </c>
      <c r="C119" t="n">
        <v>3</v>
      </c>
      <c r="D119" t="n">
        <v>2</v>
      </c>
      <c r="E119" t="s">
        <v>130</v>
      </c>
      <c r="F119" t="s"/>
      <c r="G119" t="s"/>
      <c r="H119" t="s"/>
      <c r="I119" t="s"/>
      <c r="J119" t="n">
        <v>-0.714</v>
      </c>
      <c r="K119" t="n">
        <v>0.11</v>
      </c>
      <c r="L119" t="n">
        <v>0.89</v>
      </c>
      <c r="M119" t="n">
        <v>0</v>
      </c>
    </row>
    <row r="120" spans="1:13">
      <c r="A120" s="1">
        <f>HYPERLINK("http://www.twitter.com/NathanBLawrence/status/998570712779587584", "998570712779587584")</f>
        <v/>
      </c>
      <c r="B120" s="2" t="n">
        <v>43241.60167824074</v>
      </c>
      <c r="C120" t="n">
        <v>0</v>
      </c>
      <c r="D120" t="n">
        <v>0</v>
      </c>
      <c r="E120" t="s">
        <v>131</v>
      </c>
      <c r="F120">
        <f>HYPERLINK("https://video.twimg.com/ext_tw_video/998570654248026113/pu/vid/1280x720/a3foIRn2TAgDE-tH.mp4?tag=3", "https://video.twimg.com/ext_tw_video/998570654248026113/pu/vid/1280x720/a3foIRn2TAgDE-tH.mp4?tag=3")</f>
        <v/>
      </c>
      <c r="G120" t="s"/>
      <c r="H120" t="s"/>
      <c r="I120" t="s"/>
      <c r="J120" t="n">
        <v>-0.9393</v>
      </c>
      <c r="K120" t="n">
        <v>0.272</v>
      </c>
      <c r="L120" t="n">
        <v>0.6909999999999999</v>
      </c>
      <c r="M120" t="n">
        <v>0.037</v>
      </c>
    </row>
    <row r="121" spans="1:13">
      <c r="A121" s="1">
        <f>HYPERLINK("http://www.twitter.com/NathanBLawrence/status/998568177696215040", "998568177696215040")</f>
        <v/>
      </c>
      <c r="B121" s="2" t="n">
        <v>43241.59467592592</v>
      </c>
      <c r="C121" t="n">
        <v>0</v>
      </c>
      <c r="D121" t="n">
        <v>1</v>
      </c>
      <c r="E121" t="s">
        <v>132</v>
      </c>
      <c r="F121" t="s"/>
      <c r="G121" t="s"/>
      <c r="H121" t="s"/>
      <c r="I121" t="s"/>
      <c r="J121" t="n">
        <v>0</v>
      </c>
      <c r="K121" t="n">
        <v>0</v>
      </c>
      <c r="L121" t="n">
        <v>1</v>
      </c>
      <c r="M121" t="n">
        <v>0</v>
      </c>
    </row>
    <row r="122" spans="1:13">
      <c r="A122" s="1">
        <f>HYPERLINK("http://www.twitter.com/NathanBLawrence/status/998568141218344961", "998568141218344961")</f>
        <v/>
      </c>
      <c r="B122" s="2" t="n">
        <v>43241.59458333333</v>
      </c>
      <c r="C122" t="n">
        <v>1</v>
      </c>
      <c r="D122" t="n">
        <v>1</v>
      </c>
      <c r="E122" t="s">
        <v>133</v>
      </c>
      <c r="F122" t="s"/>
      <c r="G122" t="s"/>
      <c r="H122" t="s"/>
      <c r="I122" t="s"/>
      <c r="J122" t="n">
        <v>0</v>
      </c>
      <c r="K122" t="n">
        <v>0</v>
      </c>
      <c r="L122" t="n">
        <v>1</v>
      </c>
      <c r="M122" t="n">
        <v>0</v>
      </c>
    </row>
    <row r="123" spans="1:13">
      <c r="A123" s="1">
        <f>HYPERLINK("http://www.twitter.com/NathanBLawrence/status/998568076667957249", "998568076667957249")</f>
        <v/>
      </c>
      <c r="B123" s="2" t="n">
        <v>43241.59439814815</v>
      </c>
      <c r="C123" t="n">
        <v>0</v>
      </c>
      <c r="D123" t="n">
        <v>11</v>
      </c>
      <c r="E123" t="s">
        <v>134</v>
      </c>
      <c r="F123">
        <f>HYPERLINK("https://video.twimg.com/ext_tw_video/994319575771561985/pu/vid/1280x720/g4ImC7udzwA49FOc.mp4?tag=3", "https://video.twimg.com/ext_tw_video/994319575771561985/pu/vid/1280x720/g4ImC7udzwA49FOc.mp4?tag=3")</f>
        <v/>
      </c>
      <c r="G123" t="s"/>
      <c r="H123" t="s"/>
      <c r="I123" t="s"/>
      <c r="J123" t="n">
        <v>0</v>
      </c>
      <c r="K123" t="n">
        <v>0</v>
      </c>
      <c r="L123" t="n">
        <v>1</v>
      </c>
      <c r="M123" t="n">
        <v>0</v>
      </c>
    </row>
    <row r="124" spans="1:13">
      <c r="A124" s="1">
        <f>HYPERLINK("http://www.twitter.com/NathanBLawrence/status/998567473678077955", "998567473678077955")</f>
        <v/>
      </c>
      <c r="B124" s="2" t="n">
        <v>43241.59273148148</v>
      </c>
      <c r="C124" t="n">
        <v>0</v>
      </c>
      <c r="D124" t="n">
        <v>6</v>
      </c>
      <c r="E124" t="s">
        <v>135</v>
      </c>
      <c r="F124">
        <f>HYPERLINK("https://video.twimg.com/ext_tw_video/998567375447343104/pu/vid/240x240/KdJAeE4PovCApvim.mp4?tag=3", "https://video.twimg.com/ext_tw_video/998567375447343104/pu/vid/240x240/KdJAeE4PovCApvim.mp4?tag=3")</f>
        <v/>
      </c>
      <c r="G124" t="s"/>
      <c r="H124" t="s"/>
      <c r="I124" t="s"/>
      <c r="J124" t="n">
        <v>0</v>
      </c>
      <c r="K124" t="n">
        <v>0</v>
      </c>
      <c r="L124" t="n">
        <v>1</v>
      </c>
      <c r="M124" t="n">
        <v>0</v>
      </c>
    </row>
    <row r="125" spans="1:13">
      <c r="A125" s="1">
        <f>HYPERLINK("http://www.twitter.com/NathanBLawrence/status/998567438043222016", "998567438043222016")</f>
        <v/>
      </c>
      <c r="B125" s="2" t="n">
        <v>43241.59263888889</v>
      </c>
      <c r="C125" t="n">
        <v>5</v>
      </c>
      <c r="D125" t="n">
        <v>6</v>
      </c>
      <c r="E125" t="s">
        <v>136</v>
      </c>
      <c r="F125">
        <f>HYPERLINK("https://video.twimg.com/ext_tw_video/998567375447343104/pu/vid/240x240/KdJAeE4PovCApvim.mp4?tag=3", "https://video.twimg.com/ext_tw_video/998567375447343104/pu/vid/240x240/KdJAeE4PovCApvim.mp4?tag=3")</f>
        <v/>
      </c>
      <c r="G125" t="s"/>
      <c r="H125" t="s"/>
      <c r="I125" t="s"/>
      <c r="J125" t="n">
        <v>-0.3089</v>
      </c>
      <c r="K125" t="n">
        <v>0.062</v>
      </c>
      <c r="L125" t="n">
        <v>0.9379999999999999</v>
      </c>
      <c r="M125" t="n">
        <v>0</v>
      </c>
    </row>
    <row r="126" spans="1:13">
      <c r="A126" s="1">
        <f>HYPERLINK("http://www.twitter.com/NathanBLawrence/status/998565044198825984", "998565044198825984")</f>
        <v/>
      </c>
      <c r="B126" s="2" t="n">
        <v>43241.58603009259</v>
      </c>
      <c r="C126" t="n">
        <v>0</v>
      </c>
      <c r="D126" t="n">
        <v>9</v>
      </c>
      <c r="E126" t="s">
        <v>137</v>
      </c>
      <c r="F126" t="s"/>
      <c r="G126" t="s"/>
      <c r="H126" t="s"/>
      <c r="I126" t="s"/>
      <c r="J126" t="n">
        <v>-0.4466</v>
      </c>
      <c r="K126" t="n">
        <v>0.164</v>
      </c>
      <c r="L126" t="n">
        <v>0.836</v>
      </c>
      <c r="M126" t="n">
        <v>0</v>
      </c>
    </row>
    <row r="127" spans="1:13">
      <c r="A127" s="1">
        <f>HYPERLINK("http://www.twitter.com/NathanBLawrence/status/998370540300718081", "998370540300718081")</f>
        <v/>
      </c>
      <c r="B127" s="2" t="n">
        <v>43241.04930555556</v>
      </c>
      <c r="C127" t="n">
        <v>0</v>
      </c>
      <c r="D127" t="n">
        <v>6</v>
      </c>
      <c r="E127" t="s">
        <v>138</v>
      </c>
      <c r="F127" t="s"/>
      <c r="G127" t="s"/>
      <c r="H127" t="s"/>
      <c r="I127" t="s"/>
      <c r="J127" t="n">
        <v>0</v>
      </c>
      <c r="K127" t="n">
        <v>0</v>
      </c>
      <c r="L127" t="n">
        <v>1</v>
      </c>
      <c r="M127" t="n">
        <v>0</v>
      </c>
    </row>
    <row r="128" spans="1:13">
      <c r="A128" s="1">
        <f>HYPERLINK("http://www.twitter.com/NathanBLawrence/status/998370431789944833", "998370431789944833")</f>
        <v/>
      </c>
      <c r="B128" s="2" t="n">
        <v>43241.04900462963</v>
      </c>
      <c r="C128" t="n">
        <v>0</v>
      </c>
      <c r="D128" t="n">
        <v>1</v>
      </c>
      <c r="E128" t="s">
        <v>139</v>
      </c>
      <c r="F128" t="s"/>
      <c r="G128" t="s"/>
      <c r="H128" t="s"/>
      <c r="I128" t="s"/>
      <c r="J128" t="n">
        <v>0</v>
      </c>
      <c r="K128" t="n">
        <v>0</v>
      </c>
      <c r="L128" t="n">
        <v>1</v>
      </c>
      <c r="M128" t="n">
        <v>0</v>
      </c>
    </row>
    <row r="129" spans="1:13">
      <c r="A129" s="1">
        <f>HYPERLINK("http://www.twitter.com/NathanBLawrence/status/998362954163802112", "998362954163802112")</f>
        <v/>
      </c>
      <c r="B129" s="2" t="n">
        <v>43241.02836805556</v>
      </c>
      <c r="C129" t="n">
        <v>1</v>
      </c>
      <c r="D129" t="n">
        <v>0</v>
      </c>
      <c r="E129" t="s">
        <v>140</v>
      </c>
      <c r="F129" t="s"/>
      <c r="G129" t="s"/>
      <c r="H129" t="s"/>
      <c r="I129" t="s"/>
      <c r="J129" t="n">
        <v>0</v>
      </c>
      <c r="K129" t="n">
        <v>0</v>
      </c>
      <c r="L129" t="n">
        <v>1</v>
      </c>
      <c r="M129" t="n">
        <v>0</v>
      </c>
    </row>
    <row r="130" spans="1:13">
      <c r="A130" s="1">
        <f>HYPERLINK("http://www.twitter.com/NathanBLawrence/status/998362780754464768", "998362780754464768")</f>
        <v/>
      </c>
      <c r="B130" s="2" t="n">
        <v>43241.02789351852</v>
      </c>
      <c r="C130" t="n">
        <v>0</v>
      </c>
      <c r="D130" t="n">
        <v>1</v>
      </c>
      <c r="E130" t="s">
        <v>141</v>
      </c>
      <c r="F130" t="s"/>
      <c r="G130" t="s"/>
      <c r="H130" t="s"/>
      <c r="I130" t="s"/>
      <c r="J130" t="n">
        <v>0</v>
      </c>
      <c r="K130" t="n">
        <v>0</v>
      </c>
      <c r="L130" t="n">
        <v>1</v>
      </c>
      <c r="M130" t="n">
        <v>0</v>
      </c>
    </row>
    <row r="131" spans="1:13">
      <c r="A131" s="1">
        <f>HYPERLINK("http://www.twitter.com/NathanBLawrence/status/998362715059048448", "998362715059048448")</f>
        <v/>
      </c>
      <c r="B131" s="2" t="n">
        <v>43241.02770833333</v>
      </c>
      <c r="C131" t="n">
        <v>2</v>
      </c>
      <c r="D131" t="n">
        <v>1</v>
      </c>
      <c r="E131" t="s">
        <v>142</v>
      </c>
      <c r="F131" t="s"/>
      <c r="G131" t="s"/>
      <c r="H131" t="s"/>
      <c r="I131" t="s"/>
      <c r="J131" t="n">
        <v>0</v>
      </c>
      <c r="K131" t="n">
        <v>0</v>
      </c>
      <c r="L131" t="n">
        <v>1</v>
      </c>
      <c r="M131" t="n">
        <v>0</v>
      </c>
    </row>
    <row r="132" spans="1:13">
      <c r="A132" s="1">
        <f>HYPERLINK("http://www.twitter.com/NathanBLawrence/status/998354317584281600", "998354317584281600")</f>
        <v/>
      </c>
      <c r="B132" s="2" t="n">
        <v>43241.00453703704</v>
      </c>
      <c r="C132" t="n">
        <v>1</v>
      </c>
      <c r="D132" t="n">
        <v>0</v>
      </c>
      <c r="E132" t="s">
        <v>143</v>
      </c>
      <c r="F132" t="s"/>
      <c r="G132" t="s"/>
      <c r="H132" t="s"/>
      <c r="I132" t="s"/>
      <c r="J132" t="n">
        <v>0.5859</v>
      </c>
      <c r="K132" t="n">
        <v>0</v>
      </c>
      <c r="L132" t="n">
        <v>0.676</v>
      </c>
      <c r="M132" t="n">
        <v>0.324</v>
      </c>
    </row>
    <row r="133" spans="1:13">
      <c r="A133" s="1">
        <f>HYPERLINK("http://www.twitter.com/NathanBLawrence/status/998354065452158976", "998354065452158976")</f>
        <v/>
      </c>
      <c r="B133" s="2" t="n">
        <v>43241.0038425926</v>
      </c>
      <c r="C133" t="n">
        <v>2</v>
      </c>
      <c r="D133" t="n">
        <v>0</v>
      </c>
      <c r="E133" t="s">
        <v>144</v>
      </c>
      <c r="F133" t="s"/>
      <c r="G133" t="s"/>
      <c r="H133" t="s"/>
      <c r="I133" t="s"/>
      <c r="J133" t="n">
        <v>-0.6102</v>
      </c>
      <c r="K133" t="n">
        <v>0.198</v>
      </c>
      <c r="L133" t="n">
        <v>0.6919999999999999</v>
      </c>
      <c r="M133" t="n">
        <v>0.11</v>
      </c>
    </row>
    <row r="134" spans="1:13">
      <c r="A134" s="1">
        <f>HYPERLINK("http://www.twitter.com/NathanBLawrence/status/998351403142864896", "998351403142864896")</f>
        <v/>
      </c>
      <c r="B134" s="2" t="n">
        <v>43240.99649305556</v>
      </c>
      <c r="C134" t="n">
        <v>18</v>
      </c>
      <c r="D134" t="n">
        <v>15</v>
      </c>
      <c r="E134" t="s">
        <v>145</v>
      </c>
      <c r="F134" t="s"/>
      <c r="G134" t="s"/>
      <c r="H134" t="s"/>
      <c r="I134" t="s"/>
      <c r="J134" t="n">
        <v>0.7901</v>
      </c>
      <c r="K134" t="n">
        <v>0</v>
      </c>
      <c r="L134" t="n">
        <v>0.845</v>
      </c>
      <c r="M134" t="n">
        <v>0.155</v>
      </c>
    </row>
    <row r="135" spans="1:13">
      <c r="A135" s="1">
        <f>HYPERLINK("http://www.twitter.com/NathanBLawrence/status/998347790811058185", "998347790811058185")</f>
        <v/>
      </c>
      <c r="B135" s="2" t="n">
        <v>43240.98652777778</v>
      </c>
      <c r="C135" t="n">
        <v>0</v>
      </c>
      <c r="D135" t="n">
        <v>7</v>
      </c>
      <c r="E135" t="s">
        <v>146</v>
      </c>
      <c r="F135">
        <f>HYPERLINK("http://pbs.twimg.com/media/DdrT1SvU0AIa5xK.jpg", "http://pbs.twimg.com/media/DdrT1SvU0AIa5xK.jpg")</f>
        <v/>
      </c>
      <c r="G135">
        <f>HYPERLINK("http://pbs.twimg.com/media/DdrT5c-VMAArsZC.jpg", "http://pbs.twimg.com/media/DdrT5c-VMAArsZC.jpg")</f>
        <v/>
      </c>
      <c r="H135">
        <f>HYPERLINK("http://pbs.twimg.com/media/DdrT95TV4AA6X2O.jpg", "http://pbs.twimg.com/media/DdrT95TV4AA6X2O.jpg")</f>
        <v/>
      </c>
      <c r="I135">
        <f>HYPERLINK("http://pbs.twimg.com/media/DdrUJ5DVMAAghzQ.jpg", "http://pbs.twimg.com/media/DdrUJ5DVMAAghzQ.jpg")</f>
        <v/>
      </c>
      <c r="J135" t="n">
        <v>0</v>
      </c>
      <c r="K135" t="n">
        <v>0</v>
      </c>
      <c r="L135" t="n">
        <v>1</v>
      </c>
      <c r="M135" t="n">
        <v>0</v>
      </c>
    </row>
    <row r="136" spans="1:13">
      <c r="A136" s="1">
        <f>HYPERLINK("http://www.twitter.com/NathanBLawrence/status/998347639136686080", "998347639136686080")</f>
        <v/>
      </c>
      <c r="B136" s="2" t="n">
        <v>43240.98611111111</v>
      </c>
      <c r="C136" t="n">
        <v>0</v>
      </c>
      <c r="D136" t="n">
        <v>652</v>
      </c>
      <c r="E136" t="s">
        <v>147</v>
      </c>
      <c r="F136">
        <f>HYPERLINK("https://video.twimg.com/amplify_video/998260077646802945/vid/1280x720/jVX4qFBMxhJXSS1B.mp4?tag=2", "https://video.twimg.com/amplify_video/998260077646802945/vid/1280x720/jVX4qFBMxhJXSS1B.mp4?tag=2")</f>
        <v/>
      </c>
      <c r="G136" t="s"/>
      <c r="H136" t="s"/>
      <c r="I136" t="s"/>
      <c r="J136" t="n">
        <v>0</v>
      </c>
      <c r="K136" t="n">
        <v>0</v>
      </c>
      <c r="L136" t="n">
        <v>1</v>
      </c>
      <c r="M136" t="n">
        <v>0</v>
      </c>
    </row>
    <row r="137" spans="1:13">
      <c r="A137" s="1">
        <f>HYPERLINK("http://www.twitter.com/NathanBLawrence/status/998347482760347651", "998347482760347651")</f>
        <v/>
      </c>
      <c r="B137" s="2" t="n">
        <v>43240.98567129629</v>
      </c>
      <c r="C137" t="n">
        <v>0</v>
      </c>
      <c r="D137" t="n">
        <v>17</v>
      </c>
      <c r="E137" t="s">
        <v>148</v>
      </c>
      <c r="F137" t="s"/>
      <c r="G137" t="s"/>
      <c r="H137" t="s"/>
      <c r="I137" t="s"/>
      <c r="J137" t="n">
        <v>0</v>
      </c>
      <c r="K137" t="n">
        <v>0</v>
      </c>
      <c r="L137" t="n">
        <v>1</v>
      </c>
      <c r="M137" t="n">
        <v>0</v>
      </c>
    </row>
    <row r="138" spans="1:13">
      <c r="A138" s="1">
        <f>HYPERLINK("http://www.twitter.com/NathanBLawrence/status/998318647675441152", "998318647675441152")</f>
        <v/>
      </c>
      <c r="B138" s="2" t="n">
        <v>43240.90611111111</v>
      </c>
      <c r="C138" t="n">
        <v>0</v>
      </c>
      <c r="D138" t="n">
        <v>1</v>
      </c>
      <c r="E138" t="s">
        <v>149</v>
      </c>
      <c r="F138" t="s"/>
      <c r="G138" t="s"/>
      <c r="H138" t="s"/>
      <c r="I138" t="s"/>
      <c r="J138" t="n">
        <v>0</v>
      </c>
      <c r="K138" t="n">
        <v>0</v>
      </c>
      <c r="L138" t="n">
        <v>1</v>
      </c>
      <c r="M138" t="n">
        <v>0</v>
      </c>
    </row>
    <row r="139" spans="1:13">
      <c r="A139" s="1">
        <f>HYPERLINK("http://www.twitter.com/NathanBLawrence/status/998318634626777089", "998318634626777089")</f>
        <v/>
      </c>
      <c r="B139" s="2" t="n">
        <v>43240.90607638889</v>
      </c>
      <c r="C139" t="n">
        <v>1</v>
      </c>
      <c r="D139" t="n">
        <v>0</v>
      </c>
      <c r="E139" t="s">
        <v>150</v>
      </c>
      <c r="F139" t="s"/>
      <c r="G139" t="s"/>
      <c r="H139" t="s"/>
      <c r="I139" t="s"/>
      <c r="J139" t="n">
        <v>0</v>
      </c>
      <c r="K139" t="n">
        <v>0</v>
      </c>
      <c r="L139" t="n">
        <v>1</v>
      </c>
      <c r="M139" t="n">
        <v>0</v>
      </c>
    </row>
    <row r="140" spans="1:13">
      <c r="A140" s="1">
        <f>HYPERLINK("http://www.twitter.com/NathanBLawrence/status/998317856948441088", "998317856948441088")</f>
        <v/>
      </c>
      <c r="B140" s="2" t="n">
        <v>43240.90392361111</v>
      </c>
      <c r="C140" t="n">
        <v>1</v>
      </c>
      <c r="D140" t="n">
        <v>1</v>
      </c>
      <c r="E140" t="s">
        <v>151</v>
      </c>
      <c r="F140" t="s"/>
      <c r="G140" t="s"/>
      <c r="H140" t="s"/>
      <c r="I140" t="s"/>
      <c r="J140" t="n">
        <v>-0.1655</v>
      </c>
      <c r="K140" t="n">
        <v>0.08799999999999999</v>
      </c>
      <c r="L140" t="n">
        <v>0.912</v>
      </c>
      <c r="M140" t="n">
        <v>0</v>
      </c>
    </row>
    <row r="141" spans="1:13">
      <c r="A141" s="1">
        <f>HYPERLINK("http://www.twitter.com/NathanBLawrence/status/998316217881579521", "998316217881579521")</f>
        <v/>
      </c>
      <c r="B141" s="2" t="n">
        <v>43240.89939814815</v>
      </c>
      <c r="C141" t="n">
        <v>0</v>
      </c>
      <c r="D141" t="n">
        <v>16</v>
      </c>
      <c r="E141" t="s">
        <v>152</v>
      </c>
      <c r="F141">
        <f>HYPERLINK("http://pbs.twimg.com/media/DdFx_KWV0AEmCRT.jpg", "http://pbs.twimg.com/media/DdFx_KWV0AEmCRT.jpg")</f>
        <v/>
      </c>
      <c r="G141" t="s"/>
      <c r="H141" t="s"/>
      <c r="I141" t="s"/>
      <c r="J141" t="n">
        <v>-0.296</v>
      </c>
      <c r="K141" t="n">
        <v>0.101</v>
      </c>
      <c r="L141" t="n">
        <v>0.847</v>
      </c>
      <c r="M141" t="n">
        <v>0.052</v>
      </c>
    </row>
    <row r="142" spans="1:13">
      <c r="A142" s="1">
        <f>HYPERLINK("http://www.twitter.com/NathanBLawrence/status/998313302286532608", "998313302286532608")</f>
        <v/>
      </c>
      <c r="B142" s="2" t="n">
        <v>43240.89135416667</v>
      </c>
      <c r="C142" t="n">
        <v>0</v>
      </c>
      <c r="D142" t="n">
        <v>17</v>
      </c>
      <c r="E142" t="s">
        <v>153</v>
      </c>
      <c r="F142" t="s"/>
      <c r="G142" t="s"/>
      <c r="H142" t="s"/>
      <c r="I142" t="s"/>
      <c r="J142" t="n">
        <v>0.7351</v>
      </c>
      <c r="K142" t="n">
        <v>0</v>
      </c>
      <c r="L142" t="n">
        <v>0.708</v>
      </c>
      <c r="M142" t="n">
        <v>0.292</v>
      </c>
    </row>
    <row r="143" spans="1:13">
      <c r="A143" s="1">
        <f>HYPERLINK("http://www.twitter.com/NathanBLawrence/status/998313267104829440", "998313267104829440")</f>
        <v/>
      </c>
      <c r="B143" s="2" t="n">
        <v>43240.89126157408</v>
      </c>
      <c r="C143" t="n">
        <v>0</v>
      </c>
      <c r="D143" t="n">
        <v>32</v>
      </c>
      <c r="E143" t="s">
        <v>154</v>
      </c>
      <c r="F143" t="s"/>
      <c r="G143" t="s"/>
      <c r="H143" t="s"/>
      <c r="I143" t="s"/>
      <c r="J143" t="n">
        <v>0</v>
      </c>
      <c r="K143" t="n">
        <v>0</v>
      </c>
      <c r="L143" t="n">
        <v>1</v>
      </c>
      <c r="M143" t="n">
        <v>0</v>
      </c>
    </row>
    <row r="144" spans="1:13">
      <c r="A144" s="1">
        <f>HYPERLINK("http://www.twitter.com/NathanBLawrence/status/998299581573189633", "998299581573189633")</f>
        <v/>
      </c>
      <c r="B144" s="2" t="n">
        <v>43240.85349537037</v>
      </c>
      <c r="C144" t="n">
        <v>1</v>
      </c>
      <c r="D144" t="n">
        <v>1</v>
      </c>
      <c r="E144" t="s">
        <v>155</v>
      </c>
      <c r="F144" t="s"/>
      <c r="G144" t="s"/>
      <c r="H144" t="s"/>
      <c r="I144" t="s"/>
      <c r="J144" t="n">
        <v>0</v>
      </c>
      <c r="K144" t="n">
        <v>0</v>
      </c>
      <c r="L144" t="n">
        <v>1</v>
      </c>
      <c r="M144" t="n">
        <v>0</v>
      </c>
    </row>
    <row r="145" spans="1:13">
      <c r="A145" s="1">
        <f>HYPERLINK("http://www.twitter.com/NathanBLawrence/status/998297703200239616", "998297703200239616")</f>
        <v/>
      </c>
      <c r="B145" s="2" t="n">
        <v>43240.84831018518</v>
      </c>
      <c r="C145" t="n">
        <v>0</v>
      </c>
      <c r="D145" t="n">
        <v>1</v>
      </c>
      <c r="E145" t="s">
        <v>156</v>
      </c>
      <c r="F145" t="s"/>
      <c r="G145" t="s"/>
      <c r="H145" t="s"/>
      <c r="I145" t="s"/>
      <c r="J145" t="n">
        <v>-0.5266999999999999</v>
      </c>
      <c r="K145" t="n">
        <v>0.159</v>
      </c>
      <c r="L145" t="n">
        <v>0.841</v>
      </c>
      <c r="M145" t="n">
        <v>0</v>
      </c>
    </row>
    <row r="146" spans="1:13">
      <c r="A146" s="1">
        <f>HYPERLINK("http://www.twitter.com/NathanBLawrence/status/998297622002786304", "998297622002786304")</f>
        <v/>
      </c>
      <c r="B146" s="2" t="n">
        <v>43240.84809027778</v>
      </c>
      <c r="C146" t="n">
        <v>0</v>
      </c>
      <c r="D146" t="n">
        <v>11</v>
      </c>
      <c r="E146" t="s">
        <v>157</v>
      </c>
      <c r="F146">
        <f>HYPERLINK("http://pbs.twimg.com/media/DdqhW1GV4AEhcYG.jpg", "http://pbs.twimg.com/media/DdqhW1GV4AEhcYG.jpg")</f>
        <v/>
      </c>
      <c r="G146" t="s"/>
      <c r="H146" t="s"/>
      <c r="I146" t="s"/>
      <c r="J146" t="n">
        <v>0</v>
      </c>
      <c r="K146" t="n">
        <v>0</v>
      </c>
      <c r="L146" t="n">
        <v>1</v>
      </c>
      <c r="M146" t="n">
        <v>0</v>
      </c>
    </row>
    <row r="147" spans="1:13">
      <c r="A147" s="1">
        <f>HYPERLINK("http://www.twitter.com/NathanBLawrence/status/998296838972346368", "998296838972346368")</f>
        <v/>
      </c>
      <c r="B147" s="2" t="n">
        <v>43240.84592592593</v>
      </c>
      <c r="C147" t="n">
        <v>0</v>
      </c>
      <c r="D147" t="n">
        <v>35</v>
      </c>
      <c r="E147" t="s">
        <v>158</v>
      </c>
      <c r="F147">
        <f>HYPERLINK("http://pbs.twimg.com/media/Ddl_rM5UwAA_PSL.jpg", "http://pbs.twimg.com/media/Ddl_rM5UwAA_PSL.jpg")</f>
        <v/>
      </c>
      <c r="G147" t="s"/>
      <c r="H147" t="s"/>
      <c r="I147" t="s"/>
      <c r="J147" t="n">
        <v>0.4199</v>
      </c>
      <c r="K147" t="n">
        <v>0</v>
      </c>
      <c r="L147" t="n">
        <v>0.798</v>
      </c>
      <c r="M147" t="n">
        <v>0.202</v>
      </c>
    </row>
    <row r="148" spans="1:13">
      <c r="A148" s="1">
        <f>HYPERLINK("http://www.twitter.com/NathanBLawrence/status/998296770613514247", "998296770613514247")</f>
        <v/>
      </c>
      <c r="B148" s="2" t="n">
        <v>43240.84574074074</v>
      </c>
      <c r="C148" t="n">
        <v>0</v>
      </c>
      <c r="D148" t="n">
        <v>14</v>
      </c>
      <c r="E148" t="s">
        <v>159</v>
      </c>
      <c r="F148" t="s"/>
      <c r="G148" t="s"/>
      <c r="H148" t="s"/>
      <c r="I148" t="s"/>
      <c r="J148" t="n">
        <v>-0.8176</v>
      </c>
      <c r="K148" t="n">
        <v>0.349</v>
      </c>
      <c r="L148" t="n">
        <v>0.651</v>
      </c>
      <c r="M148" t="n">
        <v>0</v>
      </c>
    </row>
    <row r="149" spans="1:13">
      <c r="A149" s="1">
        <f>HYPERLINK("http://www.twitter.com/NathanBLawrence/status/998296489213472768", "998296489213472768")</f>
        <v/>
      </c>
      <c r="B149" s="2" t="n">
        <v>43240.84496527778</v>
      </c>
      <c r="C149" t="n">
        <v>0</v>
      </c>
      <c r="D149" t="n">
        <v>84</v>
      </c>
      <c r="E149" t="s">
        <v>160</v>
      </c>
      <c r="F149" t="s"/>
      <c r="G149" t="s"/>
      <c r="H149" t="s"/>
      <c r="I149" t="s"/>
      <c r="J149" t="n">
        <v>0.5423</v>
      </c>
      <c r="K149" t="n">
        <v>0</v>
      </c>
      <c r="L149" t="n">
        <v>0.844</v>
      </c>
      <c r="M149" t="n">
        <v>0.156</v>
      </c>
    </row>
    <row r="150" spans="1:13">
      <c r="A150" s="1">
        <f>HYPERLINK("http://www.twitter.com/NathanBLawrence/status/998296397278564352", "998296397278564352")</f>
        <v/>
      </c>
      <c r="B150" s="2" t="n">
        <v>43240.84471064815</v>
      </c>
      <c r="C150" t="n">
        <v>0</v>
      </c>
      <c r="D150" t="n">
        <v>41</v>
      </c>
      <c r="E150" t="s">
        <v>161</v>
      </c>
      <c r="F150" t="s"/>
      <c r="G150" t="s"/>
      <c r="H150" t="s"/>
      <c r="I150" t="s"/>
      <c r="J150" t="n">
        <v>0</v>
      </c>
      <c r="K150" t="n">
        <v>0</v>
      </c>
      <c r="L150" t="n">
        <v>1</v>
      </c>
      <c r="M150" t="n">
        <v>0</v>
      </c>
    </row>
    <row r="151" spans="1:13">
      <c r="A151" s="1">
        <f>HYPERLINK("http://www.twitter.com/NathanBLawrence/status/998296365041004544", "998296365041004544")</f>
        <v/>
      </c>
      <c r="B151" s="2" t="n">
        <v>43240.84461805555</v>
      </c>
      <c r="C151" t="n">
        <v>0</v>
      </c>
      <c r="D151" t="n">
        <v>21</v>
      </c>
      <c r="E151" t="s">
        <v>162</v>
      </c>
      <c r="F151" t="s"/>
      <c r="G151" t="s"/>
      <c r="H151" t="s"/>
      <c r="I151" t="s"/>
      <c r="J151" t="n">
        <v>0</v>
      </c>
      <c r="K151" t="n">
        <v>0</v>
      </c>
      <c r="L151" t="n">
        <v>1</v>
      </c>
      <c r="M151" t="n">
        <v>0</v>
      </c>
    </row>
    <row r="152" spans="1:13">
      <c r="A152" s="1">
        <f>HYPERLINK("http://www.twitter.com/NathanBLawrence/status/998296209755463680", "998296209755463680")</f>
        <v/>
      </c>
      <c r="B152" s="2" t="n">
        <v>43240.84418981482</v>
      </c>
      <c r="C152" t="n">
        <v>0</v>
      </c>
      <c r="D152" t="n">
        <v>24</v>
      </c>
      <c r="E152" t="s">
        <v>163</v>
      </c>
      <c r="F152" t="s"/>
      <c r="G152" t="s"/>
      <c r="H152" t="s"/>
      <c r="I152" t="s"/>
      <c r="J152" t="n">
        <v>0</v>
      </c>
      <c r="K152" t="n">
        <v>0</v>
      </c>
      <c r="L152" t="n">
        <v>1</v>
      </c>
      <c r="M152" t="n">
        <v>0</v>
      </c>
    </row>
    <row r="153" spans="1:13">
      <c r="A153" s="1">
        <f>HYPERLINK("http://www.twitter.com/NathanBLawrence/status/998296117644353536", "998296117644353536")</f>
        <v/>
      </c>
      <c r="B153" s="2" t="n">
        <v>43240.84393518518</v>
      </c>
      <c r="C153" t="n">
        <v>0</v>
      </c>
      <c r="D153" t="n">
        <v>71</v>
      </c>
      <c r="E153" t="s">
        <v>164</v>
      </c>
      <c r="F153" t="s"/>
      <c r="G153" t="s"/>
      <c r="H153" t="s"/>
      <c r="I153" t="s"/>
      <c r="J153" t="n">
        <v>0.5574</v>
      </c>
      <c r="K153" t="n">
        <v>0</v>
      </c>
      <c r="L153" t="n">
        <v>0.841</v>
      </c>
      <c r="M153" t="n">
        <v>0.159</v>
      </c>
    </row>
    <row r="154" spans="1:13">
      <c r="A154" s="1">
        <f>HYPERLINK("http://www.twitter.com/NathanBLawrence/status/998292802625732608", "998292802625732608")</f>
        <v/>
      </c>
      <c r="B154" s="2" t="n">
        <v>43240.83479166667</v>
      </c>
      <c r="C154" t="n">
        <v>0</v>
      </c>
      <c r="D154" t="n">
        <v>16</v>
      </c>
      <c r="E154" t="s">
        <v>165</v>
      </c>
      <c r="F154" t="s"/>
      <c r="G154" t="s"/>
      <c r="H154" t="s"/>
      <c r="I154" t="s"/>
      <c r="J154" t="n">
        <v>0</v>
      </c>
      <c r="K154" t="n">
        <v>0</v>
      </c>
      <c r="L154" t="n">
        <v>1</v>
      </c>
      <c r="M154" t="n">
        <v>0</v>
      </c>
    </row>
    <row r="155" spans="1:13">
      <c r="A155" s="1">
        <f>HYPERLINK("http://www.twitter.com/NathanBLawrence/status/998292775446765573", "998292775446765573")</f>
        <v/>
      </c>
      <c r="B155" s="2" t="n">
        <v>43240.83471064815</v>
      </c>
      <c r="C155" t="n">
        <v>0</v>
      </c>
      <c r="D155" t="n">
        <v>13</v>
      </c>
      <c r="E155" t="s">
        <v>166</v>
      </c>
      <c r="F155">
        <f>HYPERLINK("http://pbs.twimg.com/media/DdpXn_3VQAI3vkm.jpg", "http://pbs.twimg.com/media/DdpXn_3VQAI3vkm.jpg")</f>
        <v/>
      </c>
      <c r="G155" t="s"/>
      <c r="H155" t="s"/>
      <c r="I155" t="s"/>
      <c r="J155" t="n">
        <v>0.3327</v>
      </c>
      <c r="K155" t="n">
        <v>0</v>
      </c>
      <c r="L155" t="n">
        <v>0.846</v>
      </c>
      <c r="M155" t="n">
        <v>0.154</v>
      </c>
    </row>
    <row r="156" spans="1:13">
      <c r="A156" s="1">
        <f>HYPERLINK("http://www.twitter.com/NathanBLawrence/status/998292683855683584", "998292683855683584")</f>
        <v/>
      </c>
      <c r="B156" s="2" t="n">
        <v>43240.83445601852</v>
      </c>
      <c r="C156" t="n">
        <v>0</v>
      </c>
      <c r="D156" t="n">
        <v>4</v>
      </c>
      <c r="E156" t="s">
        <v>167</v>
      </c>
      <c r="F156" t="s"/>
      <c r="G156" t="s"/>
      <c r="H156" t="s"/>
      <c r="I156" t="s"/>
      <c r="J156" t="n">
        <v>0.4263</v>
      </c>
      <c r="K156" t="n">
        <v>0.169</v>
      </c>
      <c r="L156" t="n">
        <v>0.607</v>
      </c>
      <c r="M156" t="n">
        <v>0.224</v>
      </c>
    </row>
    <row r="157" spans="1:13">
      <c r="A157" s="1">
        <f>HYPERLINK("http://www.twitter.com/NathanBLawrence/status/998281313785470976", "998281313785470976")</f>
        <v/>
      </c>
      <c r="B157" s="2" t="n">
        <v>43240.80309027778</v>
      </c>
      <c r="C157" t="n">
        <v>0</v>
      </c>
      <c r="D157" t="n">
        <v>42</v>
      </c>
      <c r="E157" t="s">
        <v>168</v>
      </c>
      <c r="F157" t="s"/>
      <c r="G157" t="s"/>
      <c r="H157" t="s"/>
      <c r="I157" t="s"/>
      <c r="J157" t="n">
        <v>0.4215</v>
      </c>
      <c r="K157" t="n">
        <v>0</v>
      </c>
      <c r="L157" t="n">
        <v>0.887</v>
      </c>
      <c r="M157" t="n">
        <v>0.113</v>
      </c>
    </row>
    <row r="158" spans="1:13">
      <c r="A158" s="1">
        <f>HYPERLINK("http://www.twitter.com/NathanBLawrence/status/998281232784994304", "998281232784994304")</f>
        <v/>
      </c>
      <c r="B158" s="2" t="n">
        <v>43240.8028587963</v>
      </c>
      <c r="C158" t="n">
        <v>0</v>
      </c>
      <c r="D158" t="n">
        <v>124</v>
      </c>
      <c r="E158" t="s">
        <v>169</v>
      </c>
      <c r="F158" t="s"/>
      <c r="G158" t="s"/>
      <c r="H158" t="s"/>
      <c r="I158" t="s"/>
      <c r="J158" t="n">
        <v>0.6239</v>
      </c>
      <c r="K158" t="n">
        <v>0</v>
      </c>
      <c r="L158" t="n">
        <v>0.837</v>
      </c>
      <c r="M158" t="n">
        <v>0.163</v>
      </c>
    </row>
    <row r="159" spans="1:13">
      <c r="A159" s="1">
        <f>HYPERLINK("http://www.twitter.com/NathanBLawrence/status/998281214040662016", "998281214040662016")</f>
        <v/>
      </c>
      <c r="B159" s="2" t="n">
        <v>43240.8028125</v>
      </c>
      <c r="C159" t="n">
        <v>0</v>
      </c>
      <c r="D159" t="n">
        <v>73</v>
      </c>
      <c r="E159" t="s">
        <v>170</v>
      </c>
      <c r="F159">
        <f>HYPERLINK("http://pbs.twimg.com/media/DdqYfbBVAAAa85I.jpg", "http://pbs.twimg.com/media/DdqYfbBVAAAa85I.jpg")</f>
        <v/>
      </c>
      <c r="G159" t="s"/>
      <c r="H159" t="s"/>
      <c r="I159" t="s"/>
      <c r="J159" t="n">
        <v>-0.8401999999999999</v>
      </c>
      <c r="K159" t="n">
        <v>0.296</v>
      </c>
      <c r="L159" t="n">
        <v>0.704</v>
      </c>
      <c r="M159" t="n">
        <v>0</v>
      </c>
    </row>
    <row r="160" spans="1:13">
      <c r="A160" s="1">
        <f>HYPERLINK("http://www.twitter.com/NathanBLawrence/status/998260743157026816", "998260743157026816")</f>
        <v/>
      </c>
      <c r="B160" s="2" t="n">
        <v>43240.74631944444</v>
      </c>
      <c r="C160" t="n">
        <v>0</v>
      </c>
      <c r="D160" t="n">
        <v>22</v>
      </c>
      <c r="E160" t="s">
        <v>171</v>
      </c>
      <c r="F160">
        <f>HYPERLINK("http://pbs.twimg.com/media/DdnKggXU0AIkJrN.jpg", "http://pbs.twimg.com/media/DdnKggXU0AIkJrN.jpg")</f>
        <v/>
      </c>
      <c r="G160" t="s"/>
      <c r="H160" t="s"/>
      <c r="I160" t="s"/>
      <c r="J160" t="n">
        <v>-0.6124000000000001</v>
      </c>
      <c r="K160" t="n">
        <v>0.248</v>
      </c>
      <c r="L160" t="n">
        <v>0.647</v>
      </c>
      <c r="M160" t="n">
        <v>0.104</v>
      </c>
    </row>
    <row r="161" spans="1:13">
      <c r="A161" s="1">
        <f>HYPERLINK("http://www.twitter.com/NathanBLawrence/status/998244944690253824", "998244944690253824")</f>
        <v/>
      </c>
      <c r="B161" s="2" t="n">
        <v>43240.70271990741</v>
      </c>
      <c r="C161" t="n">
        <v>0</v>
      </c>
      <c r="D161" t="n">
        <v>1</v>
      </c>
      <c r="E161" t="s">
        <v>172</v>
      </c>
      <c r="F161" t="s"/>
      <c r="G161" t="s"/>
      <c r="H161" t="s"/>
      <c r="I161" t="s"/>
      <c r="J161" t="n">
        <v>0.4404</v>
      </c>
      <c r="K161" t="n">
        <v>0</v>
      </c>
      <c r="L161" t="n">
        <v>0.8179999999999999</v>
      </c>
      <c r="M161" t="n">
        <v>0.182</v>
      </c>
    </row>
    <row r="162" spans="1:13">
      <c r="A162" s="1">
        <f>HYPERLINK("http://www.twitter.com/NathanBLawrence/status/998229947834564609", "998229947834564609")</f>
        <v/>
      </c>
      <c r="B162" s="2" t="n">
        <v>43240.66134259259</v>
      </c>
      <c r="C162" t="n">
        <v>0</v>
      </c>
      <c r="D162" t="n">
        <v>19</v>
      </c>
      <c r="E162" t="s">
        <v>173</v>
      </c>
      <c r="F162" t="s"/>
      <c r="G162" t="s"/>
      <c r="H162" t="s"/>
      <c r="I162" t="s"/>
      <c r="J162" t="n">
        <v>0</v>
      </c>
      <c r="K162" t="n">
        <v>0</v>
      </c>
      <c r="L162" t="n">
        <v>1</v>
      </c>
      <c r="M162" t="n">
        <v>0</v>
      </c>
    </row>
    <row r="163" spans="1:13">
      <c r="A163" s="1">
        <f>HYPERLINK("http://www.twitter.com/NathanBLawrence/status/998229925915176962", "998229925915176962")</f>
        <v/>
      </c>
      <c r="B163" s="2" t="n">
        <v>43240.66128472222</v>
      </c>
      <c r="C163" t="n">
        <v>0</v>
      </c>
      <c r="D163" t="n">
        <v>248</v>
      </c>
      <c r="E163" t="s">
        <v>174</v>
      </c>
      <c r="F163">
        <f>HYPERLINK("http://pbs.twimg.com/media/DdpSb_nUwAADHBz.jpg", "http://pbs.twimg.com/media/DdpSb_nUwAADHBz.jpg")</f>
        <v/>
      </c>
      <c r="G163" t="s"/>
      <c r="H163" t="s"/>
      <c r="I163" t="s"/>
      <c r="J163" t="n">
        <v>0.5732</v>
      </c>
      <c r="K163" t="n">
        <v>0</v>
      </c>
      <c r="L163" t="n">
        <v>0.856</v>
      </c>
      <c r="M163" t="n">
        <v>0.144</v>
      </c>
    </row>
    <row r="164" spans="1:13">
      <c r="A164" s="1">
        <f>HYPERLINK("http://www.twitter.com/NathanBLawrence/status/998206626124435456", "998206626124435456")</f>
        <v/>
      </c>
      <c r="B164" s="2" t="n">
        <v>43240.59699074074</v>
      </c>
      <c r="C164" t="n">
        <v>21</v>
      </c>
      <c r="D164" t="n">
        <v>13</v>
      </c>
      <c r="E164" t="s">
        <v>175</v>
      </c>
      <c r="F164">
        <f>HYPERLINK("http://pbs.twimg.com/media/DdpXn_3VQAI3vkm.jpg", "http://pbs.twimg.com/media/DdpXn_3VQAI3vkm.jpg")</f>
        <v/>
      </c>
      <c r="G164" t="s"/>
      <c r="H164" t="s"/>
      <c r="I164" t="s"/>
      <c r="J164" t="n">
        <v>0.3327</v>
      </c>
      <c r="K164" t="n">
        <v>0</v>
      </c>
      <c r="L164" t="n">
        <v>0.823</v>
      </c>
      <c r="M164" t="n">
        <v>0.177</v>
      </c>
    </row>
    <row r="165" spans="1:13">
      <c r="A165" s="1">
        <f>HYPERLINK("http://www.twitter.com/NathanBLawrence/status/998206581354455040", "998206581354455040")</f>
        <v/>
      </c>
      <c r="B165" s="2" t="n">
        <v>43240.59686342593</v>
      </c>
      <c r="C165" t="n">
        <v>17</v>
      </c>
      <c r="D165" t="n">
        <v>16</v>
      </c>
      <c r="E165" t="s">
        <v>176</v>
      </c>
      <c r="F165" t="s"/>
      <c r="G165" t="s"/>
      <c r="H165" t="s"/>
      <c r="I165" t="s"/>
      <c r="J165" t="n">
        <v>-0.3412</v>
      </c>
      <c r="K165" t="n">
        <v>0.064</v>
      </c>
      <c r="L165" t="n">
        <v>0.9360000000000001</v>
      </c>
      <c r="M165" t="n">
        <v>0</v>
      </c>
    </row>
    <row r="166" spans="1:13">
      <c r="A166" s="1">
        <f>HYPERLINK("http://www.twitter.com/NathanBLawrence/status/997976456096632843", "997976456096632843")</f>
        <v/>
      </c>
      <c r="B166" s="2" t="n">
        <v>43239.96184027778</v>
      </c>
      <c r="C166" t="n">
        <v>0</v>
      </c>
      <c r="D166" t="n">
        <v>11</v>
      </c>
      <c r="E166" t="s">
        <v>177</v>
      </c>
      <c r="F166" t="s"/>
      <c r="G166" t="s"/>
      <c r="H166" t="s"/>
      <c r="I166" t="s"/>
      <c r="J166" t="n">
        <v>-0.34</v>
      </c>
      <c r="K166" t="n">
        <v>0.175</v>
      </c>
      <c r="L166" t="n">
        <v>0.825</v>
      </c>
      <c r="M166" t="n">
        <v>0</v>
      </c>
    </row>
    <row r="167" spans="1:13">
      <c r="A167" s="1">
        <f>HYPERLINK("http://www.twitter.com/NathanBLawrence/status/997976401570648064", "997976401570648064")</f>
        <v/>
      </c>
      <c r="B167" s="2" t="n">
        <v>43239.96168981482</v>
      </c>
      <c r="C167" t="n">
        <v>0</v>
      </c>
      <c r="D167" t="n">
        <v>3</v>
      </c>
      <c r="E167" t="s">
        <v>178</v>
      </c>
      <c r="F167" t="s"/>
      <c r="G167" t="s"/>
      <c r="H167" t="s"/>
      <c r="I167" t="s"/>
      <c r="J167" t="n">
        <v>0.7574</v>
      </c>
      <c r="K167" t="n">
        <v>0</v>
      </c>
      <c r="L167" t="n">
        <v>0.735</v>
      </c>
      <c r="M167" t="n">
        <v>0.265</v>
      </c>
    </row>
    <row r="168" spans="1:13">
      <c r="A168" s="1">
        <f>HYPERLINK("http://www.twitter.com/NathanBLawrence/status/997976199266816000", "997976199266816000")</f>
        <v/>
      </c>
      <c r="B168" s="2" t="n">
        <v>43239.96113425926</v>
      </c>
      <c r="C168" t="n">
        <v>0</v>
      </c>
      <c r="D168" t="n">
        <v>12</v>
      </c>
      <c r="E168" t="s">
        <v>179</v>
      </c>
      <c r="F168">
        <f>HYPERLINK("http://pbs.twimg.com/media/Ddlxeb7U8AAIKe2.jpg", "http://pbs.twimg.com/media/Ddlxeb7U8AAIKe2.jpg")</f>
        <v/>
      </c>
      <c r="G168" t="s"/>
      <c r="H168" t="s"/>
      <c r="I168" t="s"/>
      <c r="J168" t="n">
        <v>0.4404</v>
      </c>
      <c r="K168" t="n">
        <v>0</v>
      </c>
      <c r="L168" t="n">
        <v>0.892</v>
      </c>
      <c r="M168" t="n">
        <v>0.108</v>
      </c>
    </row>
    <row r="169" spans="1:13">
      <c r="A169" s="1">
        <f>HYPERLINK("http://www.twitter.com/NathanBLawrence/status/997966355591782405", "997966355591782405")</f>
        <v/>
      </c>
      <c r="B169" s="2" t="n">
        <v>43239.9339699074</v>
      </c>
      <c r="C169" t="n">
        <v>0</v>
      </c>
      <c r="D169" t="n">
        <v>5</v>
      </c>
      <c r="E169" t="s">
        <v>180</v>
      </c>
      <c r="F169">
        <f>HYPERLINK("http://pbs.twimg.com/media/DdhpdL6WAAAK65f.jpg", "http://pbs.twimg.com/media/DdhpdL6WAAAK65f.jpg")</f>
        <v/>
      </c>
      <c r="G169" t="s"/>
      <c r="H169" t="s"/>
      <c r="I169" t="s"/>
      <c r="J169" t="n">
        <v>0.6249</v>
      </c>
      <c r="K169" t="n">
        <v>0</v>
      </c>
      <c r="L169" t="n">
        <v>0.746</v>
      </c>
      <c r="M169" t="n">
        <v>0.254</v>
      </c>
    </row>
    <row r="170" spans="1:13">
      <c r="A170" s="1">
        <f>HYPERLINK("http://www.twitter.com/NathanBLawrence/status/997966299090255873", "997966299090255873")</f>
        <v/>
      </c>
      <c r="B170" s="2" t="n">
        <v>43239.93380787037</v>
      </c>
      <c r="C170" t="n">
        <v>0</v>
      </c>
      <c r="D170" t="n">
        <v>13</v>
      </c>
      <c r="E170" t="s">
        <v>181</v>
      </c>
      <c r="F170">
        <f>HYPERLINK("http://pbs.twimg.com/media/DdhD2xfU8AALDHH.jpg", "http://pbs.twimg.com/media/DdhD2xfU8AALDHH.jpg")</f>
        <v/>
      </c>
      <c r="G170" t="s"/>
      <c r="H170" t="s"/>
      <c r="I170" t="s"/>
      <c r="J170" t="n">
        <v>0</v>
      </c>
      <c r="K170" t="n">
        <v>0</v>
      </c>
      <c r="L170" t="n">
        <v>1</v>
      </c>
      <c r="M170" t="n">
        <v>0</v>
      </c>
    </row>
    <row r="171" spans="1:13">
      <c r="A171" s="1">
        <f>HYPERLINK("http://www.twitter.com/NathanBLawrence/status/997966288055128065", "997966288055128065")</f>
        <v/>
      </c>
      <c r="B171" s="2" t="n">
        <v>43239.93378472222</v>
      </c>
      <c r="C171" t="n">
        <v>0</v>
      </c>
      <c r="D171" t="n">
        <v>18</v>
      </c>
      <c r="E171" t="s">
        <v>182</v>
      </c>
      <c r="F171">
        <f>HYPERLINK("http://pbs.twimg.com/media/DdhDqbZVAAA_B1J.jpg", "http://pbs.twimg.com/media/DdhDqbZVAAA_B1J.jpg")</f>
        <v/>
      </c>
      <c r="G171" t="s"/>
      <c r="H171" t="s"/>
      <c r="I171" t="s"/>
      <c r="J171" t="n">
        <v>0</v>
      </c>
      <c r="K171" t="n">
        <v>0</v>
      </c>
      <c r="L171" t="n">
        <v>1</v>
      </c>
      <c r="M171" t="n">
        <v>0</v>
      </c>
    </row>
    <row r="172" spans="1:13">
      <c r="A172" s="1">
        <f>HYPERLINK("http://www.twitter.com/NathanBLawrence/status/997966276986310656", "997966276986310656")</f>
        <v/>
      </c>
      <c r="B172" s="2" t="n">
        <v>43239.93375</v>
      </c>
      <c r="C172" t="n">
        <v>0</v>
      </c>
      <c r="D172" t="n">
        <v>18</v>
      </c>
      <c r="E172" t="s">
        <v>183</v>
      </c>
      <c r="F172">
        <f>HYPERLINK("http://pbs.twimg.com/media/Ddg8eJhWsAEldP8.jpg", "http://pbs.twimg.com/media/Ddg8eJhWsAEldP8.jpg")</f>
        <v/>
      </c>
      <c r="G172" t="s"/>
      <c r="H172" t="s"/>
      <c r="I172" t="s"/>
      <c r="J172" t="n">
        <v>0.9262</v>
      </c>
      <c r="K172" t="n">
        <v>0</v>
      </c>
      <c r="L172" t="n">
        <v>0.576</v>
      </c>
      <c r="M172" t="n">
        <v>0.424</v>
      </c>
    </row>
    <row r="173" spans="1:13">
      <c r="A173" s="1">
        <f>HYPERLINK("http://www.twitter.com/NathanBLawrence/status/997966263703015426", "997966263703015426")</f>
        <v/>
      </c>
      <c r="B173" s="2" t="n">
        <v>43239.93371527778</v>
      </c>
      <c r="C173" t="n">
        <v>0</v>
      </c>
      <c r="D173" t="n">
        <v>18</v>
      </c>
      <c r="E173" t="s">
        <v>184</v>
      </c>
      <c r="F173">
        <f>HYPERLINK("http://pbs.twimg.com/media/Ddg20wVWsAU2R_e.jpg", "http://pbs.twimg.com/media/Ddg20wVWsAU2R_e.jpg")</f>
        <v/>
      </c>
      <c r="G173" t="s"/>
      <c r="H173" t="s"/>
      <c r="I173" t="s"/>
      <c r="J173" t="n">
        <v>0.5881999999999999</v>
      </c>
      <c r="K173" t="n">
        <v>0</v>
      </c>
      <c r="L173" t="n">
        <v>0.8169999999999999</v>
      </c>
      <c r="M173" t="n">
        <v>0.183</v>
      </c>
    </row>
    <row r="174" spans="1:13">
      <c r="A174" s="1">
        <f>HYPERLINK("http://www.twitter.com/NathanBLawrence/status/997966252365811712", "997966252365811712")</f>
        <v/>
      </c>
      <c r="B174" s="2" t="n">
        <v>43239.93368055556</v>
      </c>
      <c r="C174" t="n">
        <v>0</v>
      </c>
      <c r="D174" t="n">
        <v>15</v>
      </c>
      <c r="E174" t="s">
        <v>185</v>
      </c>
      <c r="F174">
        <f>HYPERLINK("http://pbs.twimg.com/media/DdhCh_bVwAAophm.jpg", "http://pbs.twimg.com/media/DdhCh_bVwAAophm.jpg")</f>
        <v/>
      </c>
      <c r="G174" t="s"/>
      <c r="H174" t="s"/>
      <c r="I174" t="s"/>
      <c r="J174" t="n">
        <v>0</v>
      </c>
      <c r="K174" t="n">
        <v>0</v>
      </c>
      <c r="L174" t="n">
        <v>1</v>
      </c>
      <c r="M174" t="n">
        <v>0</v>
      </c>
    </row>
    <row r="175" spans="1:13">
      <c r="A175" s="1">
        <f>HYPERLINK("http://www.twitter.com/NathanBLawrence/status/997907822871445504", "997907822871445504")</f>
        <v/>
      </c>
      <c r="B175" s="2" t="n">
        <v>43239.77244212963</v>
      </c>
      <c r="C175" t="n">
        <v>0</v>
      </c>
      <c r="D175" t="n">
        <v>4</v>
      </c>
      <c r="E175" t="s">
        <v>186</v>
      </c>
      <c r="F175">
        <f>HYPERLINK("http://pbs.twimg.com/media/DdhQtmvWsAAq8LH.jpg", "http://pbs.twimg.com/media/DdhQtmvWsAAq8LH.jpg")</f>
        <v/>
      </c>
      <c r="G175" t="s"/>
      <c r="H175" t="s"/>
      <c r="I175" t="s"/>
      <c r="J175" t="n">
        <v>0</v>
      </c>
      <c r="K175" t="n">
        <v>0</v>
      </c>
      <c r="L175" t="n">
        <v>1</v>
      </c>
      <c r="M175" t="n">
        <v>0</v>
      </c>
    </row>
    <row r="176" spans="1:13">
      <c r="A176" s="1">
        <f>HYPERLINK("http://www.twitter.com/NathanBLawrence/status/997907795449204737", "997907795449204737")</f>
        <v/>
      </c>
      <c r="B176" s="2" t="n">
        <v>43239.77237268518</v>
      </c>
      <c r="C176" t="n">
        <v>0</v>
      </c>
      <c r="D176" t="n">
        <v>10</v>
      </c>
      <c r="E176" t="s">
        <v>187</v>
      </c>
      <c r="F176">
        <f>HYPERLINK("http://pbs.twimg.com/media/DdhYu5hU8AAGBNR.jpg", "http://pbs.twimg.com/media/DdhYu5hU8AAGBNR.jpg")</f>
        <v/>
      </c>
      <c r="G176" t="s"/>
      <c r="H176" t="s"/>
      <c r="I176" t="s"/>
      <c r="J176" t="n">
        <v>0</v>
      </c>
      <c r="K176" t="n">
        <v>0</v>
      </c>
      <c r="L176" t="n">
        <v>1</v>
      </c>
      <c r="M176" t="n">
        <v>0</v>
      </c>
    </row>
    <row r="177" spans="1:13">
      <c r="A177" s="1">
        <f>HYPERLINK("http://www.twitter.com/NathanBLawrence/status/997907773584216064", "997907773584216064")</f>
        <v/>
      </c>
      <c r="B177" s="2" t="n">
        <v>43239.77231481481</v>
      </c>
      <c r="C177" t="n">
        <v>0</v>
      </c>
      <c r="D177" t="n">
        <v>12</v>
      </c>
      <c r="E177" t="s">
        <v>188</v>
      </c>
      <c r="F177">
        <f>HYPERLINK("https://video.twimg.com/ext_tw_video/997637023031640065/pu/vid/1280x720/bWOU65dl2OGGW2Im.mp4?tag=3", "https://video.twimg.com/ext_tw_video/997637023031640065/pu/vid/1280x720/bWOU65dl2OGGW2Im.mp4?tag=3")</f>
        <v/>
      </c>
      <c r="G177" t="s"/>
      <c r="H177" t="s"/>
      <c r="I177" t="s"/>
      <c r="J177" t="n">
        <v>0</v>
      </c>
      <c r="K177" t="n">
        <v>0</v>
      </c>
      <c r="L177" t="n">
        <v>1</v>
      </c>
      <c r="M177" t="n">
        <v>0</v>
      </c>
    </row>
    <row r="178" spans="1:13">
      <c r="A178" s="1">
        <f>HYPERLINK("http://www.twitter.com/NathanBLawrence/status/997907750356160512", "997907750356160512")</f>
        <v/>
      </c>
      <c r="B178" s="2" t="n">
        <v>43239.77224537037</v>
      </c>
      <c r="C178" t="n">
        <v>0</v>
      </c>
      <c r="D178" t="n">
        <v>3</v>
      </c>
      <c r="E178" t="s">
        <v>189</v>
      </c>
      <c r="F178">
        <f>HYPERLINK("http://pbs.twimg.com/media/Ddjg6jGXcAEcd_d.jpg", "http://pbs.twimg.com/media/Ddjg6jGXcAEcd_d.jpg")</f>
        <v/>
      </c>
      <c r="G178" t="s"/>
      <c r="H178" t="s"/>
      <c r="I178" t="s"/>
      <c r="J178" t="n">
        <v>0</v>
      </c>
      <c r="K178" t="n">
        <v>0</v>
      </c>
      <c r="L178" t="n">
        <v>1</v>
      </c>
      <c r="M178" t="n">
        <v>0</v>
      </c>
    </row>
    <row r="179" spans="1:13">
      <c r="A179" s="1">
        <f>HYPERLINK("http://www.twitter.com/NathanBLawrence/status/997907721075781632", "997907721075781632")</f>
        <v/>
      </c>
      <c r="B179" s="2" t="n">
        <v>43239.77216435185</v>
      </c>
      <c r="C179" t="n">
        <v>0</v>
      </c>
      <c r="D179" t="n">
        <v>3</v>
      </c>
      <c r="E179" t="s">
        <v>190</v>
      </c>
      <c r="F179">
        <f>HYPERLINK("http://pbs.twimg.com/media/DdjgRoBW4AAuqOv.jpg", "http://pbs.twimg.com/media/DdjgRoBW4AAuqOv.jpg")</f>
        <v/>
      </c>
      <c r="G179" t="s"/>
      <c r="H179" t="s"/>
      <c r="I179" t="s"/>
      <c r="J179" t="n">
        <v>0</v>
      </c>
      <c r="K179" t="n">
        <v>0</v>
      </c>
      <c r="L179" t="n">
        <v>1</v>
      </c>
      <c r="M179" t="n">
        <v>0</v>
      </c>
    </row>
    <row r="180" spans="1:13">
      <c r="A180" s="1">
        <f>HYPERLINK("http://www.twitter.com/NathanBLawrence/status/997907692718055424", "997907692718055424")</f>
        <v/>
      </c>
      <c r="B180" s="2" t="n">
        <v>43239.77208333334</v>
      </c>
      <c r="C180" t="n">
        <v>0</v>
      </c>
      <c r="D180" t="n">
        <v>5</v>
      </c>
      <c r="E180" t="s">
        <v>191</v>
      </c>
      <c r="F180" t="s"/>
      <c r="G180" t="s"/>
      <c r="H180" t="s"/>
      <c r="I180" t="s"/>
      <c r="J180" t="n">
        <v>0</v>
      </c>
      <c r="K180" t="n">
        <v>0</v>
      </c>
      <c r="L180" t="n">
        <v>1</v>
      </c>
      <c r="M180" t="n">
        <v>0</v>
      </c>
    </row>
    <row r="181" spans="1:13">
      <c r="A181" s="1">
        <f>HYPERLINK("http://www.twitter.com/NathanBLawrence/status/997907668936388610", "997907668936388610")</f>
        <v/>
      </c>
      <c r="B181" s="2" t="n">
        <v>43239.77202546296</v>
      </c>
      <c r="C181" t="n">
        <v>0</v>
      </c>
      <c r="D181" t="n">
        <v>8</v>
      </c>
      <c r="E181" t="s">
        <v>192</v>
      </c>
      <c r="F181">
        <f>HYPERLINK("http://pbs.twimg.com/media/DdhR1L-U0AEH-qk.jpg", "http://pbs.twimg.com/media/DdhR1L-U0AEH-qk.jpg")</f>
        <v/>
      </c>
      <c r="G181">
        <f>HYPERLINK("http://pbs.twimg.com/media/DdhR2b4UQAEFwyS.jpg", "http://pbs.twimg.com/media/DdhR2b4UQAEFwyS.jpg")</f>
        <v/>
      </c>
      <c r="H181">
        <f>HYPERLINK("http://pbs.twimg.com/media/DdhR3OYV4AES3sW.jpg", "http://pbs.twimg.com/media/DdhR3OYV4AES3sW.jpg")</f>
        <v/>
      </c>
      <c r="I181">
        <f>HYPERLINK("http://pbs.twimg.com/media/DdhR4WLUwAElhl2.jpg", "http://pbs.twimg.com/media/DdhR4WLUwAElhl2.jpg")</f>
        <v/>
      </c>
      <c r="J181" t="n">
        <v>0.4574</v>
      </c>
      <c r="K181" t="n">
        <v>0</v>
      </c>
      <c r="L181" t="n">
        <v>0.751</v>
      </c>
      <c r="M181" t="n">
        <v>0.249</v>
      </c>
    </row>
    <row r="182" spans="1:13">
      <c r="A182" s="1">
        <f>HYPERLINK("http://www.twitter.com/NathanBLawrence/status/997907623893708800", "997907623893708800")</f>
        <v/>
      </c>
      <c r="B182" s="2" t="n">
        <v>43239.77189814814</v>
      </c>
      <c r="C182" t="n">
        <v>0</v>
      </c>
      <c r="D182" t="n">
        <v>10</v>
      </c>
      <c r="E182" t="s">
        <v>193</v>
      </c>
      <c r="F182">
        <f>HYPERLINK("http://pbs.twimg.com/media/DdhRKkmX0AAiYS6.jpg", "http://pbs.twimg.com/media/DdhRKkmX0AAiYS6.jpg")</f>
        <v/>
      </c>
      <c r="G182" t="s"/>
      <c r="H182" t="s"/>
      <c r="I182" t="s"/>
      <c r="J182" t="n">
        <v>0.4767</v>
      </c>
      <c r="K182" t="n">
        <v>0</v>
      </c>
      <c r="L182" t="n">
        <v>0.795</v>
      </c>
      <c r="M182" t="n">
        <v>0.205</v>
      </c>
    </row>
    <row r="183" spans="1:13">
      <c r="A183" s="1">
        <f>HYPERLINK("http://www.twitter.com/NathanBLawrence/status/997907607879929857", "997907607879929857")</f>
        <v/>
      </c>
      <c r="B183" s="2" t="n">
        <v>43239.77185185185</v>
      </c>
      <c r="C183" t="n">
        <v>0</v>
      </c>
      <c r="D183" t="n">
        <v>16</v>
      </c>
      <c r="E183" t="s">
        <v>194</v>
      </c>
      <c r="F183">
        <f>HYPERLINK("http://pbs.twimg.com/media/DdgJnAfVwAAfQ2V.jpg", "http://pbs.twimg.com/media/DdgJnAfVwAAfQ2V.jpg")</f>
        <v/>
      </c>
      <c r="G183" t="s"/>
      <c r="H183" t="s"/>
      <c r="I183" t="s"/>
      <c r="J183" t="n">
        <v>0.1511</v>
      </c>
      <c r="K183" t="n">
        <v>0</v>
      </c>
      <c r="L183" t="n">
        <v>0.904</v>
      </c>
      <c r="M183" t="n">
        <v>0.096</v>
      </c>
    </row>
    <row r="184" spans="1:13">
      <c r="A184" s="1">
        <f>HYPERLINK("http://www.twitter.com/NathanBLawrence/status/997907126889656321", "997907126889656321")</f>
        <v/>
      </c>
      <c r="B184" s="2" t="n">
        <v>43239.77052083334</v>
      </c>
      <c r="C184" t="n">
        <v>0</v>
      </c>
      <c r="D184" t="n">
        <v>9</v>
      </c>
      <c r="E184" t="s">
        <v>195</v>
      </c>
      <c r="F184" t="s"/>
      <c r="G184" t="s"/>
      <c r="H184" t="s"/>
      <c r="I184" t="s"/>
      <c r="J184" t="n">
        <v>0</v>
      </c>
      <c r="K184" t="n">
        <v>0</v>
      </c>
      <c r="L184" t="n">
        <v>1</v>
      </c>
      <c r="M184" t="n">
        <v>0</v>
      </c>
    </row>
    <row r="185" spans="1:13">
      <c r="A185" s="1">
        <f>HYPERLINK("http://www.twitter.com/NathanBLawrence/status/997896436506349568", "997896436506349568")</f>
        <v/>
      </c>
      <c r="B185" s="2" t="n">
        <v>43239.74103009259</v>
      </c>
      <c r="C185" t="n">
        <v>0</v>
      </c>
      <c r="D185" t="n">
        <v>56</v>
      </c>
      <c r="E185" t="s">
        <v>196</v>
      </c>
      <c r="F185">
        <f>HYPERLINK("https://video.twimg.com/ext_tw_video/997509331812728833/pu/vid/1280x720/DYnLTSwPkXFoRRpa.mp4?tag=3", "https://video.twimg.com/ext_tw_video/997509331812728833/pu/vid/1280x720/DYnLTSwPkXFoRRpa.mp4?tag=3")</f>
        <v/>
      </c>
      <c r="G185" t="s"/>
      <c r="H185" t="s"/>
      <c r="I185" t="s"/>
      <c r="J185" t="n">
        <v>0</v>
      </c>
      <c r="K185" t="n">
        <v>0</v>
      </c>
      <c r="L185" t="n">
        <v>1</v>
      </c>
      <c r="M185" t="n">
        <v>0</v>
      </c>
    </row>
    <row r="186" spans="1:13">
      <c r="A186" s="1">
        <f>HYPERLINK("http://www.twitter.com/NathanBLawrence/status/997869384575193088", "997869384575193088")</f>
        <v/>
      </c>
      <c r="B186" s="2" t="n">
        <v>43239.66637731482</v>
      </c>
      <c r="C186" t="n">
        <v>0</v>
      </c>
      <c r="D186" t="n">
        <v>9064</v>
      </c>
      <c r="E186" t="s">
        <v>197</v>
      </c>
      <c r="F186">
        <f>HYPERLINK("https://video.twimg.com/ext_tw_video/997859740679131136/pu/vid/480x480/BgXIxySD93ehCB8H.mp4?tag=3", "https://video.twimg.com/ext_tw_video/997859740679131136/pu/vid/480x480/BgXIxySD93ehCB8H.mp4?tag=3")</f>
        <v/>
      </c>
      <c r="G186" t="s"/>
      <c r="H186" t="s"/>
      <c r="I186" t="s"/>
      <c r="J186" t="n">
        <v>0.0258</v>
      </c>
      <c r="K186" t="n">
        <v>0</v>
      </c>
      <c r="L186" t="n">
        <v>0.948</v>
      </c>
      <c r="M186" t="n">
        <v>0.052</v>
      </c>
    </row>
    <row r="187" spans="1:13">
      <c r="A187" s="1">
        <f>HYPERLINK("http://www.twitter.com/NathanBLawrence/status/997808667838775296", "997808667838775296")</f>
        <v/>
      </c>
      <c r="B187" s="2" t="n">
        <v>43239.49883101852</v>
      </c>
      <c r="C187" t="n">
        <v>0</v>
      </c>
      <c r="D187" t="n">
        <v>43</v>
      </c>
      <c r="E187" t="s">
        <v>198</v>
      </c>
      <c r="F187" t="s"/>
      <c r="G187" t="s"/>
      <c r="H187" t="s"/>
      <c r="I187" t="s"/>
      <c r="J187" t="n">
        <v>-0.4824</v>
      </c>
      <c r="K187" t="n">
        <v>0.13</v>
      </c>
      <c r="L187" t="n">
        <v>0.87</v>
      </c>
      <c r="M187" t="n">
        <v>0</v>
      </c>
    </row>
    <row r="188" spans="1:13">
      <c r="A188" s="1">
        <f>HYPERLINK("http://www.twitter.com/NathanBLawrence/status/997670245375660037", "997670245375660037")</f>
        <v/>
      </c>
      <c r="B188" s="2" t="n">
        <v>43239.11685185185</v>
      </c>
      <c r="C188" t="n">
        <v>1</v>
      </c>
      <c r="D188" t="n">
        <v>1</v>
      </c>
      <c r="E188" t="s">
        <v>199</v>
      </c>
      <c r="F188" t="s"/>
      <c r="G188" t="s"/>
      <c r="H188" t="s"/>
      <c r="I188" t="s"/>
      <c r="J188" t="n">
        <v>0</v>
      </c>
      <c r="K188" t="n">
        <v>0</v>
      </c>
      <c r="L188" t="n">
        <v>1</v>
      </c>
      <c r="M188" t="n">
        <v>0</v>
      </c>
    </row>
    <row r="189" spans="1:13">
      <c r="A189" s="1">
        <f>HYPERLINK("http://www.twitter.com/NathanBLawrence/status/997670168556863489", "997670168556863489")</f>
        <v/>
      </c>
      <c r="B189" s="2" t="n">
        <v>43239.11664351852</v>
      </c>
      <c r="C189" t="n">
        <v>0</v>
      </c>
      <c r="D189" t="n">
        <v>40</v>
      </c>
      <c r="E189" t="s">
        <v>200</v>
      </c>
      <c r="F189">
        <f>HYPERLINK("http://pbs.twimg.com/media/Ddhls7VVQAAlDiL.jpg", "http://pbs.twimg.com/media/Ddhls7VVQAAlDiL.jpg")</f>
        <v/>
      </c>
      <c r="G189" t="s"/>
      <c r="H189" t="s"/>
      <c r="I189" t="s"/>
      <c r="J189" t="n">
        <v>-0.1027</v>
      </c>
      <c r="K189" t="n">
        <v>0.091</v>
      </c>
      <c r="L189" t="n">
        <v>0.909</v>
      </c>
      <c r="M189" t="n">
        <v>0</v>
      </c>
    </row>
    <row r="190" spans="1:13">
      <c r="A190" s="1">
        <f>HYPERLINK("http://www.twitter.com/NathanBLawrence/status/997659287542554624", "997659287542554624")</f>
        <v/>
      </c>
      <c r="B190" s="2" t="n">
        <v>43239.08662037037</v>
      </c>
      <c r="C190" t="n">
        <v>0</v>
      </c>
      <c r="D190" t="n">
        <v>24550</v>
      </c>
      <c r="E190" t="s">
        <v>201</v>
      </c>
      <c r="F190" t="s"/>
      <c r="G190" t="s"/>
      <c r="H190" t="s"/>
      <c r="I190" t="s"/>
      <c r="J190" t="n">
        <v>-0.1027</v>
      </c>
      <c r="K190" t="n">
        <v>0.207</v>
      </c>
      <c r="L190" t="n">
        <v>0.639</v>
      </c>
      <c r="M190" t="n">
        <v>0.154</v>
      </c>
    </row>
    <row r="191" spans="1:13">
      <c r="A191" s="1">
        <f>HYPERLINK("http://www.twitter.com/NathanBLawrence/status/997659044918824961", "997659044918824961")</f>
        <v/>
      </c>
      <c r="B191" s="2" t="n">
        <v>43239.08594907408</v>
      </c>
      <c r="C191" t="n">
        <v>0</v>
      </c>
      <c r="D191" t="n">
        <v>44</v>
      </c>
      <c r="E191" t="s">
        <v>202</v>
      </c>
      <c r="F191" t="s"/>
      <c r="G191" t="s"/>
      <c r="H191" t="s"/>
      <c r="I191" t="s"/>
      <c r="J191" t="n">
        <v>0.5994</v>
      </c>
      <c r="K191" t="n">
        <v>0</v>
      </c>
      <c r="L191" t="n">
        <v>0.843</v>
      </c>
      <c r="M191" t="n">
        <v>0.157</v>
      </c>
    </row>
    <row r="192" spans="1:13">
      <c r="A192" s="1">
        <f>HYPERLINK("http://www.twitter.com/NathanBLawrence/status/997658927503429633", "997658927503429633")</f>
        <v/>
      </c>
      <c r="B192" s="2" t="n">
        <v>43239.085625</v>
      </c>
      <c r="C192" t="n">
        <v>0</v>
      </c>
      <c r="D192" t="n">
        <v>12</v>
      </c>
      <c r="E192" t="s">
        <v>203</v>
      </c>
      <c r="F192" t="s"/>
      <c r="G192" t="s"/>
      <c r="H192" t="s"/>
      <c r="I192" t="s"/>
      <c r="J192" t="n">
        <v>-0.7783</v>
      </c>
      <c r="K192" t="n">
        <v>0.245</v>
      </c>
      <c r="L192" t="n">
        <v>0.755</v>
      </c>
      <c r="M192" t="n">
        <v>0</v>
      </c>
    </row>
    <row r="193" spans="1:13">
      <c r="A193" s="1">
        <f>HYPERLINK("http://www.twitter.com/NathanBLawrence/status/997658855298535425", "997658855298535425")</f>
        <v/>
      </c>
      <c r="B193" s="2" t="n">
        <v>43239.08542824074</v>
      </c>
      <c r="C193" t="n">
        <v>0</v>
      </c>
      <c r="D193" t="n">
        <v>135</v>
      </c>
      <c r="E193" t="s">
        <v>204</v>
      </c>
      <c r="F193" t="s"/>
      <c r="G193" t="s"/>
      <c r="H193" t="s"/>
      <c r="I193" t="s"/>
      <c r="J193" t="n">
        <v>0</v>
      </c>
      <c r="K193" t="n">
        <v>0</v>
      </c>
      <c r="L193" t="n">
        <v>1</v>
      </c>
      <c r="M193" t="n">
        <v>0</v>
      </c>
    </row>
    <row r="194" spans="1:13">
      <c r="A194" s="1">
        <f>HYPERLINK("http://www.twitter.com/NathanBLawrence/status/997658750503747584", "997658750503747584")</f>
        <v/>
      </c>
      <c r="B194" s="2" t="n">
        <v>43239.08513888889</v>
      </c>
      <c r="C194" t="n">
        <v>0</v>
      </c>
      <c r="D194" t="n">
        <v>132</v>
      </c>
      <c r="E194" t="s">
        <v>205</v>
      </c>
      <c r="F194" t="s"/>
      <c r="G194" t="s"/>
      <c r="H194" t="s"/>
      <c r="I194" t="s"/>
      <c r="J194" t="n">
        <v>-0.8016</v>
      </c>
      <c r="K194" t="n">
        <v>0.259</v>
      </c>
      <c r="L194" t="n">
        <v>0.699</v>
      </c>
      <c r="M194" t="n">
        <v>0.042</v>
      </c>
    </row>
    <row r="195" spans="1:13">
      <c r="A195" s="1">
        <f>HYPERLINK("http://www.twitter.com/NathanBLawrence/status/997635470954762240", "997635470954762240")</f>
        <v/>
      </c>
      <c r="B195" s="2" t="n">
        <v>43239.02090277777</v>
      </c>
      <c r="C195" t="n">
        <v>0</v>
      </c>
      <c r="D195" t="n">
        <v>1</v>
      </c>
      <c r="E195" t="s">
        <v>206</v>
      </c>
      <c r="F195" t="s"/>
      <c r="G195" t="s"/>
      <c r="H195" t="s"/>
      <c r="I195" t="s"/>
      <c r="J195" t="n">
        <v>0.3612</v>
      </c>
      <c r="K195" t="n">
        <v>0</v>
      </c>
      <c r="L195" t="n">
        <v>0.737</v>
      </c>
      <c r="M195" t="n">
        <v>0.263</v>
      </c>
    </row>
    <row r="196" spans="1:13">
      <c r="A196" s="1">
        <f>HYPERLINK("http://www.twitter.com/NathanBLawrence/status/997610940446265345", "997610940446265345")</f>
        <v/>
      </c>
      <c r="B196" s="2" t="n">
        <v>43238.95320601852</v>
      </c>
      <c r="C196" t="n">
        <v>3</v>
      </c>
      <c r="D196" t="n">
        <v>1</v>
      </c>
      <c r="E196" t="s">
        <v>207</v>
      </c>
      <c r="F196" t="s"/>
      <c r="G196" t="s"/>
      <c r="H196" t="s"/>
      <c r="I196" t="s"/>
      <c r="J196" t="n">
        <v>0</v>
      </c>
      <c r="K196" t="n">
        <v>0</v>
      </c>
      <c r="L196" t="n">
        <v>1</v>
      </c>
      <c r="M196" t="n">
        <v>0</v>
      </c>
    </row>
    <row r="197" spans="1:13">
      <c r="A197" s="1">
        <f>HYPERLINK("http://www.twitter.com/NathanBLawrence/status/997610721331556352", "997610721331556352")</f>
        <v/>
      </c>
      <c r="B197" s="2" t="n">
        <v>43238.95260416667</v>
      </c>
      <c r="C197" t="n">
        <v>0</v>
      </c>
      <c r="D197" t="n">
        <v>8</v>
      </c>
      <c r="E197" t="s">
        <v>208</v>
      </c>
      <c r="F197" t="s"/>
      <c r="G197" t="s"/>
      <c r="H197" t="s"/>
      <c r="I197" t="s"/>
      <c r="J197" t="n">
        <v>0</v>
      </c>
      <c r="K197" t="n">
        <v>0</v>
      </c>
      <c r="L197" t="n">
        <v>1</v>
      </c>
      <c r="M197" t="n">
        <v>0</v>
      </c>
    </row>
    <row r="198" spans="1:13">
      <c r="A198" s="1">
        <f>HYPERLINK("http://www.twitter.com/NathanBLawrence/status/997610123827843072", "997610123827843072")</f>
        <v/>
      </c>
      <c r="B198" s="2" t="n">
        <v>43238.95094907407</v>
      </c>
      <c r="C198" t="n">
        <v>0</v>
      </c>
      <c r="D198" t="n">
        <v>0</v>
      </c>
      <c r="E198" t="s">
        <v>209</v>
      </c>
      <c r="F198" t="s"/>
      <c r="G198" t="s"/>
      <c r="H198" t="s"/>
      <c r="I198" t="s"/>
      <c r="J198" t="n">
        <v>-0.8591</v>
      </c>
      <c r="K198" t="n">
        <v>0.358</v>
      </c>
      <c r="L198" t="n">
        <v>0.642</v>
      </c>
      <c r="M198" t="n">
        <v>0</v>
      </c>
    </row>
    <row r="199" spans="1:13">
      <c r="A199" s="1">
        <f>HYPERLINK("http://www.twitter.com/NathanBLawrence/status/997606285179805696", "997606285179805696")</f>
        <v/>
      </c>
      <c r="B199" s="2" t="n">
        <v>43238.9403587963</v>
      </c>
      <c r="C199" t="n">
        <v>0</v>
      </c>
      <c r="D199" t="n">
        <v>83</v>
      </c>
      <c r="E199" t="s">
        <v>210</v>
      </c>
      <c r="F199">
        <f>HYPERLINK("https://video.twimg.com/ext_tw_video/997600213299687425/pu/vid/1280x720/eA5gLhDKjjK_4K3D.mp4?tag=3", "https://video.twimg.com/ext_tw_video/997600213299687425/pu/vid/1280x720/eA5gLhDKjjK_4K3D.mp4?tag=3")</f>
        <v/>
      </c>
      <c r="G199" t="s"/>
      <c r="H199" t="s"/>
      <c r="I199" t="s"/>
      <c r="J199" t="n">
        <v>0.6908</v>
      </c>
      <c r="K199" t="n">
        <v>0</v>
      </c>
      <c r="L199" t="n">
        <v>0.749</v>
      </c>
      <c r="M199" t="n">
        <v>0.251</v>
      </c>
    </row>
    <row r="200" spans="1:13">
      <c r="A200" s="1">
        <f>HYPERLINK("http://www.twitter.com/NathanBLawrence/status/997595004918030336", "997595004918030336")</f>
        <v/>
      </c>
      <c r="B200" s="2" t="n">
        <v>43238.90923611111</v>
      </c>
      <c r="C200" t="n">
        <v>0</v>
      </c>
      <c r="D200" t="n">
        <v>2</v>
      </c>
      <c r="E200" t="s">
        <v>211</v>
      </c>
      <c r="F200" t="s"/>
      <c r="G200" t="s"/>
      <c r="H200" t="s"/>
      <c r="I200" t="s"/>
      <c r="J200" t="n">
        <v>0.7003</v>
      </c>
      <c r="K200" t="n">
        <v>0</v>
      </c>
      <c r="L200" t="n">
        <v>0.541</v>
      </c>
      <c r="M200" t="n">
        <v>0.459</v>
      </c>
    </row>
    <row r="201" spans="1:13">
      <c r="A201" s="1">
        <f>HYPERLINK("http://www.twitter.com/NathanBLawrence/status/997582583155314691", "997582583155314691")</f>
        <v/>
      </c>
      <c r="B201" s="2" t="n">
        <v>43238.8749537037</v>
      </c>
      <c r="C201" t="n">
        <v>5</v>
      </c>
      <c r="D201" t="n">
        <v>1</v>
      </c>
      <c r="E201" t="s">
        <v>212</v>
      </c>
      <c r="F201" t="s"/>
      <c r="G201" t="s"/>
      <c r="H201" t="s"/>
      <c r="I201" t="s"/>
      <c r="J201" t="n">
        <v>0</v>
      </c>
      <c r="K201" t="n">
        <v>0</v>
      </c>
      <c r="L201" t="n">
        <v>1</v>
      </c>
      <c r="M201" t="n">
        <v>0</v>
      </c>
    </row>
    <row r="202" spans="1:13">
      <c r="A202" s="1">
        <f>HYPERLINK("http://www.twitter.com/NathanBLawrence/status/997582507200647168", "997582507200647168")</f>
        <v/>
      </c>
      <c r="B202" s="2" t="n">
        <v>43238.87474537037</v>
      </c>
      <c r="C202" t="n">
        <v>0</v>
      </c>
      <c r="D202" t="n">
        <v>41</v>
      </c>
      <c r="E202" t="s">
        <v>213</v>
      </c>
      <c r="F202">
        <f>HYPERLINK("http://pbs.twimg.com/media/DdgfcsHXkAAts43.jpg", "http://pbs.twimg.com/media/DdgfcsHXkAAts43.jpg")</f>
        <v/>
      </c>
      <c r="G202" t="s"/>
      <c r="H202" t="s"/>
      <c r="I202" t="s"/>
      <c r="J202" t="n">
        <v>0</v>
      </c>
      <c r="K202" t="n">
        <v>0</v>
      </c>
      <c r="L202" t="n">
        <v>1</v>
      </c>
      <c r="M202" t="n">
        <v>0</v>
      </c>
    </row>
    <row r="203" spans="1:13">
      <c r="A203" s="1">
        <f>HYPERLINK("http://www.twitter.com/NathanBLawrence/status/997582461751250945", "997582461751250945")</f>
        <v/>
      </c>
      <c r="B203" s="2" t="n">
        <v>43238.87461805555</v>
      </c>
      <c r="C203" t="n">
        <v>0</v>
      </c>
      <c r="D203" t="n">
        <v>249</v>
      </c>
      <c r="E203" t="s">
        <v>214</v>
      </c>
      <c r="F203">
        <f>HYPERLINK("http://pbs.twimg.com/media/Ddgex0AV0AE350K.jpg", "http://pbs.twimg.com/media/Ddgex0AV0AE350K.jpg")</f>
        <v/>
      </c>
      <c r="G203" t="s"/>
      <c r="H203" t="s"/>
      <c r="I203" t="s"/>
      <c r="J203" t="n">
        <v>-0.8126</v>
      </c>
      <c r="K203" t="n">
        <v>0.269</v>
      </c>
      <c r="L203" t="n">
        <v>0.665</v>
      </c>
      <c r="M203" t="n">
        <v>0.066</v>
      </c>
    </row>
    <row r="204" spans="1:13">
      <c r="A204" s="1">
        <f>HYPERLINK("http://www.twitter.com/NathanBLawrence/status/997582410224209926", "997582410224209926")</f>
        <v/>
      </c>
      <c r="B204" s="2" t="n">
        <v>43238.87447916667</v>
      </c>
      <c r="C204" t="n">
        <v>0</v>
      </c>
      <c r="D204" t="n">
        <v>576</v>
      </c>
      <c r="E204" t="s">
        <v>215</v>
      </c>
      <c r="F204">
        <f>HYPERLINK("http://pbs.twimg.com/media/Ddgdj5_WAAIRqn-.jpg", "http://pbs.twimg.com/media/Ddgdj5_WAAIRqn-.jpg")</f>
        <v/>
      </c>
      <c r="G204" t="s"/>
      <c r="H204" t="s"/>
      <c r="I204" t="s"/>
      <c r="J204" t="n">
        <v>-0.3182</v>
      </c>
      <c r="K204" t="n">
        <v>0.126</v>
      </c>
      <c r="L204" t="n">
        <v>0.874</v>
      </c>
      <c r="M204" t="n">
        <v>0</v>
      </c>
    </row>
    <row r="205" spans="1:13">
      <c r="A205" s="1">
        <f>HYPERLINK("http://www.twitter.com/NathanBLawrence/status/997582016450322433", "997582016450322433")</f>
        <v/>
      </c>
      <c r="B205" s="2" t="n">
        <v>43238.87339120371</v>
      </c>
      <c r="C205" t="n">
        <v>0</v>
      </c>
      <c r="D205" t="n">
        <v>5996</v>
      </c>
      <c r="E205" t="s">
        <v>216</v>
      </c>
      <c r="F205">
        <f>HYPERLINK("https://video.twimg.com/amplify_video/997193273700638720/vid/640x360/8bavN_Ikj5wXM3AA.mp4?tag=2", "https://video.twimg.com/amplify_video/997193273700638720/vid/640x360/8bavN_Ikj5wXM3AA.mp4?tag=2")</f>
        <v/>
      </c>
      <c r="G205" t="s"/>
      <c r="H205" t="s"/>
      <c r="I205" t="s"/>
      <c r="J205" t="n">
        <v>0.4199</v>
      </c>
      <c r="K205" t="n">
        <v>0</v>
      </c>
      <c r="L205" t="n">
        <v>0.866</v>
      </c>
      <c r="M205" t="n">
        <v>0.134</v>
      </c>
    </row>
    <row r="206" spans="1:13">
      <c r="A206" s="1">
        <f>HYPERLINK("http://www.twitter.com/NathanBLawrence/status/997581996649074689", "997581996649074689")</f>
        <v/>
      </c>
      <c r="B206" s="2" t="n">
        <v>43238.87333333334</v>
      </c>
      <c r="C206" t="n">
        <v>0</v>
      </c>
      <c r="D206" t="n">
        <v>6</v>
      </c>
      <c r="E206" t="s">
        <v>217</v>
      </c>
      <c r="F206" t="s"/>
      <c r="G206" t="s"/>
      <c r="H206" t="s"/>
      <c r="I206" t="s"/>
      <c r="J206" t="n">
        <v>0.6322</v>
      </c>
      <c r="K206" t="n">
        <v>0</v>
      </c>
      <c r="L206" t="n">
        <v>0.794</v>
      </c>
      <c r="M206" t="n">
        <v>0.206</v>
      </c>
    </row>
    <row r="207" spans="1:13">
      <c r="A207" s="1">
        <f>HYPERLINK("http://www.twitter.com/NathanBLawrence/status/997581705815953413", "997581705815953413")</f>
        <v/>
      </c>
      <c r="B207" s="2" t="n">
        <v>43238.87253472222</v>
      </c>
      <c r="C207" t="n">
        <v>3</v>
      </c>
      <c r="D207" t="n">
        <v>1</v>
      </c>
      <c r="E207" t="s">
        <v>218</v>
      </c>
      <c r="F207" t="s"/>
      <c r="G207" t="s"/>
      <c r="H207" t="s"/>
      <c r="I207" t="s"/>
      <c r="J207" t="n">
        <v>0</v>
      </c>
      <c r="K207" t="n">
        <v>0</v>
      </c>
      <c r="L207" t="n">
        <v>1</v>
      </c>
      <c r="M207" t="n">
        <v>0</v>
      </c>
    </row>
    <row r="208" spans="1:13">
      <c r="A208" s="1">
        <f>HYPERLINK("http://www.twitter.com/NathanBLawrence/status/997581492598591488", "997581492598591488")</f>
        <v/>
      </c>
      <c r="B208" s="2" t="n">
        <v>43238.87194444444</v>
      </c>
      <c r="C208" t="n">
        <v>1</v>
      </c>
      <c r="D208" t="n">
        <v>2</v>
      </c>
      <c r="E208" t="s">
        <v>219</v>
      </c>
      <c r="F208" t="s"/>
      <c r="G208" t="s"/>
      <c r="H208" t="s"/>
      <c r="I208" t="s"/>
      <c r="J208" t="n">
        <v>0</v>
      </c>
      <c r="K208" t="n">
        <v>0</v>
      </c>
      <c r="L208" t="n">
        <v>1</v>
      </c>
      <c r="M208" t="n">
        <v>0</v>
      </c>
    </row>
    <row r="209" spans="1:13">
      <c r="A209" s="1">
        <f>HYPERLINK("http://www.twitter.com/NathanBLawrence/status/997581381462122496", "997581381462122496")</f>
        <v/>
      </c>
      <c r="B209" s="2" t="n">
        <v>43238.87164351852</v>
      </c>
      <c r="C209" t="n">
        <v>0</v>
      </c>
      <c r="D209" t="n">
        <v>399</v>
      </c>
      <c r="E209" t="s">
        <v>220</v>
      </c>
      <c r="F209" t="s"/>
      <c r="G209" t="s"/>
      <c r="H209" t="s"/>
      <c r="I209" t="s"/>
      <c r="J209" t="n">
        <v>-0.7748</v>
      </c>
      <c r="K209" t="n">
        <v>0.269</v>
      </c>
      <c r="L209" t="n">
        <v>0.731</v>
      </c>
      <c r="M209" t="n">
        <v>0</v>
      </c>
    </row>
    <row r="210" spans="1:13">
      <c r="A210" s="1">
        <f>HYPERLINK("http://www.twitter.com/NathanBLawrence/status/997580942364553216", "997580942364553216")</f>
        <v/>
      </c>
      <c r="B210" s="2" t="n">
        <v>43238.87042824074</v>
      </c>
      <c r="C210" t="n">
        <v>0</v>
      </c>
      <c r="D210" t="n">
        <v>8</v>
      </c>
      <c r="E210" t="s">
        <v>221</v>
      </c>
      <c r="F210">
        <f>HYPERLINK("http://pbs.twimg.com/media/DdgegZfUwAAtnXs.jpg", "http://pbs.twimg.com/media/DdgegZfUwAAtnXs.jpg")</f>
        <v/>
      </c>
      <c r="G210" t="s"/>
      <c r="H210" t="s"/>
      <c r="I210" t="s"/>
      <c r="J210" t="n">
        <v>0.7783</v>
      </c>
      <c r="K210" t="n">
        <v>0</v>
      </c>
      <c r="L210" t="n">
        <v>0.698</v>
      </c>
      <c r="M210" t="n">
        <v>0.302</v>
      </c>
    </row>
    <row r="211" spans="1:13">
      <c r="A211" s="1">
        <f>HYPERLINK("http://www.twitter.com/NathanBLawrence/status/997580866539937798", "997580866539937798")</f>
        <v/>
      </c>
      <c r="B211" s="2" t="n">
        <v>43238.87021990741</v>
      </c>
      <c r="C211" t="n">
        <v>9</v>
      </c>
      <c r="D211" t="n">
        <v>8</v>
      </c>
      <c r="E211" t="s">
        <v>222</v>
      </c>
      <c r="F211">
        <f>HYPERLINK("http://pbs.twimg.com/media/DdgegZfUwAAtnXs.jpg", "http://pbs.twimg.com/media/DdgegZfUwAAtnXs.jpg")</f>
        <v/>
      </c>
      <c r="G211" t="s"/>
      <c r="H211" t="s"/>
      <c r="I211" t="s"/>
      <c r="J211" t="n">
        <v>0.7783</v>
      </c>
      <c r="K211" t="n">
        <v>0</v>
      </c>
      <c r="L211" t="n">
        <v>0.719</v>
      </c>
      <c r="M211" t="n">
        <v>0.281</v>
      </c>
    </row>
    <row r="212" spans="1:13">
      <c r="A212" s="1">
        <f>HYPERLINK("http://www.twitter.com/NathanBLawrence/status/997580312812146689", "997580312812146689")</f>
        <v/>
      </c>
      <c r="B212" s="2" t="n">
        <v>43238.86869212963</v>
      </c>
      <c r="C212" t="n">
        <v>0</v>
      </c>
      <c r="D212" t="n">
        <v>28</v>
      </c>
      <c r="E212" t="s">
        <v>223</v>
      </c>
      <c r="F212">
        <f>HYPERLINK("http://pbs.twimg.com/media/DdBmSVRV4AAZBPW.jpg", "http://pbs.twimg.com/media/DdBmSVRV4AAZBPW.jpg")</f>
        <v/>
      </c>
      <c r="G212" t="s"/>
      <c r="H212" t="s"/>
      <c r="I212" t="s"/>
      <c r="J212" t="n">
        <v>-0.296</v>
      </c>
      <c r="K212" t="n">
        <v>0.145</v>
      </c>
      <c r="L212" t="n">
        <v>0.855</v>
      </c>
      <c r="M212" t="n">
        <v>0</v>
      </c>
    </row>
    <row r="213" spans="1:13">
      <c r="A213" s="1">
        <f>HYPERLINK("http://www.twitter.com/NathanBLawrence/status/997580274761437184", "997580274761437184")</f>
        <v/>
      </c>
      <c r="B213" s="2" t="n">
        <v>43238.86858796296</v>
      </c>
      <c r="C213" t="n">
        <v>0</v>
      </c>
      <c r="D213" t="n">
        <v>16</v>
      </c>
      <c r="E213" t="s">
        <v>224</v>
      </c>
      <c r="F213">
        <f>HYPERLINK("http://pbs.twimg.com/media/DdGTP_fU0AA0hHU.jpg", "http://pbs.twimg.com/media/DdGTP_fU0AA0hHU.jpg")</f>
        <v/>
      </c>
      <c r="G213" t="s"/>
      <c r="H213" t="s"/>
      <c r="I213" t="s"/>
      <c r="J213" t="n">
        <v>0.6705</v>
      </c>
      <c r="K213" t="n">
        <v>0</v>
      </c>
      <c r="L213" t="n">
        <v>0.792</v>
      </c>
      <c r="M213" t="n">
        <v>0.208</v>
      </c>
    </row>
    <row r="214" spans="1:13">
      <c r="A214" s="1">
        <f>HYPERLINK("http://www.twitter.com/NathanBLawrence/status/997580237247582211", "997580237247582211")</f>
        <v/>
      </c>
      <c r="B214" s="2" t="n">
        <v>43238.86848379629</v>
      </c>
      <c r="C214" t="n">
        <v>0</v>
      </c>
      <c r="D214" t="n">
        <v>20</v>
      </c>
      <c r="E214" t="s">
        <v>225</v>
      </c>
      <c r="F214" t="s"/>
      <c r="G214" t="s"/>
      <c r="H214" t="s"/>
      <c r="I214" t="s"/>
      <c r="J214" t="n">
        <v>0</v>
      </c>
      <c r="K214" t="n">
        <v>0</v>
      </c>
      <c r="L214" t="n">
        <v>1</v>
      </c>
      <c r="M214" t="n">
        <v>0</v>
      </c>
    </row>
    <row r="215" spans="1:13">
      <c r="A215" s="1">
        <f>HYPERLINK("http://www.twitter.com/NathanBLawrence/status/997580175129939973", "997580175129939973")</f>
        <v/>
      </c>
      <c r="B215" s="2" t="n">
        <v>43238.86831018519</v>
      </c>
      <c r="C215" t="n">
        <v>0</v>
      </c>
      <c r="D215" t="n">
        <v>30</v>
      </c>
      <c r="E215" t="s">
        <v>226</v>
      </c>
      <c r="F215">
        <f>HYPERLINK("http://pbs.twimg.com/media/DdbzPf6UwAA2mfg.jpg", "http://pbs.twimg.com/media/DdbzPf6UwAA2mfg.jpg")</f>
        <v/>
      </c>
      <c r="G215" t="s"/>
      <c r="H215" t="s"/>
      <c r="I215" t="s"/>
      <c r="J215" t="n">
        <v>0.7003</v>
      </c>
      <c r="K215" t="n">
        <v>0</v>
      </c>
      <c r="L215" t="n">
        <v>0.775</v>
      </c>
      <c r="M215" t="n">
        <v>0.225</v>
      </c>
    </row>
    <row r="216" spans="1:13">
      <c r="A216" s="1">
        <f>HYPERLINK("http://www.twitter.com/NathanBLawrence/status/997580123435098113", "997580123435098113")</f>
        <v/>
      </c>
      <c r="B216" s="2" t="n">
        <v>43238.86817129629</v>
      </c>
      <c r="C216" t="n">
        <v>0</v>
      </c>
      <c r="D216" t="n">
        <v>7</v>
      </c>
      <c r="E216" t="s">
        <v>227</v>
      </c>
      <c r="F216" t="s"/>
      <c r="G216" t="s"/>
      <c r="H216" t="s"/>
      <c r="I216" t="s"/>
      <c r="J216" t="n">
        <v>-0.7269</v>
      </c>
      <c r="K216" t="n">
        <v>0.236</v>
      </c>
      <c r="L216" t="n">
        <v>0.764</v>
      </c>
      <c r="M216" t="n">
        <v>0</v>
      </c>
    </row>
    <row r="217" spans="1:13">
      <c r="A217" s="1">
        <f>HYPERLINK("http://www.twitter.com/NathanBLawrence/status/997580029562417155", "997580029562417155")</f>
        <v/>
      </c>
      <c r="B217" s="2" t="n">
        <v>43238.86790509259</v>
      </c>
      <c r="C217" t="n">
        <v>0</v>
      </c>
      <c r="D217" t="n">
        <v>0</v>
      </c>
      <c r="E217" t="s">
        <v>228</v>
      </c>
      <c r="F217" t="s"/>
      <c r="G217" t="s"/>
      <c r="H217" t="s"/>
      <c r="I217" t="s"/>
      <c r="J217" t="n">
        <v>0.5719</v>
      </c>
      <c r="K217" t="n">
        <v>0</v>
      </c>
      <c r="L217" t="n">
        <v>0.519</v>
      </c>
      <c r="M217" t="n">
        <v>0.481</v>
      </c>
    </row>
    <row r="218" spans="1:13">
      <c r="A218" s="1">
        <f>HYPERLINK("http://www.twitter.com/NathanBLawrence/status/997578731869933568", "997578731869933568")</f>
        <v/>
      </c>
      <c r="B218" s="2" t="n">
        <v>43238.8643287037</v>
      </c>
      <c r="C218" t="n">
        <v>0</v>
      </c>
      <c r="D218" t="n">
        <v>53</v>
      </c>
      <c r="E218" t="s">
        <v>229</v>
      </c>
      <c r="F218" t="s"/>
      <c r="G218" t="s"/>
      <c r="H218" t="s"/>
      <c r="I218" t="s"/>
      <c r="J218" t="n">
        <v>0.2263</v>
      </c>
      <c r="K218" t="n">
        <v>0.104</v>
      </c>
      <c r="L218" t="n">
        <v>0.717</v>
      </c>
      <c r="M218" t="n">
        <v>0.179</v>
      </c>
    </row>
    <row r="219" spans="1:13">
      <c r="A219" s="1">
        <f>HYPERLINK("http://www.twitter.com/NathanBLawrence/status/997578704103591939", "997578704103591939")</f>
        <v/>
      </c>
      <c r="B219" s="2" t="n">
        <v>43238.86424768518</v>
      </c>
      <c r="C219" t="n">
        <v>0</v>
      </c>
      <c r="D219" t="n">
        <v>20</v>
      </c>
      <c r="E219" t="s">
        <v>230</v>
      </c>
      <c r="F219">
        <f>HYPERLINK("http://pbs.twimg.com/media/Ddfp0aXVwAYuJPi.jpg", "http://pbs.twimg.com/media/Ddfp0aXVwAYuJPi.jpg")</f>
        <v/>
      </c>
      <c r="G219" t="s"/>
      <c r="H219" t="s"/>
      <c r="I219" t="s"/>
      <c r="J219" t="n">
        <v>0</v>
      </c>
      <c r="K219" t="n">
        <v>0</v>
      </c>
      <c r="L219" t="n">
        <v>1</v>
      </c>
      <c r="M219" t="n">
        <v>0</v>
      </c>
    </row>
    <row r="220" spans="1:13">
      <c r="A220" s="1">
        <f>HYPERLINK("http://www.twitter.com/NathanBLawrence/status/997578662475157504", "997578662475157504")</f>
        <v/>
      </c>
      <c r="B220" s="2" t="n">
        <v>43238.86413194444</v>
      </c>
      <c r="C220" t="n">
        <v>0</v>
      </c>
      <c r="D220" t="n">
        <v>2121</v>
      </c>
      <c r="E220" t="s">
        <v>231</v>
      </c>
      <c r="F220">
        <f>HYPERLINK("https://video.twimg.com/ext_tw_video/920759824236736512/pu/vid/1280x720/9VlNCxTXId4W1Sl9.mp4", "https://video.twimg.com/ext_tw_video/920759824236736512/pu/vid/1280x720/9VlNCxTXId4W1Sl9.mp4")</f>
        <v/>
      </c>
      <c r="G220" t="s"/>
      <c r="H220" t="s"/>
      <c r="I220" t="s"/>
      <c r="J220" t="n">
        <v>-0.835</v>
      </c>
      <c r="K220" t="n">
        <v>0.397</v>
      </c>
      <c r="L220" t="n">
        <v>0.603</v>
      </c>
      <c r="M220" t="n">
        <v>0</v>
      </c>
    </row>
    <row r="221" spans="1:13">
      <c r="A221" s="1">
        <f>HYPERLINK("http://www.twitter.com/NathanBLawrence/status/997578436737748993", "997578436737748993")</f>
        <v/>
      </c>
      <c r="B221" s="2" t="n">
        <v>43238.86351851852</v>
      </c>
      <c r="C221" t="n">
        <v>0</v>
      </c>
      <c r="D221" t="n">
        <v>4</v>
      </c>
      <c r="E221" t="s">
        <v>232</v>
      </c>
      <c r="F221">
        <f>HYPERLINK("http://pbs.twimg.com/media/DdgLqyQU0AA-H9o.jpg", "http://pbs.twimg.com/media/DdgLqyQU0AA-H9o.jpg")</f>
        <v/>
      </c>
      <c r="G221" t="s"/>
      <c r="H221" t="s"/>
      <c r="I221" t="s"/>
      <c r="J221" t="n">
        <v>0</v>
      </c>
      <c r="K221" t="n">
        <v>0</v>
      </c>
      <c r="L221" t="n">
        <v>1</v>
      </c>
      <c r="M221" t="n">
        <v>0</v>
      </c>
    </row>
    <row r="222" spans="1:13">
      <c r="A222" s="1">
        <f>HYPERLINK("http://www.twitter.com/NathanBLawrence/status/997578421877256192", "997578421877256192")</f>
        <v/>
      </c>
      <c r="B222" s="2" t="n">
        <v>43238.86347222222</v>
      </c>
      <c r="C222" t="n">
        <v>0</v>
      </c>
      <c r="D222" t="n">
        <v>6</v>
      </c>
      <c r="E222" t="s">
        <v>233</v>
      </c>
      <c r="F222">
        <f>HYPERLINK("http://pbs.twimg.com/media/DdgLvTNUwAE8F9l.jpg", "http://pbs.twimg.com/media/DdgLvTNUwAE8F9l.jpg")</f>
        <v/>
      </c>
      <c r="G222" t="s"/>
      <c r="H222" t="s"/>
      <c r="I222" t="s"/>
      <c r="J222" t="n">
        <v>0</v>
      </c>
      <c r="K222" t="n">
        <v>0</v>
      </c>
      <c r="L222" t="n">
        <v>1</v>
      </c>
      <c r="M222" t="n">
        <v>0</v>
      </c>
    </row>
    <row r="223" spans="1:13">
      <c r="A223" s="1">
        <f>HYPERLINK("http://www.twitter.com/NathanBLawrence/status/997564998460280832", "997564998460280832")</f>
        <v/>
      </c>
      <c r="B223" s="2" t="n">
        <v>43238.82643518518</v>
      </c>
      <c r="C223" t="n">
        <v>0</v>
      </c>
      <c r="D223" t="n">
        <v>1</v>
      </c>
      <c r="E223" t="s">
        <v>234</v>
      </c>
      <c r="F223" t="s"/>
      <c r="G223" t="s"/>
      <c r="H223" t="s"/>
      <c r="I223" t="s"/>
      <c r="J223" t="n">
        <v>0</v>
      </c>
      <c r="K223" t="n">
        <v>0</v>
      </c>
      <c r="L223" t="n">
        <v>1</v>
      </c>
      <c r="M223" t="n">
        <v>0</v>
      </c>
    </row>
    <row r="224" spans="1:13">
      <c r="A224" s="1">
        <f>HYPERLINK("http://www.twitter.com/NathanBLawrence/status/997564763159826432", "997564763159826432")</f>
        <v/>
      </c>
      <c r="B224" s="2" t="n">
        <v>43238.82578703704</v>
      </c>
      <c r="C224" t="n">
        <v>0</v>
      </c>
      <c r="D224" t="n">
        <v>15</v>
      </c>
      <c r="E224" t="s">
        <v>235</v>
      </c>
      <c r="F224">
        <f>HYPERLINK("http://pbs.twimg.com/media/DdgPcqqV0AEwF_F.jpg", "http://pbs.twimg.com/media/DdgPcqqV0AEwF_F.jpg")</f>
        <v/>
      </c>
      <c r="G224" t="s"/>
      <c r="H224" t="s"/>
      <c r="I224" t="s"/>
      <c r="J224" t="n">
        <v>0.5859</v>
      </c>
      <c r="K224" t="n">
        <v>0</v>
      </c>
      <c r="L224" t="n">
        <v>0.774</v>
      </c>
      <c r="M224" t="n">
        <v>0.226</v>
      </c>
    </row>
    <row r="225" spans="1:13">
      <c r="A225" s="1">
        <f>HYPERLINK("http://www.twitter.com/NathanBLawrence/status/997564653919227905", "997564653919227905")</f>
        <v/>
      </c>
      <c r="B225" s="2" t="n">
        <v>43238.82548611111</v>
      </c>
      <c r="C225" t="n">
        <v>2</v>
      </c>
      <c r="D225" t="n">
        <v>1</v>
      </c>
      <c r="E225" t="s">
        <v>236</v>
      </c>
      <c r="F225" t="s"/>
      <c r="G225" t="s"/>
      <c r="H225" t="s"/>
      <c r="I225" t="s"/>
      <c r="J225" t="n">
        <v>0</v>
      </c>
      <c r="K225" t="n">
        <v>0</v>
      </c>
      <c r="L225" t="n">
        <v>1</v>
      </c>
      <c r="M225" t="n">
        <v>0</v>
      </c>
    </row>
    <row r="226" spans="1:13">
      <c r="A226" s="1">
        <f>HYPERLINK("http://www.twitter.com/NathanBLawrence/status/997564540199079936", "997564540199079936")</f>
        <v/>
      </c>
      <c r="B226" s="2" t="n">
        <v>43238.82516203704</v>
      </c>
      <c r="C226" t="n">
        <v>0</v>
      </c>
      <c r="D226" t="n">
        <v>1103</v>
      </c>
      <c r="E226" t="s">
        <v>237</v>
      </c>
      <c r="F226" t="s"/>
      <c r="G226" t="s"/>
      <c r="H226" t="s"/>
      <c r="I226" t="s"/>
      <c r="J226" t="n">
        <v>-0.9516</v>
      </c>
      <c r="K226" t="n">
        <v>0.548</v>
      </c>
      <c r="L226" t="n">
        <v>0.452</v>
      </c>
      <c r="M226" t="n">
        <v>0</v>
      </c>
    </row>
    <row r="227" spans="1:13">
      <c r="A227" s="1">
        <f>HYPERLINK("http://www.twitter.com/NathanBLawrence/status/997564308488949766", "997564308488949766")</f>
        <v/>
      </c>
      <c r="B227" s="2" t="n">
        <v>43238.82452546297</v>
      </c>
      <c r="C227" t="n">
        <v>14</v>
      </c>
      <c r="D227" t="n">
        <v>15</v>
      </c>
      <c r="E227" t="s">
        <v>238</v>
      </c>
      <c r="F227">
        <f>HYPERLINK("http://pbs.twimg.com/media/DdgPcqqV0AEwF_F.jpg", "http://pbs.twimg.com/media/DdgPcqqV0AEwF_F.jpg")</f>
        <v/>
      </c>
      <c r="G227" t="s"/>
      <c r="H227" t="s"/>
      <c r="I227" t="s"/>
      <c r="J227" t="n">
        <v>0.5859</v>
      </c>
      <c r="K227" t="n">
        <v>0</v>
      </c>
      <c r="L227" t="n">
        <v>0.759</v>
      </c>
      <c r="M227" t="n">
        <v>0.241</v>
      </c>
    </row>
    <row r="228" spans="1:13">
      <c r="A228" s="1">
        <f>HYPERLINK("http://www.twitter.com/NathanBLawrence/status/997563664717832192", "997563664717832192")</f>
        <v/>
      </c>
      <c r="B228" s="2" t="n">
        <v>43238.82275462963</v>
      </c>
      <c r="C228" t="n">
        <v>0</v>
      </c>
      <c r="D228" t="n">
        <v>315</v>
      </c>
      <c r="E228" t="s">
        <v>239</v>
      </c>
      <c r="F228" t="s"/>
      <c r="G228" t="s"/>
      <c r="H228" t="s"/>
      <c r="I228" t="s"/>
      <c r="J228" t="n">
        <v>0.4374</v>
      </c>
      <c r="K228" t="n">
        <v>0</v>
      </c>
      <c r="L228" t="n">
        <v>0.884</v>
      </c>
      <c r="M228" t="n">
        <v>0.116</v>
      </c>
    </row>
    <row r="229" spans="1:13">
      <c r="A229" s="1">
        <f>HYPERLINK("http://www.twitter.com/NathanBLawrence/status/997563552180441088", "997563552180441088")</f>
        <v/>
      </c>
      <c r="B229" s="2" t="n">
        <v>43238.82244212963</v>
      </c>
      <c r="C229" t="n">
        <v>1</v>
      </c>
      <c r="D229" t="n">
        <v>0</v>
      </c>
      <c r="E229" t="s">
        <v>240</v>
      </c>
      <c r="F229">
        <f>HYPERLINK("http://pbs.twimg.com/media/DdgOwk8U8AAl4-8.jpg", "http://pbs.twimg.com/media/DdgOwk8U8AAl4-8.jpg")</f>
        <v/>
      </c>
      <c r="G229" t="s"/>
      <c r="H229" t="s"/>
      <c r="I229" t="s"/>
      <c r="J229" t="n">
        <v>0.4019</v>
      </c>
      <c r="K229" t="n">
        <v>0</v>
      </c>
      <c r="L229" t="n">
        <v>0.838</v>
      </c>
      <c r="M229" t="n">
        <v>0.162</v>
      </c>
    </row>
    <row r="230" spans="1:13">
      <c r="A230" s="1">
        <f>HYPERLINK("http://www.twitter.com/NathanBLawrence/status/997562663382249472", "997562663382249472")</f>
        <v/>
      </c>
      <c r="B230" s="2" t="n">
        <v>43238.81998842592</v>
      </c>
      <c r="C230" t="n">
        <v>19</v>
      </c>
      <c r="D230" t="n">
        <v>10</v>
      </c>
      <c r="E230" t="s">
        <v>241</v>
      </c>
      <c r="F230" t="s"/>
      <c r="G230" t="s"/>
      <c r="H230" t="s"/>
      <c r="I230" t="s"/>
      <c r="J230" t="n">
        <v>-0.508</v>
      </c>
      <c r="K230" t="n">
        <v>0.152</v>
      </c>
      <c r="L230" t="n">
        <v>0.718</v>
      </c>
      <c r="M230" t="n">
        <v>0.13</v>
      </c>
    </row>
    <row r="231" spans="1:13">
      <c r="A231" s="1">
        <f>HYPERLINK("http://www.twitter.com/NathanBLawrence/status/997560885068615680", "997560885068615680")</f>
        <v/>
      </c>
      <c r="B231" s="2" t="n">
        <v>43238.81508101852</v>
      </c>
      <c r="C231" t="n">
        <v>0</v>
      </c>
      <c r="D231" t="n">
        <v>5</v>
      </c>
      <c r="E231" t="s">
        <v>242</v>
      </c>
      <c r="F231" t="s"/>
      <c r="G231" t="s"/>
      <c r="H231" t="s"/>
      <c r="I231" t="s"/>
      <c r="J231" t="n">
        <v>0.6124000000000001</v>
      </c>
      <c r="K231" t="n">
        <v>0</v>
      </c>
      <c r="L231" t="n">
        <v>0.6879999999999999</v>
      </c>
      <c r="M231" t="n">
        <v>0.312</v>
      </c>
    </row>
    <row r="232" spans="1:13">
      <c r="A232" s="1">
        <f>HYPERLINK("http://www.twitter.com/NathanBLawrence/status/997560866856894464", "997560866856894464")</f>
        <v/>
      </c>
      <c r="B232" s="2" t="n">
        <v>43238.81503472223</v>
      </c>
      <c r="C232" t="n">
        <v>0</v>
      </c>
      <c r="D232" t="n">
        <v>8</v>
      </c>
      <c r="E232" t="s">
        <v>243</v>
      </c>
      <c r="F232" t="s"/>
      <c r="G232" t="s"/>
      <c r="H232" t="s"/>
      <c r="I232" t="s"/>
      <c r="J232" t="n">
        <v>0</v>
      </c>
      <c r="K232" t="n">
        <v>0</v>
      </c>
      <c r="L232" t="n">
        <v>1</v>
      </c>
      <c r="M232" t="n">
        <v>0</v>
      </c>
    </row>
    <row r="233" spans="1:13">
      <c r="A233" s="1">
        <f>HYPERLINK("http://www.twitter.com/NathanBLawrence/status/997560838612545536", "997560838612545536")</f>
        <v/>
      </c>
      <c r="B233" s="2" t="n">
        <v>43238.8149537037</v>
      </c>
      <c r="C233" t="n">
        <v>0</v>
      </c>
      <c r="D233" t="n">
        <v>6</v>
      </c>
      <c r="E233" t="s">
        <v>244</v>
      </c>
      <c r="F233" t="s"/>
      <c r="G233" t="s"/>
      <c r="H233" t="s"/>
      <c r="I233" t="s"/>
      <c r="J233" t="n">
        <v>0.5229</v>
      </c>
      <c r="K233" t="n">
        <v>0</v>
      </c>
      <c r="L233" t="n">
        <v>0.849</v>
      </c>
      <c r="M233" t="n">
        <v>0.151</v>
      </c>
    </row>
    <row r="234" spans="1:13">
      <c r="A234" s="1">
        <f>HYPERLINK("http://www.twitter.com/NathanBLawrence/status/997560635427827713", "997560635427827713")</f>
        <v/>
      </c>
      <c r="B234" s="2" t="n">
        <v>43238.81438657407</v>
      </c>
      <c r="C234" t="n">
        <v>0</v>
      </c>
      <c r="D234" t="n">
        <v>22</v>
      </c>
      <c r="E234" t="s">
        <v>245</v>
      </c>
      <c r="F234">
        <f>HYPERLINK("http://pbs.twimg.com/media/DdfZZNYVAAA67hS.jpg", "http://pbs.twimg.com/media/DdfZZNYVAAA67hS.jpg")</f>
        <v/>
      </c>
      <c r="G234" t="s"/>
      <c r="H234" t="s"/>
      <c r="I234" t="s"/>
      <c r="J234" t="n">
        <v>0</v>
      </c>
      <c r="K234" t="n">
        <v>0</v>
      </c>
      <c r="L234" t="n">
        <v>1</v>
      </c>
      <c r="M234" t="n">
        <v>0</v>
      </c>
    </row>
    <row r="235" spans="1:13">
      <c r="A235" s="1">
        <f>HYPERLINK("http://www.twitter.com/NathanBLawrence/status/997560474538598400", "997560474538598400")</f>
        <v/>
      </c>
      <c r="B235" s="2" t="n">
        <v>43238.81394675926</v>
      </c>
      <c r="C235" t="n">
        <v>0</v>
      </c>
      <c r="D235" t="n">
        <v>5</v>
      </c>
      <c r="E235" t="s">
        <v>246</v>
      </c>
      <c r="F235" t="s"/>
      <c r="G235" t="s"/>
      <c r="H235" t="s"/>
      <c r="I235" t="s"/>
      <c r="J235" t="n">
        <v>0.784</v>
      </c>
      <c r="K235" t="n">
        <v>0</v>
      </c>
      <c r="L235" t="n">
        <v>0.537</v>
      </c>
      <c r="M235" t="n">
        <v>0.463</v>
      </c>
    </row>
    <row r="236" spans="1:13">
      <c r="A236" s="1">
        <f>HYPERLINK("http://www.twitter.com/NathanBLawrence/status/997560281319575553", "997560281319575553")</f>
        <v/>
      </c>
      <c r="B236" s="2" t="n">
        <v>43238.81341435185</v>
      </c>
      <c r="C236" t="n">
        <v>0</v>
      </c>
      <c r="D236" t="n">
        <v>0</v>
      </c>
      <c r="E236" t="s">
        <v>247</v>
      </c>
      <c r="F236" t="s"/>
      <c r="G236" t="s"/>
      <c r="H236" t="s"/>
      <c r="I236" t="s"/>
      <c r="J236" t="n">
        <v>0.3612</v>
      </c>
      <c r="K236" t="n">
        <v>0</v>
      </c>
      <c r="L236" t="n">
        <v>0.906</v>
      </c>
      <c r="M236" t="n">
        <v>0.094</v>
      </c>
    </row>
    <row r="237" spans="1:13">
      <c r="A237" s="1">
        <f>HYPERLINK("http://www.twitter.com/NathanBLawrence/status/997559894277488645", "997559894277488645")</f>
        <v/>
      </c>
      <c r="B237" s="2" t="n">
        <v>43238.81234953704</v>
      </c>
      <c r="C237" t="n">
        <v>0</v>
      </c>
      <c r="D237" t="n">
        <v>3</v>
      </c>
      <c r="E237" t="s">
        <v>248</v>
      </c>
      <c r="F237" t="s"/>
      <c r="G237" t="s"/>
      <c r="H237" t="s"/>
      <c r="I237" t="s"/>
      <c r="J237" t="n">
        <v>0.6249</v>
      </c>
      <c r="K237" t="n">
        <v>0</v>
      </c>
      <c r="L237" t="n">
        <v>0.8139999999999999</v>
      </c>
      <c r="M237" t="n">
        <v>0.186</v>
      </c>
    </row>
    <row r="238" spans="1:13">
      <c r="A238" s="1">
        <f>HYPERLINK("http://www.twitter.com/NathanBLawrence/status/997521759900495872", "997521759900495872")</f>
        <v/>
      </c>
      <c r="B238" s="2" t="n">
        <v>43238.70711805556</v>
      </c>
      <c r="C238" t="n">
        <v>0</v>
      </c>
      <c r="D238" t="n">
        <v>1</v>
      </c>
      <c r="E238" t="s">
        <v>249</v>
      </c>
      <c r="F238" t="s"/>
      <c r="G238" t="s"/>
      <c r="H238" t="s"/>
      <c r="I238" t="s"/>
      <c r="J238" t="n">
        <v>0</v>
      </c>
      <c r="K238" t="n">
        <v>0</v>
      </c>
      <c r="L238" t="n">
        <v>1</v>
      </c>
      <c r="M238" t="n">
        <v>0</v>
      </c>
    </row>
    <row r="239" spans="1:13">
      <c r="A239" s="1">
        <f>HYPERLINK("http://www.twitter.com/NathanBLawrence/status/997521628002160641", "997521628002160641")</f>
        <v/>
      </c>
      <c r="B239" s="2" t="n">
        <v>43238.70674768519</v>
      </c>
      <c r="C239" t="n">
        <v>2</v>
      </c>
      <c r="D239" t="n">
        <v>1</v>
      </c>
      <c r="E239" t="s">
        <v>250</v>
      </c>
      <c r="F239" t="s"/>
      <c r="G239" t="s"/>
      <c r="H239" t="s"/>
      <c r="I239" t="s"/>
      <c r="J239" t="n">
        <v>0.3612</v>
      </c>
      <c r="K239" t="n">
        <v>0</v>
      </c>
      <c r="L239" t="n">
        <v>0.615</v>
      </c>
      <c r="M239" t="n">
        <v>0.385</v>
      </c>
    </row>
    <row r="240" spans="1:13">
      <c r="A240" s="1">
        <f>HYPERLINK("http://www.twitter.com/NathanBLawrence/status/997521511006294018", "997521511006294018")</f>
        <v/>
      </c>
      <c r="B240" s="2" t="n">
        <v>43238.70642361111</v>
      </c>
      <c r="C240" t="n">
        <v>0</v>
      </c>
      <c r="D240" t="n">
        <v>1</v>
      </c>
      <c r="E240" t="s">
        <v>251</v>
      </c>
      <c r="F240" t="s"/>
      <c r="G240" t="s"/>
      <c r="H240" t="s"/>
      <c r="I240" t="s"/>
      <c r="J240" t="n">
        <v>0.6801</v>
      </c>
      <c r="K240" t="n">
        <v>0</v>
      </c>
      <c r="L240" t="n">
        <v>0.625</v>
      </c>
      <c r="M240" t="n">
        <v>0.375</v>
      </c>
    </row>
    <row r="241" spans="1:13">
      <c r="A241" s="1">
        <f>HYPERLINK("http://www.twitter.com/NathanBLawrence/status/997521432795058176", "997521432795058176")</f>
        <v/>
      </c>
      <c r="B241" s="2" t="n">
        <v>43238.70621527778</v>
      </c>
      <c r="C241" t="n">
        <v>1</v>
      </c>
      <c r="D241" t="n">
        <v>0</v>
      </c>
      <c r="E241" t="s">
        <v>252</v>
      </c>
      <c r="F241" t="s"/>
      <c r="G241" t="s"/>
      <c r="H241" t="s"/>
      <c r="I241" t="s"/>
      <c r="J241" t="n">
        <v>0</v>
      </c>
      <c r="K241" t="n">
        <v>0</v>
      </c>
      <c r="L241" t="n">
        <v>1</v>
      </c>
      <c r="M241" t="n">
        <v>0</v>
      </c>
    </row>
    <row r="242" spans="1:13">
      <c r="A242" s="1">
        <f>HYPERLINK("http://www.twitter.com/NathanBLawrence/status/997521047632084993", "997521047632084993")</f>
        <v/>
      </c>
      <c r="B242" s="2" t="n">
        <v>43238.70515046296</v>
      </c>
      <c r="C242" t="n">
        <v>0</v>
      </c>
      <c r="D242" t="n">
        <v>10</v>
      </c>
      <c r="E242" t="s">
        <v>253</v>
      </c>
      <c r="F242" t="s"/>
      <c r="G242" t="s"/>
      <c r="H242" t="s"/>
      <c r="I242" t="s"/>
      <c r="J242" t="n">
        <v>-0.6597</v>
      </c>
      <c r="K242" t="n">
        <v>0.239</v>
      </c>
      <c r="L242" t="n">
        <v>0.761</v>
      </c>
      <c r="M242" t="n">
        <v>0</v>
      </c>
    </row>
    <row r="243" spans="1:13">
      <c r="A243" s="1">
        <f>HYPERLINK("http://www.twitter.com/NathanBLawrence/status/997520305261293569", "997520305261293569")</f>
        <v/>
      </c>
      <c r="B243" s="2" t="n">
        <v>43238.70310185185</v>
      </c>
      <c r="C243" t="n">
        <v>0</v>
      </c>
      <c r="D243" t="n">
        <v>466</v>
      </c>
      <c r="E243" t="s">
        <v>254</v>
      </c>
      <c r="F243" t="s"/>
      <c r="G243" t="s"/>
      <c r="H243" t="s"/>
      <c r="I243" t="s"/>
      <c r="J243" t="n">
        <v>0.831</v>
      </c>
      <c r="K243" t="n">
        <v>0</v>
      </c>
      <c r="L243" t="n">
        <v>0.673</v>
      </c>
      <c r="M243" t="n">
        <v>0.327</v>
      </c>
    </row>
    <row r="244" spans="1:13">
      <c r="A244" s="1">
        <f>HYPERLINK("http://www.twitter.com/NathanBLawrence/status/997520106015031297", "997520106015031297")</f>
        <v/>
      </c>
      <c r="B244" s="2" t="n">
        <v>43238.7025462963</v>
      </c>
      <c r="C244" t="n">
        <v>2</v>
      </c>
      <c r="D244" t="n">
        <v>0</v>
      </c>
      <c r="E244" t="s">
        <v>255</v>
      </c>
      <c r="F244" t="s"/>
      <c r="G244" t="s"/>
      <c r="H244" t="s"/>
      <c r="I244" t="s"/>
      <c r="J244" t="n">
        <v>0.875</v>
      </c>
      <c r="K244" t="n">
        <v>0</v>
      </c>
      <c r="L244" t="n">
        <v>0.45</v>
      </c>
      <c r="M244" t="n">
        <v>0.55</v>
      </c>
    </row>
    <row r="245" spans="1:13">
      <c r="A245" s="1">
        <f>HYPERLINK("http://www.twitter.com/NathanBLawrence/status/997519913504911361", "997519913504911361")</f>
        <v/>
      </c>
      <c r="B245" s="2" t="n">
        <v>43238.70202546296</v>
      </c>
      <c r="C245" t="n">
        <v>0</v>
      </c>
      <c r="D245" t="n">
        <v>2</v>
      </c>
      <c r="E245" t="s">
        <v>256</v>
      </c>
      <c r="F245" t="s"/>
      <c r="G245" t="s"/>
      <c r="H245" t="s"/>
      <c r="I245" t="s"/>
      <c r="J245" t="n">
        <v>0.802</v>
      </c>
      <c r="K245" t="n">
        <v>0</v>
      </c>
      <c r="L245" t="n">
        <v>0.493</v>
      </c>
      <c r="M245" t="n">
        <v>0.507</v>
      </c>
    </row>
    <row r="246" spans="1:13">
      <c r="A246" s="1">
        <f>HYPERLINK("http://www.twitter.com/NathanBLawrence/status/997517451318439936", "997517451318439936")</f>
        <v/>
      </c>
      <c r="B246" s="2" t="n">
        <v>43238.69523148148</v>
      </c>
      <c r="C246" t="n">
        <v>2</v>
      </c>
      <c r="D246" t="n">
        <v>0</v>
      </c>
      <c r="E246" t="s">
        <v>257</v>
      </c>
      <c r="F246" t="s"/>
      <c r="G246" t="s"/>
      <c r="H246" t="s"/>
      <c r="I246" t="s"/>
      <c r="J246" t="n">
        <v>0</v>
      </c>
      <c r="K246" t="n">
        <v>0</v>
      </c>
      <c r="L246" t="n">
        <v>1</v>
      </c>
      <c r="M246" t="n">
        <v>0</v>
      </c>
    </row>
    <row r="247" spans="1:13">
      <c r="A247" s="1">
        <f>HYPERLINK("http://www.twitter.com/NathanBLawrence/status/997517020773134341", "997517020773134341")</f>
        <v/>
      </c>
      <c r="B247" s="2" t="n">
        <v>43238.69403935185</v>
      </c>
      <c r="C247" t="n">
        <v>1</v>
      </c>
      <c r="D247" t="n">
        <v>0</v>
      </c>
      <c r="E247" t="s">
        <v>258</v>
      </c>
      <c r="F247" t="s"/>
      <c r="G247" t="s"/>
      <c r="H247" t="s"/>
      <c r="I247" t="s"/>
      <c r="J247" t="n">
        <v>0.3875</v>
      </c>
      <c r="K247" t="n">
        <v>0</v>
      </c>
      <c r="L247" t="n">
        <v>0.774</v>
      </c>
      <c r="M247" t="n">
        <v>0.226</v>
      </c>
    </row>
    <row r="248" spans="1:13">
      <c r="A248" s="1">
        <f>HYPERLINK("http://www.twitter.com/NathanBLawrence/status/997516377081745408", "997516377081745408")</f>
        <v/>
      </c>
      <c r="B248" s="2" t="n">
        <v>43238.69225694444</v>
      </c>
      <c r="C248" t="n">
        <v>0</v>
      </c>
      <c r="D248" t="n">
        <v>2</v>
      </c>
      <c r="E248" t="s">
        <v>259</v>
      </c>
      <c r="F248" t="s"/>
      <c r="G248" t="s"/>
      <c r="H248" t="s"/>
      <c r="I248" t="s"/>
      <c r="J248" t="n">
        <v>0</v>
      </c>
      <c r="K248" t="n">
        <v>0</v>
      </c>
      <c r="L248" t="n">
        <v>1</v>
      </c>
      <c r="M248" t="n">
        <v>0</v>
      </c>
    </row>
    <row r="249" spans="1:13">
      <c r="A249" s="1">
        <f>HYPERLINK("http://www.twitter.com/NathanBLawrence/status/997516189529182208", "997516189529182208")</f>
        <v/>
      </c>
      <c r="B249" s="2" t="n">
        <v>43238.69174768519</v>
      </c>
      <c r="C249" t="n">
        <v>0</v>
      </c>
      <c r="D249" t="n">
        <v>4</v>
      </c>
      <c r="E249" t="s">
        <v>260</v>
      </c>
      <c r="F249" t="s"/>
      <c r="G249" t="s"/>
      <c r="H249" t="s"/>
      <c r="I249" t="s"/>
      <c r="J249" t="n">
        <v>0</v>
      </c>
      <c r="K249" t="n">
        <v>0</v>
      </c>
      <c r="L249" t="n">
        <v>1</v>
      </c>
      <c r="M249" t="n">
        <v>0</v>
      </c>
    </row>
    <row r="250" spans="1:13">
      <c r="A250" s="1">
        <f>HYPERLINK("http://www.twitter.com/NathanBLawrence/status/997515739040026626", "997515739040026626")</f>
        <v/>
      </c>
      <c r="B250" s="2" t="n">
        <v>43238.69049768519</v>
      </c>
      <c r="C250" t="n">
        <v>1</v>
      </c>
      <c r="D250" t="n">
        <v>1</v>
      </c>
      <c r="E250" t="s">
        <v>261</v>
      </c>
      <c r="F250" t="s"/>
      <c r="G250" t="s"/>
      <c r="H250" t="s"/>
      <c r="I250" t="s"/>
      <c r="J250" t="n">
        <v>0</v>
      </c>
      <c r="K250" t="n">
        <v>0</v>
      </c>
      <c r="L250" t="n">
        <v>1</v>
      </c>
      <c r="M250" t="n">
        <v>0</v>
      </c>
    </row>
    <row r="251" spans="1:13">
      <c r="A251" s="1">
        <f>HYPERLINK("http://www.twitter.com/NathanBLawrence/status/997515547167416320", "997515547167416320")</f>
        <v/>
      </c>
      <c r="B251" s="2" t="n">
        <v>43238.68997685185</v>
      </c>
      <c r="C251" t="n">
        <v>0</v>
      </c>
      <c r="D251" t="n">
        <v>23</v>
      </c>
      <c r="E251" t="s">
        <v>262</v>
      </c>
      <c r="F251" t="s"/>
      <c r="G251" t="s"/>
      <c r="H251" t="s"/>
      <c r="I251" t="s"/>
      <c r="J251" t="n">
        <v>0</v>
      </c>
      <c r="K251" t="n">
        <v>0</v>
      </c>
      <c r="L251" t="n">
        <v>1</v>
      </c>
      <c r="M251" t="n">
        <v>0</v>
      </c>
    </row>
    <row r="252" spans="1:13">
      <c r="A252" s="1">
        <f>HYPERLINK("http://www.twitter.com/NathanBLawrence/status/997515490015809536", "997515490015809536")</f>
        <v/>
      </c>
      <c r="B252" s="2" t="n">
        <v>43238.68981481482</v>
      </c>
      <c r="C252" t="n">
        <v>21</v>
      </c>
      <c r="D252" t="n">
        <v>23</v>
      </c>
      <c r="E252" t="s">
        <v>263</v>
      </c>
      <c r="F252" t="s"/>
      <c r="G252" t="s"/>
      <c r="H252" t="s"/>
      <c r="I252" t="s"/>
      <c r="J252" t="n">
        <v>0</v>
      </c>
      <c r="K252" t="n">
        <v>0</v>
      </c>
      <c r="L252" t="n">
        <v>1</v>
      </c>
      <c r="M252" t="n">
        <v>0</v>
      </c>
    </row>
    <row r="253" spans="1:13">
      <c r="A253" s="1">
        <f>HYPERLINK("http://www.twitter.com/NathanBLawrence/status/997515096220893184", "997515096220893184")</f>
        <v/>
      </c>
      <c r="B253" s="2" t="n">
        <v>43238.68872685185</v>
      </c>
      <c r="C253" t="n">
        <v>0</v>
      </c>
      <c r="D253" t="n">
        <v>22</v>
      </c>
      <c r="E253" t="s">
        <v>264</v>
      </c>
      <c r="F253">
        <f>HYPERLINK("http://pbs.twimg.com/media/DST_PM-VwAAQ5nM.jpg", "http://pbs.twimg.com/media/DST_PM-VwAAQ5nM.jpg")</f>
        <v/>
      </c>
      <c r="G253" t="s"/>
      <c r="H253" t="s"/>
      <c r="I253" t="s"/>
      <c r="J253" t="n">
        <v>0.7783</v>
      </c>
      <c r="K253" t="n">
        <v>0</v>
      </c>
      <c r="L253" t="n">
        <v>0.702</v>
      </c>
      <c r="M253" t="n">
        <v>0.298</v>
      </c>
    </row>
    <row r="254" spans="1:13">
      <c r="A254" s="1">
        <f>HYPERLINK("http://www.twitter.com/NathanBLawrence/status/997514166423506945", "997514166423506945")</f>
        <v/>
      </c>
      <c r="B254" s="2" t="n">
        <v>43238.68615740741</v>
      </c>
      <c r="C254" t="n">
        <v>0</v>
      </c>
      <c r="D254" t="n">
        <v>19</v>
      </c>
      <c r="E254" t="s">
        <v>265</v>
      </c>
      <c r="F254">
        <f>HYPERLINK("http://pbs.twimg.com/media/DdFeGURUwAUvYfw.jpg", "http://pbs.twimg.com/media/DdFeGURUwAUvYfw.jpg")</f>
        <v/>
      </c>
      <c r="G254" t="s"/>
      <c r="H254" t="s"/>
      <c r="I254" t="s"/>
      <c r="J254" t="n">
        <v>0</v>
      </c>
      <c r="K254" t="n">
        <v>0</v>
      </c>
      <c r="L254" t="n">
        <v>1</v>
      </c>
      <c r="M254" t="n">
        <v>0</v>
      </c>
    </row>
    <row r="255" spans="1:13">
      <c r="A255" s="1">
        <f>HYPERLINK("http://www.twitter.com/NathanBLawrence/status/997514127798145024", "997514127798145024")</f>
        <v/>
      </c>
      <c r="B255" s="2" t="n">
        <v>43238.68605324074</v>
      </c>
      <c r="C255" t="n">
        <v>0</v>
      </c>
      <c r="D255" t="n">
        <v>60</v>
      </c>
      <c r="E255" t="s">
        <v>266</v>
      </c>
      <c r="F255">
        <f>HYPERLINK("http://pbs.twimg.com/media/DdGreyIVwAASvsz.jpg", "http://pbs.twimg.com/media/DdGreyIVwAASvsz.jpg")</f>
        <v/>
      </c>
      <c r="G255" t="s"/>
      <c r="H255" t="s"/>
      <c r="I255" t="s"/>
      <c r="J255" t="n">
        <v>0</v>
      </c>
      <c r="K255" t="n">
        <v>0</v>
      </c>
      <c r="L255" t="n">
        <v>1</v>
      </c>
      <c r="M255" t="n">
        <v>0</v>
      </c>
    </row>
    <row r="256" spans="1:13">
      <c r="A256" s="1">
        <f>HYPERLINK("http://www.twitter.com/NathanBLawrence/status/997513983316955136", "997513983316955136")</f>
        <v/>
      </c>
      <c r="B256" s="2" t="n">
        <v>43238.68565972222</v>
      </c>
      <c r="C256" t="n">
        <v>0</v>
      </c>
      <c r="D256" t="n">
        <v>7</v>
      </c>
      <c r="E256" t="s">
        <v>267</v>
      </c>
      <c r="F256" t="s"/>
      <c r="G256" t="s"/>
      <c r="H256" t="s"/>
      <c r="I256" t="s"/>
      <c r="J256" t="n">
        <v>0</v>
      </c>
      <c r="K256" t="n">
        <v>0</v>
      </c>
      <c r="L256" t="n">
        <v>1</v>
      </c>
      <c r="M256" t="n">
        <v>0</v>
      </c>
    </row>
    <row r="257" spans="1:13">
      <c r="A257" s="1">
        <f>HYPERLINK("http://www.twitter.com/NathanBLawrence/status/997513562514952192", "997513562514952192")</f>
        <v/>
      </c>
      <c r="B257" s="2" t="n">
        <v>43238.68449074074</v>
      </c>
      <c r="C257" t="n">
        <v>0</v>
      </c>
      <c r="D257" t="n">
        <v>1</v>
      </c>
      <c r="E257" t="s">
        <v>268</v>
      </c>
      <c r="F257">
        <f>HYPERLINK("http://pbs.twimg.com/media/DdfgrDFVAAAVnIo.jpg", "http://pbs.twimg.com/media/DdfgrDFVAAAVnIo.jpg")</f>
        <v/>
      </c>
      <c r="G257" t="s"/>
      <c r="H257" t="s"/>
      <c r="I257" t="s"/>
      <c r="J257" t="n">
        <v>0</v>
      </c>
      <c r="K257" t="n">
        <v>0</v>
      </c>
      <c r="L257" t="n">
        <v>1</v>
      </c>
      <c r="M257" t="n">
        <v>0</v>
      </c>
    </row>
    <row r="258" spans="1:13">
      <c r="A258" s="1">
        <f>HYPERLINK("http://www.twitter.com/NathanBLawrence/status/997513496282746880", "997513496282746880")</f>
        <v/>
      </c>
      <c r="B258" s="2" t="n">
        <v>43238.68431712963</v>
      </c>
      <c r="C258" t="n">
        <v>0</v>
      </c>
      <c r="D258" t="n">
        <v>0</v>
      </c>
      <c r="E258" t="s">
        <v>269</v>
      </c>
      <c r="F258" t="s"/>
      <c r="G258" t="s"/>
      <c r="H258" t="s"/>
      <c r="I258" t="s"/>
      <c r="J258" t="n">
        <v>0.128</v>
      </c>
      <c r="K258" t="n">
        <v>0.074</v>
      </c>
      <c r="L258" t="n">
        <v>0.836</v>
      </c>
      <c r="M258" t="n">
        <v>0.09</v>
      </c>
    </row>
    <row r="259" spans="1:13">
      <c r="A259" s="1">
        <f>HYPERLINK("http://www.twitter.com/NathanBLawrence/status/997512424059277312", "997512424059277312")</f>
        <v/>
      </c>
      <c r="B259" s="2" t="n">
        <v>43238.68135416666</v>
      </c>
      <c r="C259" t="n">
        <v>0</v>
      </c>
      <c r="D259" t="n">
        <v>1</v>
      </c>
      <c r="E259" t="s">
        <v>270</v>
      </c>
      <c r="F259" t="s"/>
      <c r="G259" t="s"/>
      <c r="H259" t="s"/>
      <c r="I259" t="s"/>
      <c r="J259" t="n">
        <v>-0.34</v>
      </c>
      <c r="K259" t="n">
        <v>0.324</v>
      </c>
      <c r="L259" t="n">
        <v>0.676</v>
      </c>
      <c r="M259" t="n">
        <v>0</v>
      </c>
    </row>
    <row r="260" spans="1:13">
      <c r="A260" s="1">
        <f>HYPERLINK("http://www.twitter.com/NathanBLawrence/status/997511592593018880", "997511592593018880")</f>
        <v/>
      </c>
      <c r="B260" s="2" t="n">
        <v>43238.6790625</v>
      </c>
      <c r="C260" t="n">
        <v>0</v>
      </c>
      <c r="D260" t="n">
        <v>2</v>
      </c>
      <c r="E260" t="s">
        <v>271</v>
      </c>
      <c r="F260" t="s"/>
      <c r="G260" t="s"/>
      <c r="H260" t="s"/>
      <c r="I260" t="s"/>
      <c r="J260" t="n">
        <v>0</v>
      </c>
      <c r="K260" t="n">
        <v>0</v>
      </c>
      <c r="L260" t="n">
        <v>1</v>
      </c>
      <c r="M260" t="n">
        <v>0</v>
      </c>
    </row>
    <row r="261" spans="1:13">
      <c r="A261" s="1">
        <f>HYPERLINK("http://www.twitter.com/NathanBLawrence/status/997511267689680896", "997511267689680896")</f>
        <v/>
      </c>
      <c r="B261" s="2" t="n">
        <v>43238.67815972222</v>
      </c>
      <c r="C261" t="n">
        <v>0</v>
      </c>
      <c r="D261" t="n">
        <v>23</v>
      </c>
      <c r="E261" t="s">
        <v>272</v>
      </c>
      <c r="F261">
        <f>HYPERLINK("http://pbs.twimg.com/media/DdffBPmVMAAV17t.jpg", "http://pbs.twimg.com/media/DdffBPmVMAAV17t.jpg")</f>
        <v/>
      </c>
      <c r="G261">
        <f>HYPERLINK("http://pbs.twimg.com/media/DdffBPVVMAIwW9C.jpg", "http://pbs.twimg.com/media/DdffBPVVMAIwW9C.jpg")</f>
        <v/>
      </c>
      <c r="H261">
        <f>HYPERLINK("http://pbs.twimg.com/media/DdffBPhV4AEY72h.jpg", "http://pbs.twimg.com/media/DdffBPhV4AEY72h.jpg")</f>
        <v/>
      </c>
      <c r="I261" t="s"/>
      <c r="J261" t="n">
        <v>0.8779</v>
      </c>
      <c r="K261" t="n">
        <v>0</v>
      </c>
      <c r="L261" t="n">
        <v>0.598</v>
      </c>
      <c r="M261" t="n">
        <v>0.402</v>
      </c>
    </row>
    <row r="262" spans="1:13">
      <c r="A262" s="1">
        <f>HYPERLINK("http://www.twitter.com/NathanBLawrence/status/997509776463532032", "997509776463532032")</f>
        <v/>
      </c>
      <c r="B262" s="2" t="n">
        <v>43238.67405092593</v>
      </c>
      <c r="C262" t="n">
        <v>50</v>
      </c>
      <c r="D262" t="n">
        <v>56</v>
      </c>
      <c r="E262" t="s">
        <v>273</v>
      </c>
      <c r="F262">
        <f>HYPERLINK("https://video.twimg.com/ext_tw_video/997509331812728833/pu/vid/1280x720/DYnLTSwPkXFoRRpa.mp4?tag=3", "https://video.twimg.com/ext_tw_video/997509331812728833/pu/vid/1280x720/DYnLTSwPkXFoRRpa.mp4?tag=3")</f>
        <v/>
      </c>
      <c r="G262" t="s"/>
      <c r="H262" t="s"/>
      <c r="I262" t="s"/>
      <c r="J262" t="n">
        <v>0</v>
      </c>
      <c r="K262" t="n">
        <v>0</v>
      </c>
      <c r="L262" t="n">
        <v>1</v>
      </c>
      <c r="M262" t="n">
        <v>0</v>
      </c>
    </row>
    <row r="263" spans="1:13">
      <c r="A263" s="1">
        <f>HYPERLINK("http://www.twitter.com/NathanBLawrence/status/997504877344378880", "997504877344378880")</f>
        <v/>
      </c>
      <c r="B263" s="2" t="n">
        <v>43238.6605324074</v>
      </c>
      <c r="C263" t="n">
        <v>29</v>
      </c>
      <c r="D263" t="n">
        <v>22</v>
      </c>
      <c r="E263" t="s">
        <v>274</v>
      </c>
      <c r="F263">
        <f>HYPERLINK("http://pbs.twimg.com/media/DdfZZNYVAAA67hS.jpg", "http://pbs.twimg.com/media/DdfZZNYVAAA67hS.jpg")</f>
        <v/>
      </c>
      <c r="G263" t="s"/>
      <c r="H263" t="s"/>
      <c r="I263" t="s"/>
      <c r="J263" t="n">
        <v>-0.7296</v>
      </c>
      <c r="K263" t="n">
        <v>0.173</v>
      </c>
      <c r="L263" t="n">
        <v>0.827</v>
      </c>
      <c r="M263" t="n">
        <v>0</v>
      </c>
    </row>
    <row r="264" spans="1:13">
      <c r="A264" s="1">
        <f>HYPERLINK("http://www.twitter.com/NathanBLawrence/status/997502552253124608", "997502552253124608")</f>
        <v/>
      </c>
      <c r="B264" s="2" t="n">
        <v>43238.6541087963</v>
      </c>
      <c r="C264" t="n">
        <v>0</v>
      </c>
      <c r="D264" t="n">
        <v>2</v>
      </c>
      <c r="E264" t="s">
        <v>275</v>
      </c>
      <c r="F264" t="s"/>
      <c r="G264" t="s"/>
      <c r="H264" t="s"/>
      <c r="I264" t="s"/>
      <c r="J264" t="n">
        <v>0</v>
      </c>
      <c r="K264" t="n">
        <v>0</v>
      </c>
      <c r="L264" t="n">
        <v>1</v>
      </c>
      <c r="M264" t="n">
        <v>0</v>
      </c>
    </row>
    <row r="265" spans="1:13">
      <c r="A265" s="1">
        <f>HYPERLINK("http://www.twitter.com/NathanBLawrence/status/997502532615331840", "997502532615331840")</f>
        <v/>
      </c>
      <c r="B265" s="2" t="n">
        <v>43238.6540625</v>
      </c>
      <c r="C265" t="n">
        <v>0</v>
      </c>
      <c r="D265" t="n">
        <v>1</v>
      </c>
      <c r="E265" t="s">
        <v>276</v>
      </c>
      <c r="F265" t="s"/>
      <c r="G265" t="s"/>
      <c r="H265" t="s"/>
      <c r="I265" t="s"/>
      <c r="J265" t="n">
        <v>0</v>
      </c>
      <c r="K265" t="n">
        <v>0</v>
      </c>
      <c r="L265" t="n">
        <v>1</v>
      </c>
      <c r="M265" t="n">
        <v>0</v>
      </c>
    </row>
    <row r="266" spans="1:13">
      <c r="A266" s="1">
        <f>HYPERLINK("http://www.twitter.com/NathanBLawrence/status/997502350226087936", "997502350226087936")</f>
        <v/>
      </c>
      <c r="B266" s="2" t="n">
        <v>43238.65355324074</v>
      </c>
      <c r="C266" t="n">
        <v>2</v>
      </c>
      <c r="D266" t="n">
        <v>1</v>
      </c>
      <c r="E266" t="s">
        <v>277</v>
      </c>
      <c r="F266" t="s"/>
      <c r="G266" t="s"/>
      <c r="H266" t="s"/>
      <c r="I266" t="s"/>
      <c r="J266" t="n">
        <v>0</v>
      </c>
      <c r="K266" t="n">
        <v>0</v>
      </c>
      <c r="L266" t="n">
        <v>1</v>
      </c>
      <c r="M266" t="n">
        <v>0</v>
      </c>
    </row>
    <row r="267" spans="1:13">
      <c r="A267" s="1">
        <f>HYPERLINK("http://www.twitter.com/NathanBLawrence/status/997501883697770501", "997501883697770501")</f>
        <v/>
      </c>
      <c r="B267" s="2" t="n">
        <v>43238.65226851852</v>
      </c>
      <c r="C267" t="n">
        <v>0</v>
      </c>
      <c r="D267" t="n">
        <v>0</v>
      </c>
      <c r="E267" t="s">
        <v>278</v>
      </c>
      <c r="F267" t="s"/>
      <c r="G267" t="s"/>
      <c r="H267" t="s"/>
      <c r="I267" t="s"/>
      <c r="J267" t="n">
        <v>0</v>
      </c>
      <c r="K267" t="n">
        <v>0</v>
      </c>
      <c r="L267" t="n">
        <v>1</v>
      </c>
      <c r="M267" t="n">
        <v>0</v>
      </c>
    </row>
    <row r="268" spans="1:13">
      <c r="A268" s="1">
        <f>HYPERLINK("http://www.twitter.com/NathanBLawrence/status/997501843390558209", "997501843390558209")</f>
        <v/>
      </c>
      <c r="B268" s="2" t="n">
        <v>43238.65215277778</v>
      </c>
      <c r="C268" t="n">
        <v>0</v>
      </c>
      <c r="D268" t="n">
        <v>45</v>
      </c>
      <c r="E268" t="s">
        <v>279</v>
      </c>
      <c r="F268" t="s"/>
      <c r="G268" t="s"/>
      <c r="H268" t="s"/>
      <c r="I268" t="s"/>
      <c r="J268" t="n">
        <v>0.4767</v>
      </c>
      <c r="K268" t="n">
        <v>0</v>
      </c>
      <c r="L268" t="n">
        <v>0.829</v>
      </c>
      <c r="M268" t="n">
        <v>0.171</v>
      </c>
    </row>
    <row r="269" spans="1:13">
      <c r="A269" s="1">
        <f>HYPERLINK("http://www.twitter.com/NathanBLawrence/status/997501778139779072", "997501778139779072")</f>
        <v/>
      </c>
      <c r="B269" s="2" t="n">
        <v>43238.65197916667</v>
      </c>
      <c r="C269" t="n">
        <v>1</v>
      </c>
      <c r="D269" t="n">
        <v>0</v>
      </c>
      <c r="E269" t="s">
        <v>280</v>
      </c>
      <c r="F269" t="s"/>
      <c r="G269" t="s"/>
      <c r="H269" t="s"/>
      <c r="I269" t="s"/>
      <c r="J269" t="n">
        <v>0.6786</v>
      </c>
      <c r="K269" t="n">
        <v>0</v>
      </c>
      <c r="L269" t="n">
        <v>0.418</v>
      </c>
      <c r="M269" t="n">
        <v>0.582</v>
      </c>
    </row>
    <row r="270" spans="1:13">
      <c r="A270" s="1">
        <f>HYPERLINK("http://www.twitter.com/NathanBLawrence/status/997501628734459905", "997501628734459905")</f>
        <v/>
      </c>
      <c r="B270" s="2" t="n">
        <v>43238.6515625</v>
      </c>
      <c r="C270" t="n">
        <v>0</v>
      </c>
      <c r="D270" t="n">
        <v>2</v>
      </c>
      <c r="E270" t="s">
        <v>281</v>
      </c>
      <c r="F270" t="s"/>
      <c r="G270" t="s"/>
      <c r="H270" t="s"/>
      <c r="I270" t="s"/>
      <c r="J270" t="n">
        <v>0.3595</v>
      </c>
      <c r="K270" t="n">
        <v>0.05</v>
      </c>
      <c r="L270" t="n">
        <v>0.837</v>
      </c>
      <c r="M270" t="n">
        <v>0.113</v>
      </c>
    </row>
    <row r="271" spans="1:13">
      <c r="A271" s="1">
        <f>HYPERLINK("http://www.twitter.com/NathanBLawrence/status/997501239045869568", "997501239045869568")</f>
        <v/>
      </c>
      <c r="B271" s="2" t="n">
        <v>43238.65048611111</v>
      </c>
      <c r="C271" t="n">
        <v>0</v>
      </c>
      <c r="D271" t="n">
        <v>2</v>
      </c>
      <c r="E271" t="s">
        <v>282</v>
      </c>
      <c r="F271" t="s"/>
      <c r="G271" t="s"/>
      <c r="H271" t="s"/>
      <c r="I271" t="s"/>
      <c r="J271" t="n">
        <v>0.4199</v>
      </c>
      <c r="K271" t="n">
        <v>0</v>
      </c>
      <c r="L271" t="n">
        <v>0.741</v>
      </c>
      <c r="M271" t="n">
        <v>0.259</v>
      </c>
    </row>
    <row r="272" spans="1:13">
      <c r="A272" s="1">
        <f>HYPERLINK("http://www.twitter.com/NathanBLawrence/status/997501208049999872", "997501208049999872")</f>
        <v/>
      </c>
      <c r="B272" s="2" t="n">
        <v>43238.65040509259</v>
      </c>
      <c r="C272" t="n">
        <v>0</v>
      </c>
      <c r="D272" t="n">
        <v>3</v>
      </c>
      <c r="E272" t="s">
        <v>283</v>
      </c>
      <c r="F272" t="s"/>
      <c r="G272" t="s"/>
      <c r="H272" t="s"/>
      <c r="I272" t="s"/>
      <c r="J272" t="n">
        <v>0.5673</v>
      </c>
      <c r="K272" t="n">
        <v>0</v>
      </c>
      <c r="L272" t="n">
        <v>0.851</v>
      </c>
      <c r="M272" t="n">
        <v>0.149</v>
      </c>
    </row>
    <row r="273" spans="1:13">
      <c r="A273" s="1">
        <f>HYPERLINK("http://www.twitter.com/NathanBLawrence/status/997500542493581312", "997500542493581312")</f>
        <v/>
      </c>
      <c r="B273" s="2" t="n">
        <v>43238.64856481482</v>
      </c>
      <c r="C273" t="n">
        <v>0</v>
      </c>
      <c r="D273" t="n">
        <v>32</v>
      </c>
      <c r="E273" t="s">
        <v>284</v>
      </c>
      <c r="F273" t="s"/>
      <c r="G273" t="s"/>
      <c r="H273" t="s"/>
      <c r="I273" t="s"/>
      <c r="J273" t="n">
        <v>-0.2462</v>
      </c>
      <c r="K273" t="n">
        <v>0.135</v>
      </c>
      <c r="L273" t="n">
        <v>0.777</v>
      </c>
      <c r="M273" t="n">
        <v>0.08699999999999999</v>
      </c>
    </row>
    <row r="274" spans="1:13">
      <c r="A274" s="1">
        <f>HYPERLINK("http://www.twitter.com/NathanBLawrence/status/997500365019983873", "997500365019983873")</f>
        <v/>
      </c>
      <c r="B274" s="2" t="n">
        <v>43238.64807870371</v>
      </c>
      <c r="C274" t="n">
        <v>0</v>
      </c>
      <c r="D274" t="n">
        <v>7</v>
      </c>
      <c r="E274" t="s">
        <v>285</v>
      </c>
      <c r="F274" t="s"/>
      <c r="G274" t="s"/>
      <c r="H274" t="s"/>
      <c r="I274" t="s"/>
      <c r="J274" t="n">
        <v>0.5659</v>
      </c>
      <c r="K274" t="n">
        <v>0.081</v>
      </c>
      <c r="L274" t="n">
        <v>0.672</v>
      </c>
      <c r="M274" t="n">
        <v>0.246</v>
      </c>
    </row>
    <row r="275" spans="1:13">
      <c r="A275" s="1">
        <f>HYPERLINK("http://www.twitter.com/NathanBLawrence/status/997500126204715008", "997500126204715008")</f>
        <v/>
      </c>
      <c r="B275" s="2" t="n">
        <v>43238.64741898148</v>
      </c>
      <c r="C275" t="n">
        <v>1</v>
      </c>
      <c r="D275" t="n">
        <v>2</v>
      </c>
      <c r="E275" t="s">
        <v>286</v>
      </c>
      <c r="F275" t="s"/>
      <c r="G275" t="s"/>
      <c r="H275" t="s"/>
      <c r="I275" t="s"/>
      <c r="J275" t="n">
        <v>0</v>
      </c>
      <c r="K275" t="n">
        <v>0</v>
      </c>
      <c r="L275" t="n">
        <v>1</v>
      </c>
      <c r="M275" t="n">
        <v>0</v>
      </c>
    </row>
    <row r="276" spans="1:13">
      <c r="A276" s="1">
        <f>HYPERLINK("http://www.twitter.com/NathanBLawrence/status/997497830666375169", "997497830666375169")</f>
        <v/>
      </c>
      <c r="B276" s="2" t="n">
        <v>43238.64108796296</v>
      </c>
      <c r="C276" t="n">
        <v>4</v>
      </c>
      <c r="D276" t="n">
        <v>4</v>
      </c>
      <c r="E276" t="s">
        <v>287</v>
      </c>
      <c r="F276" t="s"/>
      <c r="G276" t="s"/>
      <c r="H276" t="s"/>
      <c r="I276" t="s"/>
      <c r="J276" t="n">
        <v>-0.9360000000000001</v>
      </c>
      <c r="K276" t="n">
        <v>0.526</v>
      </c>
      <c r="L276" t="n">
        <v>0.474</v>
      </c>
      <c r="M276" t="n">
        <v>0</v>
      </c>
    </row>
    <row r="277" spans="1:13">
      <c r="A277" s="1">
        <f>HYPERLINK("http://www.twitter.com/NathanBLawrence/status/997497437504917504", "997497437504917504")</f>
        <v/>
      </c>
      <c r="B277" s="2" t="n">
        <v>43238.64</v>
      </c>
      <c r="C277" t="n">
        <v>0</v>
      </c>
      <c r="D277" t="n">
        <v>29320</v>
      </c>
      <c r="E277" t="s">
        <v>288</v>
      </c>
      <c r="F277" t="s"/>
      <c r="G277" t="s"/>
      <c r="H277" t="s"/>
      <c r="I277" t="s"/>
      <c r="J277" t="n">
        <v>-0.3875</v>
      </c>
      <c r="K277" t="n">
        <v>0.193</v>
      </c>
      <c r="L277" t="n">
        <v>0.8070000000000001</v>
      </c>
      <c r="M277" t="n">
        <v>0</v>
      </c>
    </row>
    <row r="278" spans="1:13">
      <c r="A278" s="1">
        <f>HYPERLINK("http://www.twitter.com/NathanBLawrence/status/997497111968206848", "997497111968206848")</f>
        <v/>
      </c>
      <c r="B278" s="2" t="n">
        <v>43238.63909722222</v>
      </c>
      <c r="C278" t="n">
        <v>0</v>
      </c>
      <c r="D278" t="n">
        <v>96</v>
      </c>
      <c r="E278" t="s">
        <v>289</v>
      </c>
      <c r="F278" t="s"/>
      <c r="G278" t="s"/>
      <c r="H278" t="s"/>
      <c r="I278" t="s"/>
      <c r="J278" t="n">
        <v>0.0516</v>
      </c>
      <c r="K278" t="n">
        <v>0.149</v>
      </c>
      <c r="L278" t="n">
        <v>0.66</v>
      </c>
      <c r="M278" t="n">
        <v>0.191</v>
      </c>
    </row>
    <row r="279" spans="1:13">
      <c r="A279" s="1">
        <f>HYPERLINK("http://www.twitter.com/NathanBLawrence/status/997496704101486597", "997496704101486597")</f>
        <v/>
      </c>
      <c r="B279" s="2" t="n">
        <v>43238.63797453704</v>
      </c>
      <c r="C279" t="n">
        <v>0</v>
      </c>
      <c r="D279" t="n">
        <v>12</v>
      </c>
      <c r="E279" t="s">
        <v>290</v>
      </c>
      <c r="F279">
        <f>HYPERLINK("http://pbs.twimg.com/media/DdfQSuYUQAESNKY.jpg", "http://pbs.twimg.com/media/DdfQSuYUQAESNKY.jpg")</f>
        <v/>
      </c>
      <c r="G279" t="s"/>
      <c r="H279" t="s"/>
      <c r="I279" t="s"/>
      <c r="J279" t="n">
        <v>0</v>
      </c>
      <c r="K279" t="n">
        <v>0</v>
      </c>
      <c r="L279" t="n">
        <v>1</v>
      </c>
      <c r="M279" t="n">
        <v>0</v>
      </c>
    </row>
    <row r="280" spans="1:13">
      <c r="A280" s="1">
        <f>HYPERLINK("http://www.twitter.com/NathanBLawrence/status/997496693095653376", "997496693095653376")</f>
        <v/>
      </c>
      <c r="B280" s="2" t="n">
        <v>43238.63793981481</v>
      </c>
      <c r="C280" t="n">
        <v>0</v>
      </c>
      <c r="D280" t="n">
        <v>11</v>
      </c>
      <c r="E280" t="s">
        <v>291</v>
      </c>
      <c r="F280">
        <f>HYPERLINK("http://pbs.twimg.com/media/DdfQBiDV4AE0lB9.jpg", "http://pbs.twimg.com/media/DdfQBiDV4AE0lB9.jpg")</f>
        <v/>
      </c>
      <c r="G280" t="s"/>
      <c r="H280" t="s"/>
      <c r="I280" t="s"/>
      <c r="J280" t="n">
        <v>0</v>
      </c>
      <c r="K280" t="n">
        <v>0</v>
      </c>
      <c r="L280" t="n">
        <v>1</v>
      </c>
      <c r="M280" t="n">
        <v>0</v>
      </c>
    </row>
    <row r="281" spans="1:13">
      <c r="A281" s="1">
        <f>HYPERLINK("http://www.twitter.com/NathanBLawrence/status/997496681875853313", "997496681875853313")</f>
        <v/>
      </c>
      <c r="B281" s="2" t="n">
        <v>43238.63791666667</v>
      </c>
      <c r="C281" t="n">
        <v>0</v>
      </c>
      <c r="D281" t="n">
        <v>8</v>
      </c>
      <c r="E281" t="s">
        <v>292</v>
      </c>
      <c r="F281" t="s"/>
      <c r="G281" t="s"/>
      <c r="H281" t="s"/>
      <c r="I281" t="s"/>
      <c r="J281" t="n">
        <v>0</v>
      </c>
      <c r="K281" t="n">
        <v>0</v>
      </c>
      <c r="L281" t="n">
        <v>1</v>
      </c>
      <c r="M281" t="n">
        <v>0</v>
      </c>
    </row>
    <row r="282" spans="1:13">
      <c r="A282" s="1">
        <f>HYPERLINK("http://www.twitter.com/NathanBLawrence/status/997496673000722432", "997496673000722432")</f>
        <v/>
      </c>
      <c r="B282" s="2" t="n">
        <v>43238.63789351852</v>
      </c>
      <c r="C282" t="n">
        <v>0</v>
      </c>
      <c r="D282" t="n">
        <v>28</v>
      </c>
      <c r="E282" t="s">
        <v>293</v>
      </c>
      <c r="F282" t="s"/>
      <c r="G282" t="s"/>
      <c r="H282" t="s"/>
      <c r="I282" t="s"/>
      <c r="J282" t="n">
        <v>0.4648</v>
      </c>
      <c r="K282" t="n">
        <v>0</v>
      </c>
      <c r="L282" t="n">
        <v>0.868</v>
      </c>
      <c r="M282" t="n">
        <v>0.132</v>
      </c>
    </row>
    <row r="283" spans="1:13">
      <c r="A283" s="1">
        <f>HYPERLINK("http://www.twitter.com/NathanBLawrence/status/997496540653637633", "997496540653637633")</f>
        <v/>
      </c>
      <c r="B283" s="2" t="n">
        <v>43238.63752314815</v>
      </c>
      <c r="C283" t="n">
        <v>0</v>
      </c>
      <c r="D283" t="n">
        <v>1</v>
      </c>
      <c r="E283" t="s">
        <v>294</v>
      </c>
      <c r="F283" t="s"/>
      <c r="G283" t="s"/>
      <c r="H283" t="s"/>
      <c r="I283" t="s"/>
      <c r="J283" t="n">
        <v>0.4939</v>
      </c>
      <c r="K283" t="n">
        <v>0</v>
      </c>
      <c r="L283" t="n">
        <v>0.873</v>
      </c>
      <c r="M283" t="n">
        <v>0.127</v>
      </c>
    </row>
    <row r="284" spans="1:13">
      <c r="A284" s="1">
        <f>HYPERLINK("http://www.twitter.com/NathanBLawrence/status/997496513583636480", "997496513583636480")</f>
        <v/>
      </c>
      <c r="B284" s="2" t="n">
        <v>43238.6374537037</v>
      </c>
      <c r="C284" t="n">
        <v>3</v>
      </c>
      <c r="D284" t="n">
        <v>1</v>
      </c>
      <c r="E284" t="s">
        <v>295</v>
      </c>
      <c r="F284" t="s"/>
      <c r="G284" t="s"/>
      <c r="H284" t="s"/>
      <c r="I284" t="s"/>
      <c r="J284" t="n">
        <v>-0.3612</v>
      </c>
      <c r="K284" t="n">
        <v>0.124</v>
      </c>
      <c r="L284" t="n">
        <v>0.792</v>
      </c>
      <c r="M284" t="n">
        <v>0.08400000000000001</v>
      </c>
    </row>
    <row r="285" spans="1:13">
      <c r="A285" s="1">
        <f>HYPERLINK("http://www.twitter.com/NathanBLawrence/status/997495675771326464", "997495675771326464")</f>
        <v/>
      </c>
      <c r="B285" s="2" t="n">
        <v>43238.63513888889</v>
      </c>
      <c r="C285" t="n">
        <v>0</v>
      </c>
      <c r="D285" t="n">
        <v>2</v>
      </c>
      <c r="E285" t="s">
        <v>296</v>
      </c>
      <c r="F285" t="s"/>
      <c r="G285" t="s"/>
      <c r="H285" t="s"/>
      <c r="I285" t="s"/>
      <c r="J285" t="n">
        <v>-0.4019</v>
      </c>
      <c r="K285" t="n">
        <v>0.172</v>
      </c>
      <c r="L285" t="n">
        <v>0.828</v>
      </c>
      <c r="M285" t="n">
        <v>0</v>
      </c>
    </row>
    <row r="286" spans="1:13">
      <c r="A286" s="1">
        <f>HYPERLINK("http://www.twitter.com/NathanBLawrence/status/997483462968954880", "997483462968954880")</f>
        <v/>
      </c>
      <c r="B286" s="2" t="n">
        <v>43238.60143518518</v>
      </c>
      <c r="C286" t="n">
        <v>1</v>
      </c>
      <c r="D286" t="n">
        <v>2</v>
      </c>
      <c r="E286" t="s">
        <v>297</v>
      </c>
      <c r="F286" t="s"/>
      <c r="G286" t="s"/>
      <c r="H286" t="s"/>
      <c r="I286" t="s"/>
      <c r="J286" t="n">
        <v>0</v>
      </c>
      <c r="K286" t="n">
        <v>0</v>
      </c>
      <c r="L286" t="n">
        <v>1</v>
      </c>
      <c r="M286" t="n">
        <v>0</v>
      </c>
    </row>
    <row r="287" spans="1:13">
      <c r="A287" s="1">
        <f>HYPERLINK("http://www.twitter.com/NathanBLawrence/status/997482116668710913", "997482116668710913")</f>
        <v/>
      </c>
      <c r="B287" s="2" t="n">
        <v>43238.5977199074</v>
      </c>
      <c r="C287" t="n">
        <v>1</v>
      </c>
      <c r="D287" t="n">
        <v>0</v>
      </c>
      <c r="E287" t="s">
        <v>298</v>
      </c>
      <c r="F287" t="s"/>
      <c r="G287" t="s"/>
      <c r="H287" t="s"/>
      <c r="I287" t="s"/>
      <c r="J287" t="n">
        <v>0</v>
      </c>
      <c r="K287" t="n">
        <v>0</v>
      </c>
      <c r="L287" t="n">
        <v>1</v>
      </c>
      <c r="M287" t="n">
        <v>0</v>
      </c>
    </row>
    <row r="288" spans="1:13">
      <c r="A288" s="1">
        <f>HYPERLINK("http://www.twitter.com/NathanBLawrence/status/997481053454503942", "997481053454503942")</f>
        <v/>
      </c>
      <c r="B288" s="2" t="n">
        <v>43238.59479166667</v>
      </c>
      <c r="C288" t="n">
        <v>2</v>
      </c>
      <c r="D288" t="n">
        <v>2</v>
      </c>
      <c r="E288" t="s">
        <v>299</v>
      </c>
      <c r="F288" t="s"/>
      <c r="G288" t="s"/>
      <c r="H288" t="s"/>
      <c r="I288" t="s"/>
      <c r="J288" t="n">
        <v>0</v>
      </c>
      <c r="K288" t="n">
        <v>0</v>
      </c>
      <c r="L288" t="n">
        <v>1</v>
      </c>
      <c r="M288" t="n">
        <v>0</v>
      </c>
    </row>
    <row r="289" spans="1:13">
      <c r="A289" s="1">
        <f>HYPERLINK("http://www.twitter.com/NathanBLawrence/status/997478409692418048", "997478409692418048")</f>
        <v/>
      </c>
      <c r="B289" s="2" t="n">
        <v>43238.58748842592</v>
      </c>
      <c r="C289" t="n">
        <v>0</v>
      </c>
      <c r="D289" t="n">
        <v>1</v>
      </c>
      <c r="E289" t="s">
        <v>300</v>
      </c>
      <c r="F289" t="s"/>
      <c r="G289" t="s"/>
      <c r="H289" t="s"/>
      <c r="I289" t="s"/>
      <c r="J289" t="n">
        <v>-0.0258</v>
      </c>
      <c r="K289" t="n">
        <v>0.104</v>
      </c>
      <c r="L289" t="n">
        <v>0.797</v>
      </c>
      <c r="M289" t="n">
        <v>0.1</v>
      </c>
    </row>
    <row r="290" spans="1:13">
      <c r="A290" s="1">
        <f>HYPERLINK("http://www.twitter.com/NathanBLawrence/status/997478377299771392", "997478377299771392")</f>
        <v/>
      </c>
      <c r="B290" s="2" t="n">
        <v>43238.58740740741</v>
      </c>
      <c r="C290" t="n">
        <v>0</v>
      </c>
      <c r="D290" t="n">
        <v>2</v>
      </c>
      <c r="E290" t="s">
        <v>301</v>
      </c>
      <c r="F290">
        <f>HYPERLINK("http://pbs.twimg.com/media/DdfAaehUQAAmir5.jpg", "http://pbs.twimg.com/media/DdfAaehUQAAmir5.jpg")</f>
        <v/>
      </c>
      <c r="G290" t="s"/>
      <c r="H290" t="s"/>
      <c r="I290" t="s"/>
      <c r="J290" t="n">
        <v>0.7825</v>
      </c>
      <c r="K290" t="n">
        <v>0</v>
      </c>
      <c r="L290" t="n">
        <v>0.5669999999999999</v>
      </c>
      <c r="M290" t="n">
        <v>0.433</v>
      </c>
    </row>
    <row r="291" spans="1:13">
      <c r="A291" s="1">
        <f>HYPERLINK("http://www.twitter.com/NathanBLawrence/status/997478335465820166", "997478335465820166")</f>
        <v/>
      </c>
      <c r="B291" s="2" t="n">
        <v>43238.58729166666</v>
      </c>
      <c r="C291" t="n">
        <v>0</v>
      </c>
      <c r="D291" t="n">
        <v>308</v>
      </c>
      <c r="E291" t="s">
        <v>302</v>
      </c>
      <c r="F291" t="s"/>
      <c r="G291" t="s"/>
      <c r="H291" t="s"/>
      <c r="I291" t="s"/>
      <c r="J291" t="n">
        <v>-0.5106000000000001</v>
      </c>
      <c r="K291" t="n">
        <v>0.166</v>
      </c>
      <c r="L291" t="n">
        <v>0.792</v>
      </c>
      <c r="M291" t="n">
        <v>0.042</v>
      </c>
    </row>
    <row r="292" spans="1:13">
      <c r="A292" s="1">
        <f>HYPERLINK("http://www.twitter.com/NathanBLawrence/status/997477395367170050", "997477395367170050")</f>
        <v/>
      </c>
      <c r="B292" s="2" t="n">
        <v>43238.5846875</v>
      </c>
      <c r="C292" t="n">
        <v>0</v>
      </c>
      <c r="D292" t="n">
        <v>11</v>
      </c>
      <c r="E292" t="s">
        <v>303</v>
      </c>
      <c r="F292">
        <f>HYPERLINK("http://pbs.twimg.com/media/DdedQy9VwAErHs3.jpg", "http://pbs.twimg.com/media/DdedQy9VwAErHs3.jpg")</f>
        <v/>
      </c>
      <c r="G292" t="s"/>
      <c r="H292" t="s"/>
      <c r="I292" t="s"/>
      <c r="J292" t="n">
        <v>-0.1027</v>
      </c>
      <c r="K292" t="n">
        <v>0.123</v>
      </c>
      <c r="L292" t="n">
        <v>0.773</v>
      </c>
      <c r="M292" t="n">
        <v>0.105</v>
      </c>
    </row>
    <row r="293" spans="1:13">
      <c r="A293" s="1">
        <f>HYPERLINK("http://www.twitter.com/NathanBLawrence/status/997477376270401537", "997477376270401537")</f>
        <v/>
      </c>
      <c r="B293" s="2" t="n">
        <v>43238.58464120371</v>
      </c>
      <c r="C293" t="n">
        <v>0</v>
      </c>
      <c r="D293" t="n">
        <v>17</v>
      </c>
      <c r="E293" t="s">
        <v>304</v>
      </c>
      <c r="F293">
        <f>HYPERLINK("http://pbs.twimg.com/media/DdeLq1iVAAIBO0Z.jpg", "http://pbs.twimg.com/media/DdeLq1iVAAIBO0Z.jpg")</f>
        <v/>
      </c>
      <c r="G293" t="s"/>
      <c r="H293" t="s"/>
      <c r="I293" t="s"/>
      <c r="J293" t="n">
        <v>0.6408</v>
      </c>
      <c r="K293" t="n">
        <v>0</v>
      </c>
      <c r="L293" t="n">
        <v>0.832</v>
      </c>
      <c r="M293" t="n">
        <v>0.168</v>
      </c>
    </row>
    <row r="294" spans="1:13">
      <c r="A294" s="1">
        <f>HYPERLINK("http://www.twitter.com/NathanBLawrence/status/997477359539425280", "997477359539425280")</f>
        <v/>
      </c>
      <c r="B294" s="2" t="n">
        <v>43238.58459490741</v>
      </c>
      <c r="C294" t="n">
        <v>0</v>
      </c>
      <c r="D294" t="n">
        <v>14</v>
      </c>
      <c r="E294" t="s">
        <v>305</v>
      </c>
      <c r="F294" t="s"/>
      <c r="G294" t="s"/>
      <c r="H294" t="s"/>
      <c r="I294" t="s"/>
      <c r="J294" t="n">
        <v>0</v>
      </c>
      <c r="K294" t="n">
        <v>0</v>
      </c>
      <c r="L294" t="n">
        <v>1</v>
      </c>
      <c r="M294" t="n">
        <v>0</v>
      </c>
    </row>
    <row r="295" spans="1:13">
      <c r="A295" s="1">
        <f>HYPERLINK("http://www.twitter.com/NathanBLawrence/status/997477340912463873", "997477340912463873")</f>
        <v/>
      </c>
      <c r="B295" s="2" t="n">
        <v>43238.58453703704</v>
      </c>
      <c r="C295" t="n">
        <v>0</v>
      </c>
      <c r="D295" t="n">
        <v>8</v>
      </c>
      <c r="E295" t="s">
        <v>306</v>
      </c>
      <c r="F295">
        <f>HYPERLINK("http://pbs.twimg.com/media/DdemuhXU0AA1ohu.jpg", "http://pbs.twimg.com/media/DdemuhXU0AA1ohu.jpg")</f>
        <v/>
      </c>
      <c r="G295" t="s"/>
      <c r="H295" t="s"/>
      <c r="I295" t="s"/>
      <c r="J295" t="n">
        <v>0.6739000000000001</v>
      </c>
      <c r="K295" t="n">
        <v>0</v>
      </c>
      <c r="L295" t="n">
        <v>0.755</v>
      </c>
      <c r="M295" t="n">
        <v>0.245</v>
      </c>
    </row>
    <row r="296" spans="1:13">
      <c r="A296" s="1">
        <f>HYPERLINK("http://www.twitter.com/NathanBLawrence/status/997477330544193536", "997477330544193536")</f>
        <v/>
      </c>
      <c r="B296" s="2" t="n">
        <v>43238.58451388889</v>
      </c>
      <c r="C296" t="n">
        <v>0</v>
      </c>
      <c r="D296" t="n">
        <v>6</v>
      </c>
      <c r="E296" t="s">
        <v>307</v>
      </c>
      <c r="F296" t="s"/>
      <c r="G296" t="s"/>
      <c r="H296" t="s"/>
      <c r="I296" t="s"/>
      <c r="J296" t="n">
        <v>0.4559</v>
      </c>
      <c r="K296" t="n">
        <v>0</v>
      </c>
      <c r="L296" t="n">
        <v>0.701</v>
      </c>
      <c r="M296" t="n">
        <v>0.299</v>
      </c>
    </row>
    <row r="297" spans="1:13">
      <c r="A297" s="1">
        <f>HYPERLINK("http://www.twitter.com/NathanBLawrence/status/997477321329213440", "997477321329213440")</f>
        <v/>
      </c>
      <c r="B297" s="2" t="n">
        <v>43238.58449074074</v>
      </c>
      <c r="C297" t="n">
        <v>0</v>
      </c>
      <c r="D297" t="n">
        <v>5</v>
      </c>
      <c r="E297" t="s">
        <v>308</v>
      </c>
      <c r="F297" t="s"/>
      <c r="G297" t="s"/>
      <c r="H297" t="s"/>
      <c r="I297" t="s"/>
      <c r="J297" t="n">
        <v>0.8639</v>
      </c>
      <c r="K297" t="n">
        <v>0</v>
      </c>
      <c r="L297" t="n">
        <v>0.448</v>
      </c>
      <c r="M297" t="n">
        <v>0.552</v>
      </c>
    </row>
    <row r="298" spans="1:13">
      <c r="A298" s="1">
        <f>HYPERLINK("http://www.twitter.com/NathanBLawrence/status/997477307060314112", "997477307060314112")</f>
        <v/>
      </c>
      <c r="B298" s="2" t="n">
        <v>43238.58444444444</v>
      </c>
      <c r="C298" t="n">
        <v>0</v>
      </c>
      <c r="D298" t="n">
        <v>16</v>
      </c>
      <c r="E298" t="s">
        <v>309</v>
      </c>
      <c r="F298" t="s"/>
      <c r="G298" t="s"/>
      <c r="H298" t="s"/>
      <c r="I298" t="s"/>
      <c r="J298" t="n">
        <v>0</v>
      </c>
      <c r="K298" t="n">
        <v>0</v>
      </c>
      <c r="L298" t="n">
        <v>1</v>
      </c>
      <c r="M298" t="n">
        <v>0</v>
      </c>
    </row>
    <row r="299" spans="1:13">
      <c r="A299" s="1">
        <f>HYPERLINK("http://www.twitter.com/NathanBLawrence/status/997477299028144128", "997477299028144128")</f>
        <v/>
      </c>
      <c r="B299" s="2" t="n">
        <v>43238.5844212963</v>
      </c>
      <c r="C299" t="n">
        <v>0</v>
      </c>
      <c r="D299" t="n">
        <v>15</v>
      </c>
      <c r="E299" t="s">
        <v>310</v>
      </c>
      <c r="F299" t="s"/>
      <c r="G299" t="s"/>
      <c r="H299" t="s"/>
      <c r="I299" t="s"/>
      <c r="J299" t="n">
        <v>0</v>
      </c>
      <c r="K299" t="n">
        <v>0</v>
      </c>
      <c r="L299" t="n">
        <v>1</v>
      </c>
      <c r="M299" t="n">
        <v>0</v>
      </c>
    </row>
    <row r="300" spans="1:13">
      <c r="A300" s="1">
        <f>HYPERLINK("http://www.twitter.com/NathanBLawrence/status/997477290203340800", "997477290203340800")</f>
        <v/>
      </c>
      <c r="B300" s="2" t="n">
        <v>43238.58439814814</v>
      </c>
      <c r="C300" t="n">
        <v>0</v>
      </c>
      <c r="D300" t="n">
        <v>15</v>
      </c>
      <c r="E300" t="s">
        <v>311</v>
      </c>
      <c r="F300" t="s"/>
      <c r="G300" t="s"/>
      <c r="H300" t="s"/>
      <c r="I300" t="s"/>
      <c r="J300" t="n">
        <v>0</v>
      </c>
      <c r="K300" t="n">
        <v>0</v>
      </c>
      <c r="L300" t="n">
        <v>1</v>
      </c>
      <c r="M300" t="n">
        <v>0</v>
      </c>
    </row>
    <row r="301" spans="1:13">
      <c r="A301" s="1">
        <f>HYPERLINK("http://www.twitter.com/NathanBLawrence/status/997477281546240000", "997477281546240000")</f>
        <v/>
      </c>
      <c r="B301" s="2" t="n">
        <v>43238.584375</v>
      </c>
      <c r="C301" t="n">
        <v>0</v>
      </c>
      <c r="D301" t="n">
        <v>18</v>
      </c>
      <c r="E301" t="s">
        <v>312</v>
      </c>
      <c r="F301" t="s"/>
      <c r="G301" t="s"/>
      <c r="H301" t="s"/>
      <c r="I301" t="s"/>
      <c r="J301" t="n">
        <v>0</v>
      </c>
      <c r="K301" t="n">
        <v>0</v>
      </c>
      <c r="L301" t="n">
        <v>1</v>
      </c>
      <c r="M301" t="n">
        <v>0</v>
      </c>
    </row>
    <row r="302" spans="1:13">
      <c r="A302" s="1">
        <f>HYPERLINK("http://www.twitter.com/NathanBLawrence/status/997477271177977856", "997477271177977856")</f>
        <v/>
      </c>
      <c r="B302" s="2" t="n">
        <v>43238.58435185185</v>
      </c>
      <c r="C302" t="n">
        <v>0</v>
      </c>
      <c r="D302" t="n">
        <v>17</v>
      </c>
      <c r="E302" t="s">
        <v>313</v>
      </c>
      <c r="F302">
        <f>HYPERLINK("http://pbs.twimg.com/media/DdeMprlVMAEFhbW.jpg", "http://pbs.twimg.com/media/DdeMprlVMAEFhbW.jpg")</f>
        <v/>
      </c>
      <c r="G302" t="s"/>
      <c r="H302" t="s"/>
      <c r="I302" t="s"/>
      <c r="J302" t="n">
        <v>0.4084</v>
      </c>
      <c r="K302" t="n">
        <v>0</v>
      </c>
      <c r="L302" t="n">
        <v>0.874</v>
      </c>
      <c r="M302" t="n">
        <v>0.126</v>
      </c>
    </row>
    <row r="303" spans="1:13">
      <c r="A303" s="1">
        <f>HYPERLINK("http://www.twitter.com/NathanBLawrence/status/997477260277018625", "997477260277018625")</f>
        <v/>
      </c>
      <c r="B303" s="2" t="n">
        <v>43238.58431712963</v>
      </c>
      <c r="C303" t="n">
        <v>0</v>
      </c>
      <c r="D303" t="n">
        <v>18</v>
      </c>
      <c r="E303" t="s">
        <v>314</v>
      </c>
      <c r="F303" t="s"/>
      <c r="G303" t="s"/>
      <c r="H303" t="s"/>
      <c r="I303" t="s"/>
      <c r="J303" t="n">
        <v>0</v>
      </c>
      <c r="K303" t="n">
        <v>0</v>
      </c>
      <c r="L303" t="n">
        <v>1</v>
      </c>
      <c r="M303" t="n">
        <v>0</v>
      </c>
    </row>
    <row r="304" spans="1:13">
      <c r="A304" s="1">
        <f>HYPERLINK("http://www.twitter.com/NathanBLawrence/status/997477250021969920", "997477250021969920")</f>
        <v/>
      </c>
      <c r="B304" s="2" t="n">
        <v>43238.58429398148</v>
      </c>
      <c r="C304" t="n">
        <v>0</v>
      </c>
      <c r="D304" t="n">
        <v>19</v>
      </c>
      <c r="E304" t="s">
        <v>315</v>
      </c>
      <c r="F304">
        <f>HYPERLINK("http://pbs.twimg.com/media/DdeFMn6VMAAcb-r.jpg", "http://pbs.twimg.com/media/DdeFMn6VMAAcb-r.jpg")</f>
        <v/>
      </c>
      <c r="G304" t="s"/>
      <c r="H304" t="s"/>
      <c r="I304" t="s"/>
      <c r="J304" t="n">
        <v>0.7885</v>
      </c>
      <c r="K304" t="n">
        <v>0</v>
      </c>
      <c r="L304" t="n">
        <v>0.742</v>
      </c>
      <c r="M304" t="n">
        <v>0.258</v>
      </c>
    </row>
    <row r="305" spans="1:13">
      <c r="A305" s="1">
        <f>HYPERLINK("http://www.twitter.com/NathanBLawrence/status/997477237434781696", "997477237434781696")</f>
        <v/>
      </c>
      <c r="B305" s="2" t="n">
        <v>43238.58425925926</v>
      </c>
      <c r="C305" t="n">
        <v>0</v>
      </c>
      <c r="D305" t="n">
        <v>25</v>
      </c>
      <c r="E305" t="s">
        <v>316</v>
      </c>
      <c r="F305">
        <f>HYPERLINK("http://pbs.twimg.com/media/DdeC-vpVwAIlRts.jpg", "http://pbs.twimg.com/media/DdeC-vpVwAIlRts.jpg")</f>
        <v/>
      </c>
      <c r="G305" t="s"/>
      <c r="H305" t="s"/>
      <c r="I305" t="s"/>
      <c r="J305" t="n">
        <v>0</v>
      </c>
      <c r="K305" t="n">
        <v>0</v>
      </c>
      <c r="L305" t="n">
        <v>1</v>
      </c>
      <c r="M305" t="n">
        <v>0</v>
      </c>
    </row>
    <row r="306" spans="1:13">
      <c r="A306" s="1">
        <f>HYPERLINK("http://www.twitter.com/NathanBLawrence/status/997477048800116736", "997477048800116736")</f>
        <v/>
      </c>
      <c r="B306" s="2" t="n">
        <v>43238.58373842593</v>
      </c>
      <c r="C306" t="n">
        <v>0</v>
      </c>
      <c r="D306" t="n">
        <v>7</v>
      </c>
      <c r="E306" t="s">
        <v>317</v>
      </c>
      <c r="F306" t="s"/>
      <c r="G306" t="s"/>
      <c r="H306" t="s"/>
      <c r="I306" t="s"/>
      <c r="J306" t="n">
        <v>0</v>
      </c>
      <c r="K306" t="n">
        <v>0</v>
      </c>
      <c r="L306" t="n">
        <v>1</v>
      </c>
      <c r="M306" t="n">
        <v>0</v>
      </c>
    </row>
    <row r="307" spans="1:13">
      <c r="A307" s="1">
        <f>HYPERLINK("http://www.twitter.com/NathanBLawrence/status/997476933972709377", "997476933972709377")</f>
        <v/>
      </c>
      <c r="B307" s="2" t="n">
        <v>43238.58341435185</v>
      </c>
      <c r="C307" t="n">
        <v>7</v>
      </c>
      <c r="D307" t="n">
        <v>7</v>
      </c>
      <c r="E307" t="s">
        <v>318</v>
      </c>
      <c r="F307" t="s"/>
      <c r="G307" t="s"/>
      <c r="H307" t="s"/>
      <c r="I307" t="s"/>
      <c r="J307" t="n">
        <v>-0.5574</v>
      </c>
      <c r="K307" t="n">
        <v>0.17</v>
      </c>
      <c r="L307" t="n">
        <v>0.731</v>
      </c>
      <c r="M307" t="n">
        <v>0.099</v>
      </c>
    </row>
    <row r="308" spans="1:13">
      <c r="A308" s="1">
        <f>HYPERLINK("http://www.twitter.com/NathanBLawrence/status/997474392291635200", "997474392291635200")</f>
        <v/>
      </c>
      <c r="B308" s="2" t="n">
        <v>43238.57640046296</v>
      </c>
      <c r="C308" t="n">
        <v>0</v>
      </c>
      <c r="D308" t="n">
        <v>1</v>
      </c>
      <c r="E308" t="s">
        <v>319</v>
      </c>
      <c r="F308" t="s"/>
      <c r="G308" t="s"/>
      <c r="H308" t="s"/>
      <c r="I308" t="s"/>
      <c r="J308" t="n">
        <v>0</v>
      </c>
      <c r="K308" t="n">
        <v>0</v>
      </c>
      <c r="L308" t="n">
        <v>1</v>
      </c>
      <c r="M308" t="n">
        <v>0</v>
      </c>
    </row>
    <row r="309" spans="1:13">
      <c r="A309" s="1">
        <f>HYPERLINK("http://www.twitter.com/NathanBLawrence/status/997448292391968769", "997448292391968769")</f>
        <v/>
      </c>
      <c r="B309" s="2" t="n">
        <v>43238.50438657407</v>
      </c>
      <c r="C309" t="n">
        <v>0</v>
      </c>
      <c r="D309" t="n">
        <v>127</v>
      </c>
      <c r="E309" t="s">
        <v>320</v>
      </c>
      <c r="F309" t="s"/>
      <c r="G309" t="s"/>
      <c r="H309" t="s"/>
      <c r="I309" t="s"/>
      <c r="J309" t="n">
        <v>0.2577</v>
      </c>
      <c r="K309" t="n">
        <v>0</v>
      </c>
      <c r="L309" t="n">
        <v>0.915</v>
      </c>
      <c r="M309" t="n">
        <v>0.08500000000000001</v>
      </c>
    </row>
    <row r="310" spans="1:13">
      <c r="A310" s="1">
        <f>HYPERLINK("http://www.twitter.com/NathanBLawrence/status/997425120980488192", "997425120980488192")</f>
        <v/>
      </c>
      <c r="B310" s="2" t="n">
        <v>43238.44043981482</v>
      </c>
      <c r="C310" t="n">
        <v>0</v>
      </c>
      <c r="D310" t="n">
        <v>15624</v>
      </c>
      <c r="E310" t="s">
        <v>321</v>
      </c>
      <c r="F310" t="s"/>
      <c r="G310" t="s"/>
      <c r="H310" t="s"/>
      <c r="I310" t="s"/>
      <c r="J310" t="n">
        <v>0.5423</v>
      </c>
      <c r="K310" t="n">
        <v>0</v>
      </c>
      <c r="L310" t="n">
        <v>0.8090000000000001</v>
      </c>
      <c r="M310" t="n">
        <v>0.191</v>
      </c>
    </row>
    <row r="311" spans="1:13">
      <c r="A311" s="1">
        <f>HYPERLINK("http://www.twitter.com/NathanBLawrence/status/997424956261715969", "997424956261715969")</f>
        <v/>
      </c>
      <c r="B311" s="2" t="n">
        <v>43238.43998842593</v>
      </c>
      <c r="C311" t="n">
        <v>0</v>
      </c>
      <c r="D311" t="n">
        <v>217</v>
      </c>
      <c r="E311" t="s">
        <v>322</v>
      </c>
      <c r="F311">
        <f>HYPERLINK("http://pbs.twimg.com/media/DdeOMT0XkAE01Sl.jpg", "http://pbs.twimg.com/media/DdeOMT0XkAE01Sl.jpg")</f>
        <v/>
      </c>
      <c r="G311" t="s"/>
      <c r="H311" t="s"/>
      <c r="I311" t="s"/>
      <c r="J311" t="n">
        <v>-0.5461</v>
      </c>
      <c r="K311" t="n">
        <v>0.156</v>
      </c>
      <c r="L311" t="n">
        <v>0.844</v>
      </c>
      <c r="M311" t="n">
        <v>0</v>
      </c>
    </row>
    <row r="312" spans="1:13">
      <c r="A312" s="1">
        <f>HYPERLINK("http://www.twitter.com/NathanBLawrence/status/997423886995206144", "997423886995206144")</f>
        <v/>
      </c>
      <c r="B312" s="2" t="n">
        <v>43238.43703703704</v>
      </c>
      <c r="C312" t="n">
        <v>0</v>
      </c>
      <c r="D312" t="n">
        <v>1751</v>
      </c>
      <c r="E312" t="s">
        <v>323</v>
      </c>
      <c r="F312">
        <f>HYPERLINK("https://video.twimg.com/ext_tw_video/997207836307243008/pu/vid/1280x720/MejzxZxO9MbxoBz7.mp4?tag=3", "https://video.twimg.com/ext_tw_video/997207836307243008/pu/vid/1280x720/MejzxZxO9MbxoBz7.mp4?tag=3")</f>
        <v/>
      </c>
      <c r="G312" t="s"/>
      <c r="H312" t="s"/>
      <c r="I312" t="s"/>
      <c r="J312" t="n">
        <v>0.6249</v>
      </c>
      <c r="K312" t="n">
        <v>0</v>
      </c>
      <c r="L312" t="n">
        <v>0.83</v>
      </c>
      <c r="M312" t="n">
        <v>0.17</v>
      </c>
    </row>
    <row r="313" spans="1:13">
      <c r="A313" s="1">
        <f>HYPERLINK("http://www.twitter.com/NathanBLawrence/status/997423685391802369", "997423685391802369")</f>
        <v/>
      </c>
      <c r="B313" s="2" t="n">
        <v>43238.43648148148</v>
      </c>
      <c r="C313" t="n">
        <v>0</v>
      </c>
      <c r="D313" t="n">
        <v>10</v>
      </c>
      <c r="E313" t="s">
        <v>324</v>
      </c>
      <c r="F313" t="s"/>
      <c r="G313" t="s"/>
      <c r="H313" t="s"/>
      <c r="I313" t="s"/>
      <c r="J313" t="n">
        <v>0</v>
      </c>
      <c r="K313" t="n">
        <v>0</v>
      </c>
      <c r="L313" t="n">
        <v>1</v>
      </c>
      <c r="M313" t="n">
        <v>0</v>
      </c>
    </row>
    <row r="314" spans="1:13">
      <c r="A314" s="1">
        <f>HYPERLINK("http://www.twitter.com/NathanBLawrence/status/997421998543441926", "997421998543441926")</f>
        <v/>
      </c>
      <c r="B314" s="2" t="n">
        <v>43238.4318287037</v>
      </c>
      <c r="C314" t="n">
        <v>14</v>
      </c>
      <c r="D314" t="n">
        <v>10</v>
      </c>
      <c r="E314" t="s">
        <v>325</v>
      </c>
      <c r="F314" t="s"/>
      <c r="G314" t="s"/>
      <c r="H314" t="s"/>
      <c r="I314" t="s"/>
      <c r="J314" t="n">
        <v>0</v>
      </c>
      <c r="K314" t="n">
        <v>0</v>
      </c>
      <c r="L314" t="n">
        <v>1</v>
      </c>
      <c r="M314" t="n">
        <v>0</v>
      </c>
    </row>
    <row r="315" spans="1:13">
      <c r="A315" s="1">
        <f>HYPERLINK("http://www.twitter.com/NathanBLawrence/status/997420783453470720", "997420783453470720")</f>
        <v/>
      </c>
      <c r="B315" s="2" t="n">
        <v>43238.42847222222</v>
      </c>
      <c r="C315" t="n">
        <v>0</v>
      </c>
      <c r="D315" t="n">
        <v>3</v>
      </c>
      <c r="E315" t="s">
        <v>326</v>
      </c>
      <c r="F315" t="s"/>
      <c r="G315" t="s"/>
      <c r="H315" t="s"/>
      <c r="I315" t="s"/>
      <c r="J315" t="n">
        <v>0</v>
      </c>
      <c r="K315" t="n">
        <v>0</v>
      </c>
      <c r="L315" t="n">
        <v>1</v>
      </c>
      <c r="M315" t="n">
        <v>0</v>
      </c>
    </row>
    <row r="316" spans="1:13">
      <c r="A316" s="1">
        <f>HYPERLINK("http://www.twitter.com/NathanBLawrence/status/997420654680002560", "997420654680002560")</f>
        <v/>
      </c>
      <c r="B316" s="2" t="n">
        <v>43238.42811342593</v>
      </c>
      <c r="C316" t="n">
        <v>4</v>
      </c>
      <c r="D316" t="n">
        <v>3</v>
      </c>
      <c r="E316" t="s">
        <v>327</v>
      </c>
      <c r="F316" t="s"/>
      <c r="G316" t="s"/>
      <c r="H316" t="s"/>
      <c r="I316" t="s"/>
      <c r="J316" t="n">
        <v>0.743</v>
      </c>
      <c r="K316" t="n">
        <v>0</v>
      </c>
      <c r="L316" t="n">
        <v>0.826</v>
      </c>
      <c r="M316" t="n">
        <v>0.174</v>
      </c>
    </row>
    <row r="317" spans="1:13">
      <c r="A317" s="1">
        <f>HYPERLINK("http://www.twitter.com/NathanBLawrence/status/997416572821045250", "997416572821045250")</f>
        <v/>
      </c>
      <c r="B317" s="2" t="n">
        <v>43238.41685185185</v>
      </c>
      <c r="C317" t="n">
        <v>0</v>
      </c>
      <c r="D317" t="n">
        <v>11</v>
      </c>
      <c r="E317" t="s">
        <v>328</v>
      </c>
      <c r="F317" t="s"/>
      <c r="G317" t="s"/>
      <c r="H317" t="s"/>
      <c r="I317" t="s"/>
      <c r="J317" t="n">
        <v>0.6841</v>
      </c>
      <c r="K317" t="n">
        <v>0</v>
      </c>
      <c r="L317" t="n">
        <v>0.764</v>
      </c>
      <c r="M317" t="n">
        <v>0.236</v>
      </c>
    </row>
    <row r="318" spans="1:13">
      <c r="A318" s="1">
        <f>HYPERLINK("http://www.twitter.com/NathanBLawrence/status/997415987195662341", "997415987195662341")</f>
        <v/>
      </c>
      <c r="B318" s="2" t="n">
        <v>43238.41524305556</v>
      </c>
      <c r="C318" t="n">
        <v>0</v>
      </c>
      <c r="D318" t="n">
        <v>5</v>
      </c>
      <c r="E318" t="s">
        <v>329</v>
      </c>
      <c r="F318">
        <f>HYPERLINK("http://pbs.twimg.com/media/Ddb9hNyXcAADrI0.jpg", "http://pbs.twimg.com/media/Ddb9hNyXcAADrI0.jpg")</f>
        <v/>
      </c>
      <c r="G318" t="s"/>
      <c r="H318" t="s"/>
      <c r="I318" t="s"/>
      <c r="J318" t="n">
        <v>0</v>
      </c>
      <c r="K318" t="n">
        <v>0</v>
      </c>
      <c r="L318" t="n">
        <v>1</v>
      </c>
      <c r="M318" t="n">
        <v>0</v>
      </c>
    </row>
    <row r="319" spans="1:13">
      <c r="A319" s="1">
        <f>HYPERLINK("http://www.twitter.com/NathanBLawrence/status/997415753409335296", "997415753409335296")</f>
        <v/>
      </c>
      <c r="B319" s="2" t="n">
        <v>43238.41459490741</v>
      </c>
      <c r="C319" t="n">
        <v>0</v>
      </c>
      <c r="D319" t="n">
        <v>6</v>
      </c>
      <c r="E319" t="s">
        <v>330</v>
      </c>
      <c r="F319" t="s"/>
      <c r="G319" t="s"/>
      <c r="H319" t="s"/>
      <c r="I319" t="s"/>
      <c r="J319" t="n">
        <v>0.5266999999999999</v>
      </c>
      <c r="K319" t="n">
        <v>0</v>
      </c>
      <c r="L319" t="n">
        <v>0.848</v>
      </c>
      <c r="M319" t="n">
        <v>0.152</v>
      </c>
    </row>
    <row r="320" spans="1:13">
      <c r="A320" s="1">
        <f>HYPERLINK("http://www.twitter.com/NathanBLawrence/status/997415737550663680", "997415737550663680")</f>
        <v/>
      </c>
      <c r="B320" s="2" t="n">
        <v>43238.41454861111</v>
      </c>
      <c r="C320" t="n">
        <v>0</v>
      </c>
      <c r="D320" t="n">
        <v>5</v>
      </c>
      <c r="E320" t="s">
        <v>331</v>
      </c>
      <c r="F320">
        <f>HYPERLINK("http://pbs.twimg.com/media/DdcAKhKW4AUQbwG.jpg", "http://pbs.twimg.com/media/DdcAKhKW4AUQbwG.jpg")</f>
        <v/>
      </c>
      <c r="G320" t="s"/>
      <c r="H320" t="s"/>
      <c r="I320" t="s"/>
      <c r="J320" t="n">
        <v>0.34</v>
      </c>
      <c r="K320" t="n">
        <v>0</v>
      </c>
      <c r="L320" t="n">
        <v>0.87</v>
      </c>
      <c r="M320" t="n">
        <v>0.13</v>
      </c>
    </row>
    <row r="321" spans="1:13">
      <c r="A321" s="1">
        <f>HYPERLINK("http://www.twitter.com/NathanBLawrence/status/997415636849561600", "997415636849561600")</f>
        <v/>
      </c>
      <c r="B321" s="2" t="n">
        <v>43238.41427083333</v>
      </c>
      <c r="C321" t="n">
        <v>17</v>
      </c>
      <c r="D321" t="n">
        <v>11</v>
      </c>
      <c r="E321" t="s">
        <v>332</v>
      </c>
      <c r="F321" t="s"/>
      <c r="G321" t="s"/>
      <c r="H321" t="s"/>
      <c r="I321" t="s"/>
      <c r="J321" t="n">
        <v>0.6841</v>
      </c>
      <c r="K321" t="n">
        <v>0</v>
      </c>
      <c r="L321" t="n">
        <v>0.894</v>
      </c>
      <c r="M321" t="n">
        <v>0.106</v>
      </c>
    </row>
    <row r="322" spans="1:13">
      <c r="A322" s="1">
        <f>HYPERLINK("http://www.twitter.com/NathanBLawrence/status/997410631434362880", "997410631434362880")</f>
        <v/>
      </c>
      <c r="B322" s="2" t="n">
        <v>43238.40046296296</v>
      </c>
      <c r="C322" t="n">
        <v>0</v>
      </c>
      <c r="D322" t="n">
        <v>4</v>
      </c>
      <c r="E322" t="s">
        <v>333</v>
      </c>
      <c r="F322" t="s"/>
      <c r="G322" t="s"/>
      <c r="H322" t="s"/>
      <c r="I322" t="s"/>
      <c r="J322" t="n">
        <v>0.2732</v>
      </c>
      <c r="K322" t="n">
        <v>0</v>
      </c>
      <c r="L322" t="n">
        <v>0.896</v>
      </c>
      <c r="M322" t="n">
        <v>0.104</v>
      </c>
    </row>
    <row r="323" spans="1:13">
      <c r="A323" s="1">
        <f>HYPERLINK("http://www.twitter.com/NathanBLawrence/status/997410590455934976", "997410590455934976")</f>
        <v/>
      </c>
      <c r="B323" s="2" t="n">
        <v>43238.40034722222</v>
      </c>
      <c r="C323" t="n">
        <v>0</v>
      </c>
      <c r="D323" t="n">
        <v>4</v>
      </c>
      <c r="E323" t="s">
        <v>334</v>
      </c>
      <c r="F323" t="s"/>
      <c r="G323" t="s"/>
      <c r="H323" t="s"/>
      <c r="I323" t="s"/>
      <c r="J323" t="n">
        <v>0</v>
      </c>
      <c r="K323" t="n">
        <v>0</v>
      </c>
      <c r="L323" t="n">
        <v>1</v>
      </c>
      <c r="M323" t="n">
        <v>0</v>
      </c>
    </row>
    <row r="324" spans="1:13">
      <c r="A324" s="1">
        <f>HYPERLINK("http://www.twitter.com/NathanBLawrence/status/997410558478610432", "997410558478610432")</f>
        <v/>
      </c>
      <c r="B324" s="2" t="n">
        <v>43238.40025462963</v>
      </c>
      <c r="C324" t="n">
        <v>0</v>
      </c>
      <c r="D324" t="n">
        <v>4</v>
      </c>
      <c r="E324" t="s">
        <v>335</v>
      </c>
      <c r="F324" t="s"/>
      <c r="G324" t="s"/>
      <c r="H324" t="s"/>
      <c r="I324" t="s"/>
      <c r="J324" t="n">
        <v>-0.296</v>
      </c>
      <c r="K324" t="n">
        <v>0.158</v>
      </c>
      <c r="L324" t="n">
        <v>0.842</v>
      </c>
      <c r="M324" t="n">
        <v>0</v>
      </c>
    </row>
    <row r="325" spans="1:13">
      <c r="A325" s="1">
        <f>HYPERLINK("http://www.twitter.com/NathanBLawrence/status/997410261408641025", "997410261408641025")</f>
        <v/>
      </c>
      <c r="B325" s="2" t="n">
        <v>43238.39943287037</v>
      </c>
      <c r="C325" t="n">
        <v>0</v>
      </c>
      <c r="D325" t="n">
        <v>10</v>
      </c>
      <c r="E325" t="s">
        <v>336</v>
      </c>
      <c r="F325">
        <f>HYPERLINK("http://pbs.twimg.com/media/DdcB_Y9WkAAEiZE.jpg", "http://pbs.twimg.com/media/DdcB_Y9WkAAEiZE.jpg")</f>
        <v/>
      </c>
      <c r="G325" t="s"/>
      <c r="H325" t="s"/>
      <c r="I325" t="s"/>
      <c r="J325" t="n">
        <v>0.6289</v>
      </c>
      <c r="K325" t="n">
        <v>0</v>
      </c>
      <c r="L325" t="n">
        <v>0.821</v>
      </c>
      <c r="M325" t="n">
        <v>0.179</v>
      </c>
    </row>
    <row r="326" spans="1:13">
      <c r="A326" s="1">
        <f>HYPERLINK("http://www.twitter.com/NathanBLawrence/status/997374164980903936", "997374164980903936")</f>
        <v/>
      </c>
      <c r="B326" s="2" t="n">
        <v>43238.29982638889</v>
      </c>
      <c r="C326" t="n">
        <v>1</v>
      </c>
      <c r="D326" t="n">
        <v>1</v>
      </c>
      <c r="E326" t="s">
        <v>337</v>
      </c>
      <c r="F326" t="s"/>
      <c r="G326" t="s"/>
      <c r="H326" t="s"/>
      <c r="I326" t="s"/>
      <c r="J326" t="n">
        <v>0.5067</v>
      </c>
      <c r="K326" t="n">
        <v>0</v>
      </c>
      <c r="L326" t="n">
        <v>0.234</v>
      </c>
      <c r="M326" t="n">
        <v>0.766</v>
      </c>
    </row>
    <row r="327" spans="1:13">
      <c r="A327" s="1">
        <f>HYPERLINK("http://www.twitter.com/NathanBLawrence/status/997374008986349568", "997374008986349568")</f>
        <v/>
      </c>
      <c r="B327" s="2" t="n">
        <v>43238.29939814815</v>
      </c>
      <c r="C327" t="n">
        <v>0</v>
      </c>
      <c r="D327" t="n">
        <v>659</v>
      </c>
      <c r="E327" t="s">
        <v>338</v>
      </c>
      <c r="F327" t="s"/>
      <c r="G327" t="s"/>
      <c r="H327" t="s"/>
      <c r="I327" t="s"/>
      <c r="J327" t="n">
        <v>0.1759</v>
      </c>
      <c r="K327" t="n">
        <v>0.08400000000000001</v>
      </c>
      <c r="L327" t="n">
        <v>0.806</v>
      </c>
      <c r="M327" t="n">
        <v>0.11</v>
      </c>
    </row>
    <row r="328" spans="1:13">
      <c r="A328" s="1">
        <f>HYPERLINK("http://www.twitter.com/NathanBLawrence/status/997328988447133696", "997328988447133696")</f>
        <v/>
      </c>
      <c r="B328" s="2" t="n">
        <v>43238.17516203703</v>
      </c>
      <c r="C328" t="n">
        <v>1</v>
      </c>
      <c r="D328" t="n">
        <v>0</v>
      </c>
      <c r="E328" t="s">
        <v>339</v>
      </c>
      <c r="F328" t="s"/>
      <c r="G328" t="s"/>
      <c r="H328" t="s"/>
      <c r="I328" t="s"/>
      <c r="J328" t="n">
        <v>0</v>
      </c>
      <c r="K328" t="n">
        <v>0</v>
      </c>
      <c r="L328" t="n">
        <v>1</v>
      </c>
      <c r="M328" t="n">
        <v>0</v>
      </c>
    </row>
    <row r="329" spans="1:13">
      <c r="A329" s="1">
        <f>HYPERLINK("http://www.twitter.com/NathanBLawrence/status/997276575719706624", "997276575719706624")</f>
        <v/>
      </c>
      <c r="B329" s="2" t="n">
        <v>43238.03053240741</v>
      </c>
      <c r="C329" t="n">
        <v>0</v>
      </c>
      <c r="D329" t="n">
        <v>11</v>
      </c>
      <c r="E329" t="s">
        <v>340</v>
      </c>
      <c r="F329">
        <f>HYPERLINK("http://pbs.twimg.com/media/DdbipGpV4AAndyM.jpg", "http://pbs.twimg.com/media/DdbipGpV4AAndyM.jpg")</f>
        <v/>
      </c>
      <c r="G329" t="s"/>
      <c r="H329" t="s"/>
      <c r="I329" t="s"/>
      <c r="J329" t="n">
        <v>0</v>
      </c>
      <c r="K329" t="n">
        <v>0</v>
      </c>
      <c r="L329" t="n">
        <v>1</v>
      </c>
      <c r="M329" t="n">
        <v>0</v>
      </c>
    </row>
    <row r="330" spans="1:13">
      <c r="A330" s="1">
        <f>HYPERLINK("http://www.twitter.com/NathanBLawrence/status/997276557352763393", "997276557352763393")</f>
        <v/>
      </c>
      <c r="B330" s="2" t="n">
        <v>43238.03048611111</v>
      </c>
      <c r="C330" t="n">
        <v>0</v>
      </c>
      <c r="D330" t="n">
        <v>30</v>
      </c>
      <c r="E330" t="s">
        <v>341</v>
      </c>
      <c r="F330" t="s"/>
      <c r="G330" t="s"/>
      <c r="H330" t="s"/>
      <c r="I330" t="s"/>
      <c r="J330" t="n">
        <v>0.7644</v>
      </c>
      <c r="K330" t="n">
        <v>0</v>
      </c>
      <c r="L330" t="n">
        <v>0.625</v>
      </c>
      <c r="M330" t="n">
        <v>0.375</v>
      </c>
    </row>
    <row r="331" spans="1:13">
      <c r="A331" s="1">
        <f>HYPERLINK("http://www.twitter.com/NathanBLawrence/status/997276539250184192", "997276539250184192")</f>
        <v/>
      </c>
      <c r="B331" s="2" t="n">
        <v>43238.03043981481</v>
      </c>
      <c r="C331" t="n">
        <v>0</v>
      </c>
      <c r="D331" t="n">
        <v>0</v>
      </c>
      <c r="E331" t="s">
        <v>342</v>
      </c>
      <c r="F331">
        <f>HYPERLINK("http://pbs.twimg.com/media/DdcJuOsV4AAEnSx.jpg", "http://pbs.twimg.com/media/DdcJuOsV4AAEnSx.jpg")</f>
        <v/>
      </c>
      <c r="G331" t="s"/>
      <c r="H331" t="s"/>
      <c r="I331" t="s"/>
      <c r="J331" t="n">
        <v>0</v>
      </c>
      <c r="K331" t="n">
        <v>0</v>
      </c>
      <c r="L331" t="n">
        <v>1</v>
      </c>
      <c r="M331" t="n">
        <v>0</v>
      </c>
    </row>
    <row r="332" spans="1:13">
      <c r="A332" s="1">
        <f>HYPERLINK("http://www.twitter.com/NathanBLawrence/status/997276421876830209", "997276421876830209")</f>
        <v/>
      </c>
      <c r="B332" s="2" t="n">
        <v>43238.03011574074</v>
      </c>
      <c r="C332" t="n">
        <v>0</v>
      </c>
      <c r="D332" t="n">
        <v>1</v>
      </c>
      <c r="E332" t="s">
        <v>343</v>
      </c>
      <c r="F332">
        <f>HYPERLINK("http://pbs.twimg.com/media/DdbgILNU8AA_peq.jpg", "http://pbs.twimg.com/media/DdbgILNU8AA_peq.jpg")</f>
        <v/>
      </c>
      <c r="G332" t="s"/>
      <c r="H332" t="s"/>
      <c r="I332" t="s"/>
      <c r="J332" t="n">
        <v>0</v>
      </c>
      <c r="K332" t="n">
        <v>0</v>
      </c>
      <c r="L332" t="n">
        <v>1</v>
      </c>
      <c r="M332" t="n">
        <v>0</v>
      </c>
    </row>
    <row r="333" spans="1:13">
      <c r="A333" s="1">
        <f>HYPERLINK("http://www.twitter.com/NathanBLawrence/status/997276394659905536", "997276394659905536")</f>
        <v/>
      </c>
      <c r="B333" s="2" t="n">
        <v>43238.03003472222</v>
      </c>
      <c r="C333" t="n">
        <v>0</v>
      </c>
      <c r="D333" t="n">
        <v>2</v>
      </c>
      <c r="E333" t="s">
        <v>344</v>
      </c>
      <c r="F333" t="s"/>
      <c r="G333" t="s"/>
      <c r="H333" t="s"/>
      <c r="I333" t="s"/>
      <c r="J333" t="n">
        <v>0.7735</v>
      </c>
      <c r="K333" t="n">
        <v>0.07199999999999999</v>
      </c>
      <c r="L333" t="n">
        <v>0.607</v>
      </c>
      <c r="M333" t="n">
        <v>0.321</v>
      </c>
    </row>
    <row r="334" spans="1:13">
      <c r="A334" s="1">
        <f>HYPERLINK("http://www.twitter.com/NathanBLawrence/status/997276371117395968", "997276371117395968")</f>
        <v/>
      </c>
      <c r="B334" s="2" t="n">
        <v>43238.02997685185</v>
      </c>
      <c r="C334" t="n">
        <v>0</v>
      </c>
      <c r="D334" t="n">
        <v>1</v>
      </c>
      <c r="E334" t="s">
        <v>345</v>
      </c>
      <c r="F334" t="s"/>
      <c r="G334" t="s"/>
      <c r="H334" t="s"/>
      <c r="I334" t="s"/>
      <c r="J334" t="n">
        <v>0.3182</v>
      </c>
      <c r="K334" t="n">
        <v>0</v>
      </c>
      <c r="L334" t="n">
        <v>0.897</v>
      </c>
      <c r="M334" t="n">
        <v>0.103</v>
      </c>
    </row>
    <row r="335" spans="1:13">
      <c r="A335" s="1">
        <f>HYPERLINK("http://www.twitter.com/NathanBLawrence/status/997276342864490497", "997276342864490497")</f>
        <v/>
      </c>
      <c r="B335" s="2" t="n">
        <v>43238.02989583334</v>
      </c>
      <c r="C335" t="n">
        <v>0</v>
      </c>
      <c r="D335" t="n">
        <v>31</v>
      </c>
      <c r="E335" t="s">
        <v>346</v>
      </c>
      <c r="F335">
        <f>HYPERLINK("http://pbs.twimg.com/media/DdbZwDrVwAIDEFj.jpg", "http://pbs.twimg.com/media/DdbZwDrVwAIDEFj.jpg")</f>
        <v/>
      </c>
      <c r="G335" t="s"/>
      <c r="H335" t="s"/>
      <c r="I335" t="s"/>
      <c r="J335" t="n">
        <v>-0.233</v>
      </c>
      <c r="K335" t="n">
        <v>0.123</v>
      </c>
      <c r="L335" t="n">
        <v>0.797</v>
      </c>
      <c r="M335" t="n">
        <v>0.08</v>
      </c>
    </row>
    <row r="336" spans="1:13">
      <c r="A336" s="1">
        <f>HYPERLINK("http://www.twitter.com/NathanBLawrence/status/997276297872265216", "997276297872265216")</f>
        <v/>
      </c>
      <c r="B336" s="2" t="n">
        <v>43238.02976851852</v>
      </c>
      <c r="C336" t="n">
        <v>0</v>
      </c>
      <c r="D336" t="n">
        <v>3</v>
      </c>
      <c r="E336" t="s">
        <v>347</v>
      </c>
      <c r="F336" t="s"/>
      <c r="G336" t="s"/>
      <c r="H336" t="s"/>
      <c r="I336" t="s"/>
      <c r="J336" t="n">
        <v>0</v>
      </c>
      <c r="K336" t="n">
        <v>0</v>
      </c>
      <c r="L336" t="n">
        <v>1</v>
      </c>
      <c r="M336" t="n">
        <v>0</v>
      </c>
    </row>
    <row r="337" spans="1:13">
      <c r="A337" s="1">
        <f>HYPERLINK("http://www.twitter.com/NathanBLawrence/status/997276265555034112", "997276265555034112")</f>
        <v/>
      </c>
      <c r="B337" s="2" t="n">
        <v>43238.02967592593</v>
      </c>
      <c r="C337" t="n">
        <v>0</v>
      </c>
      <c r="D337" t="n">
        <v>33</v>
      </c>
      <c r="E337" t="s">
        <v>348</v>
      </c>
      <c r="F337">
        <f>HYPERLINK("http://pbs.twimg.com/media/DdbW5vwVMAEzcor.jpg", "http://pbs.twimg.com/media/DdbW5vwVMAEzcor.jpg")</f>
        <v/>
      </c>
      <c r="G337" t="s"/>
      <c r="H337" t="s"/>
      <c r="I337" t="s"/>
      <c r="J337" t="n">
        <v>0.784</v>
      </c>
      <c r="K337" t="n">
        <v>0</v>
      </c>
      <c r="L337" t="n">
        <v>0.622</v>
      </c>
      <c r="M337" t="n">
        <v>0.378</v>
      </c>
    </row>
    <row r="338" spans="1:13">
      <c r="A338" s="1">
        <f>HYPERLINK("http://www.twitter.com/NathanBLawrence/status/997276180175826944", "997276180175826944")</f>
        <v/>
      </c>
      <c r="B338" s="2" t="n">
        <v>43238.02944444444</v>
      </c>
      <c r="C338" t="n">
        <v>0</v>
      </c>
      <c r="D338" t="n">
        <v>0</v>
      </c>
      <c r="E338" t="s">
        <v>349</v>
      </c>
      <c r="F338" t="s"/>
      <c r="G338" t="s"/>
      <c r="H338" t="s"/>
      <c r="I338" t="s"/>
      <c r="J338" t="n">
        <v>0.3384</v>
      </c>
      <c r="K338" t="n">
        <v>0.137</v>
      </c>
      <c r="L338" t="n">
        <v>0.62</v>
      </c>
      <c r="M338" t="n">
        <v>0.243</v>
      </c>
    </row>
    <row r="339" spans="1:13">
      <c r="A339" s="1">
        <f>HYPERLINK("http://www.twitter.com/NathanBLawrence/status/997275359707004928", "997275359707004928")</f>
        <v/>
      </c>
      <c r="B339" s="2" t="n">
        <v>43238.02717592593</v>
      </c>
      <c r="C339" t="n">
        <v>0</v>
      </c>
      <c r="D339" t="n">
        <v>1</v>
      </c>
      <c r="E339" t="s">
        <v>350</v>
      </c>
      <c r="F339" t="s"/>
      <c r="G339" t="s"/>
      <c r="H339" t="s"/>
      <c r="I339" t="s"/>
      <c r="J339" t="n">
        <v>0</v>
      </c>
      <c r="K339" t="n">
        <v>0</v>
      </c>
      <c r="L339" t="n">
        <v>1</v>
      </c>
      <c r="M339" t="n">
        <v>0</v>
      </c>
    </row>
    <row r="340" spans="1:13">
      <c r="A340" s="1">
        <f>HYPERLINK("http://www.twitter.com/NathanBLawrence/status/997271406265106433", "997271406265106433")</f>
        <v/>
      </c>
      <c r="B340" s="2" t="n">
        <v>43238.01627314815</v>
      </c>
      <c r="C340" t="n">
        <v>0</v>
      </c>
      <c r="D340" t="n">
        <v>7</v>
      </c>
      <c r="E340" t="s">
        <v>351</v>
      </c>
      <c r="F340" t="s"/>
      <c r="G340" t="s"/>
      <c r="H340" t="s"/>
      <c r="I340" t="s"/>
      <c r="J340" t="n">
        <v>0</v>
      </c>
      <c r="K340" t="n">
        <v>0</v>
      </c>
      <c r="L340" t="n">
        <v>1</v>
      </c>
      <c r="M340" t="n">
        <v>0</v>
      </c>
    </row>
    <row r="341" spans="1:13">
      <c r="A341" s="1">
        <f>HYPERLINK("http://www.twitter.com/NathanBLawrence/status/997271385574641664", "997271385574641664")</f>
        <v/>
      </c>
      <c r="B341" s="2" t="n">
        <v>43238.01621527778</v>
      </c>
      <c r="C341" t="n">
        <v>0</v>
      </c>
      <c r="D341" t="n">
        <v>7</v>
      </c>
      <c r="E341" t="s">
        <v>352</v>
      </c>
      <c r="F341" t="s"/>
      <c r="G341" t="s"/>
      <c r="H341" t="s"/>
      <c r="I341" t="s"/>
      <c r="J341" t="n">
        <v>0</v>
      </c>
      <c r="K341" t="n">
        <v>0</v>
      </c>
      <c r="L341" t="n">
        <v>1</v>
      </c>
      <c r="M341" t="n">
        <v>0</v>
      </c>
    </row>
    <row r="342" spans="1:13">
      <c r="A342" s="1">
        <f>HYPERLINK("http://www.twitter.com/NathanBLawrence/status/997271367568494593", "997271367568494593")</f>
        <v/>
      </c>
      <c r="B342" s="2" t="n">
        <v>43238.01616898148</v>
      </c>
      <c r="C342" t="n">
        <v>0</v>
      </c>
      <c r="D342" t="n">
        <v>26</v>
      </c>
      <c r="E342" t="s">
        <v>353</v>
      </c>
      <c r="F342">
        <f>HYPERLINK("http://pbs.twimg.com/media/DdcAqIUUwAAoplS.jpg", "http://pbs.twimg.com/media/DdcAqIUUwAAoplS.jpg")</f>
        <v/>
      </c>
      <c r="G342" t="s"/>
      <c r="H342" t="s"/>
      <c r="I342" t="s"/>
      <c r="J342" t="n">
        <v>0</v>
      </c>
      <c r="K342" t="n">
        <v>0</v>
      </c>
      <c r="L342" t="n">
        <v>1</v>
      </c>
      <c r="M342" t="n">
        <v>0</v>
      </c>
    </row>
    <row r="343" spans="1:13">
      <c r="A343" s="1">
        <f>HYPERLINK("http://www.twitter.com/NathanBLawrence/status/997271347729436672", "997271347729436672")</f>
        <v/>
      </c>
      <c r="B343" s="2" t="n">
        <v>43238.01611111111</v>
      </c>
      <c r="C343" t="n">
        <v>0</v>
      </c>
      <c r="D343" t="n">
        <v>64</v>
      </c>
      <c r="E343" t="s">
        <v>354</v>
      </c>
      <c r="F343" t="s"/>
      <c r="G343" t="s"/>
      <c r="H343" t="s"/>
      <c r="I343" t="s"/>
      <c r="J343" t="n">
        <v>0.7213000000000001</v>
      </c>
      <c r="K343" t="n">
        <v>0</v>
      </c>
      <c r="L343" t="n">
        <v>0.726</v>
      </c>
      <c r="M343" t="n">
        <v>0.274</v>
      </c>
    </row>
    <row r="344" spans="1:13">
      <c r="A344" s="1">
        <f>HYPERLINK("http://www.twitter.com/NathanBLawrence/status/997213489805578246", "997213489805578246")</f>
        <v/>
      </c>
      <c r="B344" s="2" t="n">
        <v>43237.85644675926</v>
      </c>
      <c r="C344" t="n">
        <v>0</v>
      </c>
      <c r="D344" t="n">
        <v>3</v>
      </c>
      <c r="E344" t="s">
        <v>355</v>
      </c>
      <c r="F344" t="s"/>
      <c r="G344" t="s"/>
      <c r="H344" t="s"/>
      <c r="I344" t="s"/>
      <c r="J344" t="n">
        <v>-0.4405</v>
      </c>
      <c r="K344" t="n">
        <v>0.17</v>
      </c>
      <c r="L344" t="n">
        <v>0.83</v>
      </c>
      <c r="M344" t="n">
        <v>0</v>
      </c>
    </row>
    <row r="345" spans="1:13">
      <c r="A345" s="1">
        <f>HYPERLINK("http://www.twitter.com/NathanBLawrence/status/997213360067366913", "997213360067366913")</f>
        <v/>
      </c>
      <c r="B345" s="2" t="n">
        <v>43237.85609953704</v>
      </c>
      <c r="C345" t="n">
        <v>0</v>
      </c>
      <c r="D345" t="n">
        <v>49</v>
      </c>
      <c r="E345" t="s">
        <v>356</v>
      </c>
      <c r="F345" t="s"/>
      <c r="G345" t="s"/>
      <c r="H345" t="s"/>
      <c r="I345" t="s"/>
      <c r="J345" t="n">
        <v>-0.296</v>
      </c>
      <c r="K345" t="n">
        <v>0.091</v>
      </c>
      <c r="L345" t="n">
        <v>0.909</v>
      </c>
      <c r="M345" t="n">
        <v>0</v>
      </c>
    </row>
    <row r="346" spans="1:13">
      <c r="A346" s="1">
        <f>HYPERLINK("http://www.twitter.com/NathanBLawrence/status/997212550629679104", "997212550629679104")</f>
        <v/>
      </c>
      <c r="B346" s="2" t="n">
        <v>43237.85386574074</v>
      </c>
      <c r="C346" t="n">
        <v>0</v>
      </c>
      <c r="D346" t="n">
        <v>6</v>
      </c>
      <c r="E346" t="s">
        <v>357</v>
      </c>
      <c r="F346">
        <f>HYPERLINK("https://video.twimg.com/ext_tw_video/997209264081928192/pu/vid/1280x720/PiF0iXbNIEhE2l00.mp4?tag=3", "https://video.twimg.com/ext_tw_video/997209264081928192/pu/vid/1280x720/PiF0iXbNIEhE2l00.mp4?tag=3")</f>
        <v/>
      </c>
      <c r="G346" t="s"/>
      <c r="H346" t="s"/>
      <c r="I346" t="s"/>
      <c r="J346" t="n">
        <v>-0.4939</v>
      </c>
      <c r="K346" t="n">
        <v>0.176</v>
      </c>
      <c r="L346" t="n">
        <v>0.824</v>
      </c>
      <c r="M346" t="n">
        <v>0</v>
      </c>
    </row>
    <row r="347" spans="1:13">
      <c r="A347" s="1">
        <f>HYPERLINK("http://www.twitter.com/NathanBLawrence/status/997209471700164608", "997209471700164608")</f>
        <v/>
      </c>
      <c r="B347" s="2" t="n">
        <v>43237.84535879629</v>
      </c>
      <c r="C347" t="n">
        <v>4</v>
      </c>
      <c r="D347" t="n">
        <v>6</v>
      </c>
      <c r="E347" t="s">
        <v>358</v>
      </c>
      <c r="F347">
        <f>HYPERLINK("https://video.twimg.com/ext_tw_video/997209264081928192/pu/vid/1280x720/PiF0iXbNIEhE2l00.mp4?tag=3", "https://video.twimg.com/ext_tw_video/997209264081928192/pu/vid/1280x720/PiF0iXbNIEhE2l00.mp4?tag=3")</f>
        <v/>
      </c>
      <c r="G347" t="s"/>
      <c r="H347" t="s"/>
      <c r="I347" t="s"/>
      <c r="J347" t="n">
        <v>-0.4939</v>
      </c>
      <c r="K347" t="n">
        <v>0.198</v>
      </c>
      <c r="L347" t="n">
        <v>0.802</v>
      </c>
      <c r="M347" t="n">
        <v>0</v>
      </c>
    </row>
    <row r="348" spans="1:13">
      <c r="A348" s="1">
        <f>HYPERLINK("http://www.twitter.com/NathanBLawrence/status/997208719787286530", "997208719787286530")</f>
        <v/>
      </c>
      <c r="B348" s="2" t="n">
        <v>43237.84328703704</v>
      </c>
      <c r="C348" t="n">
        <v>0</v>
      </c>
      <c r="D348" t="n">
        <v>7</v>
      </c>
      <c r="E348" t="s">
        <v>359</v>
      </c>
      <c r="F348">
        <f>HYPERLINK("http://pbs.twimg.com/media/DdbL12hVAAEmwol.jpg", "http://pbs.twimg.com/media/DdbL12hVAAEmwol.jpg")</f>
        <v/>
      </c>
      <c r="G348" t="s"/>
      <c r="H348" t="s"/>
      <c r="I348" t="s"/>
      <c r="J348" t="n">
        <v>0</v>
      </c>
      <c r="K348" t="n">
        <v>0</v>
      </c>
      <c r="L348" t="n">
        <v>1</v>
      </c>
      <c r="M348" t="n">
        <v>0</v>
      </c>
    </row>
    <row r="349" spans="1:13">
      <c r="A349" s="1">
        <f>HYPERLINK("http://www.twitter.com/NathanBLawrence/status/997206114629443585", "997206114629443585")</f>
        <v/>
      </c>
      <c r="B349" s="2" t="n">
        <v>43237.83609953704</v>
      </c>
      <c r="C349" t="n">
        <v>2</v>
      </c>
      <c r="D349" t="n">
        <v>1</v>
      </c>
      <c r="E349" t="s">
        <v>360</v>
      </c>
      <c r="F349" t="s"/>
      <c r="G349" t="s"/>
      <c r="H349" t="s"/>
      <c r="I349" t="s"/>
      <c r="J349" t="n">
        <v>0.4588</v>
      </c>
      <c r="K349" t="n">
        <v>0</v>
      </c>
      <c r="L349" t="n">
        <v>0.5</v>
      </c>
      <c r="M349" t="n">
        <v>0.5</v>
      </c>
    </row>
    <row r="350" spans="1:13">
      <c r="A350" s="1">
        <f>HYPERLINK("http://www.twitter.com/NathanBLawrence/status/997205976251092993", "997205976251092993")</f>
        <v/>
      </c>
      <c r="B350" s="2" t="n">
        <v>43237.83571759259</v>
      </c>
      <c r="C350" t="n">
        <v>0</v>
      </c>
      <c r="D350" t="n">
        <v>1</v>
      </c>
      <c r="E350" t="s">
        <v>361</v>
      </c>
      <c r="F350" t="s"/>
      <c r="G350" t="s"/>
      <c r="H350" t="s"/>
      <c r="I350" t="s"/>
      <c r="J350" t="n">
        <v>0.7481</v>
      </c>
      <c r="K350" t="n">
        <v>0</v>
      </c>
      <c r="L350" t="n">
        <v>0.524</v>
      </c>
      <c r="M350" t="n">
        <v>0.476</v>
      </c>
    </row>
    <row r="351" spans="1:13">
      <c r="A351" s="1">
        <f>HYPERLINK("http://www.twitter.com/NathanBLawrence/status/997205251026497538", "997205251026497538")</f>
        <v/>
      </c>
      <c r="B351" s="2" t="n">
        <v>43237.83371527777</v>
      </c>
      <c r="C351" t="n">
        <v>0</v>
      </c>
      <c r="D351" t="n">
        <v>2</v>
      </c>
      <c r="E351" t="s">
        <v>362</v>
      </c>
      <c r="F351">
        <f>HYPERLINK("http://pbs.twimg.com/media/DdbHj5KVAAA4_0k.jpg", "http://pbs.twimg.com/media/DdbHj5KVAAA4_0k.jpg")</f>
        <v/>
      </c>
      <c r="G351" t="s"/>
      <c r="H351" t="s"/>
      <c r="I351" t="s"/>
      <c r="J351" t="n">
        <v>0</v>
      </c>
      <c r="K351" t="n">
        <v>0</v>
      </c>
      <c r="L351" t="n">
        <v>1</v>
      </c>
      <c r="M351" t="n">
        <v>0</v>
      </c>
    </row>
    <row r="352" spans="1:13">
      <c r="A352" s="1">
        <f>HYPERLINK("http://www.twitter.com/NathanBLawrence/status/997205097351393287", "997205097351393287")</f>
        <v/>
      </c>
      <c r="B352" s="2" t="n">
        <v>43237.83329861111</v>
      </c>
      <c r="C352" t="n">
        <v>0</v>
      </c>
      <c r="D352" t="n">
        <v>1</v>
      </c>
      <c r="E352" t="s">
        <v>363</v>
      </c>
      <c r="F352" t="s"/>
      <c r="G352" t="s"/>
      <c r="H352" t="s"/>
      <c r="I352" t="s"/>
      <c r="J352" t="n">
        <v>0</v>
      </c>
      <c r="K352" t="n">
        <v>0</v>
      </c>
      <c r="L352" t="n">
        <v>1</v>
      </c>
      <c r="M352" t="n">
        <v>0</v>
      </c>
    </row>
    <row r="353" spans="1:13">
      <c r="A353" s="1">
        <f>HYPERLINK("http://www.twitter.com/NathanBLawrence/status/997204976215777281", "997204976215777281")</f>
        <v/>
      </c>
      <c r="B353" s="2" t="n">
        <v>43237.83296296297</v>
      </c>
      <c r="C353" t="n">
        <v>0</v>
      </c>
      <c r="D353" t="n">
        <v>0</v>
      </c>
      <c r="E353" t="s">
        <v>364</v>
      </c>
      <c r="F353" t="s"/>
      <c r="G353" t="s"/>
      <c r="H353" t="s"/>
      <c r="I353" t="s"/>
      <c r="J353" t="n">
        <v>0.2263</v>
      </c>
      <c r="K353" t="n">
        <v>0</v>
      </c>
      <c r="L353" t="n">
        <v>0.913</v>
      </c>
      <c r="M353" t="n">
        <v>0.08699999999999999</v>
      </c>
    </row>
    <row r="354" spans="1:13">
      <c r="A354" s="1">
        <f>HYPERLINK("http://www.twitter.com/NathanBLawrence/status/997204134817300481", "997204134817300481")</f>
        <v/>
      </c>
      <c r="B354" s="2" t="n">
        <v>43237.83063657407</v>
      </c>
      <c r="C354" t="n">
        <v>0</v>
      </c>
      <c r="D354" t="n">
        <v>0</v>
      </c>
      <c r="E354" t="s">
        <v>365</v>
      </c>
      <c r="F354" t="s"/>
      <c r="G354" t="s"/>
      <c r="H354" t="s"/>
      <c r="I354" t="s"/>
      <c r="J354" t="n">
        <v>0</v>
      </c>
      <c r="K354" t="n">
        <v>0</v>
      </c>
      <c r="L354" t="n">
        <v>1</v>
      </c>
      <c r="M354" t="n">
        <v>0</v>
      </c>
    </row>
    <row r="355" spans="1:13">
      <c r="A355" s="1">
        <f>HYPERLINK("http://www.twitter.com/NathanBLawrence/status/997203826406019073", "997203826406019073")</f>
        <v/>
      </c>
      <c r="B355" s="2" t="n">
        <v>43237.82979166666</v>
      </c>
      <c r="C355" t="n">
        <v>0</v>
      </c>
      <c r="D355" t="n">
        <v>2</v>
      </c>
      <c r="E355" t="s">
        <v>366</v>
      </c>
      <c r="F355">
        <f>HYPERLINK("http://pbs.twimg.com/media/DdbF13aVQAAucfx.jpg", "http://pbs.twimg.com/media/DdbF13aVQAAucfx.jpg")</f>
        <v/>
      </c>
      <c r="G355" t="s"/>
      <c r="H355" t="s"/>
      <c r="I355" t="s"/>
      <c r="J355" t="n">
        <v>0.743</v>
      </c>
      <c r="K355" t="n">
        <v>0</v>
      </c>
      <c r="L355" t="n">
        <v>0.717</v>
      </c>
      <c r="M355" t="n">
        <v>0.283</v>
      </c>
    </row>
    <row r="356" spans="1:13">
      <c r="A356" s="1">
        <f>HYPERLINK("http://www.twitter.com/NathanBLawrence/status/997203784433532929", "997203784433532929")</f>
        <v/>
      </c>
      <c r="B356" s="2" t="n">
        <v>43237.82967592592</v>
      </c>
      <c r="C356" t="n">
        <v>2</v>
      </c>
      <c r="D356" t="n">
        <v>1</v>
      </c>
      <c r="E356" t="s">
        <v>367</v>
      </c>
      <c r="F356" t="s"/>
      <c r="G356" t="s"/>
      <c r="H356" t="s"/>
      <c r="I356" t="s"/>
      <c r="J356" t="n">
        <v>-0.9105</v>
      </c>
      <c r="K356" t="n">
        <v>0.265</v>
      </c>
      <c r="L356" t="n">
        <v>0.735</v>
      </c>
      <c r="M356" t="n">
        <v>0</v>
      </c>
    </row>
    <row r="357" spans="1:13">
      <c r="A357" s="1">
        <f>HYPERLINK("http://www.twitter.com/NathanBLawrence/status/997200789826351105", "997200789826351105")</f>
        <v/>
      </c>
      <c r="B357" s="2" t="n">
        <v>43237.82141203704</v>
      </c>
      <c r="C357" t="n">
        <v>0</v>
      </c>
      <c r="D357" t="n">
        <v>5</v>
      </c>
      <c r="E357" t="s">
        <v>368</v>
      </c>
      <c r="F357" t="s"/>
      <c r="G357" t="s"/>
      <c r="H357" t="s"/>
      <c r="I357" t="s"/>
      <c r="J357" t="n">
        <v>0</v>
      </c>
      <c r="K357" t="n">
        <v>0</v>
      </c>
      <c r="L357" t="n">
        <v>1</v>
      </c>
      <c r="M357" t="n">
        <v>0</v>
      </c>
    </row>
    <row r="358" spans="1:13">
      <c r="A358" s="1">
        <f>HYPERLINK("http://www.twitter.com/NathanBLawrence/status/997200743764578304", "997200743764578304")</f>
        <v/>
      </c>
      <c r="B358" s="2" t="n">
        <v>43237.82128472222</v>
      </c>
      <c r="C358" t="n">
        <v>3</v>
      </c>
      <c r="D358" t="n">
        <v>2</v>
      </c>
      <c r="E358" t="s">
        <v>369</v>
      </c>
      <c r="F358" t="s"/>
      <c r="G358" t="s"/>
      <c r="H358" t="s"/>
      <c r="I358" t="s"/>
      <c r="J358" t="n">
        <v>0.3328</v>
      </c>
      <c r="K358" t="n">
        <v>0.108</v>
      </c>
      <c r="L358" t="n">
        <v>0.698</v>
      </c>
      <c r="M358" t="n">
        <v>0.195</v>
      </c>
    </row>
    <row r="359" spans="1:13">
      <c r="A359" s="1">
        <f>HYPERLINK("http://www.twitter.com/NathanBLawrence/status/997199865477259265", "997199865477259265")</f>
        <v/>
      </c>
      <c r="B359" s="2" t="n">
        <v>43237.81885416667</v>
      </c>
      <c r="C359" t="n">
        <v>0</v>
      </c>
      <c r="D359" t="n">
        <v>7</v>
      </c>
      <c r="E359" t="s">
        <v>370</v>
      </c>
      <c r="F359">
        <f>HYPERLINK("https://video.twimg.com/ext_tw_video/997199237812076544/pu/vid/240x240/GHbdTtZKTeuz6r_n.mp4?tag=3", "https://video.twimg.com/ext_tw_video/997199237812076544/pu/vid/240x240/GHbdTtZKTeuz6r_n.mp4?tag=3")</f>
        <v/>
      </c>
      <c r="G359" t="s"/>
      <c r="H359" t="s"/>
      <c r="I359" t="s"/>
      <c r="J359" t="n">
        <v>-0.0708</v>
      </c>
      <c r="K359" t="n">
        <v>0.109</v>
      </c>
      <c r="L359" t="n">
        <v>0.793</v>
      </c>
      <c r="M359" t="n">
        <v>0.098</v>
      </c>
    </row>
    <row r="360" spans="1:13">
      <c r="A360" s="1">
        <f>HYPERLINK("http://www.twitter.com/NathanBLawrence/status/997199840529539075", "997199840529539075")</f>
        <v/>
      </c>
      <c r="B360" s="2" t="n">
        <v>43237.81878472222</v>
      </c>
      <c r="C360" t="n">
        <v>0</v>
      </c>
      <c r="D360" t="n">
        <v>7</v>
      </c>
      <c r="E360" t="s">
        <v>371</v>
      </c>
      <c r="F360">
        <f>HYPERLINK("https://video.twimg.com/ext_tw_video/997196937081204736/pu/vid/240x240/B5IeuqLZUqG1jB6T.mp4?tag=3", "https://video.twimg.com/ext_tw_video/997196937081204736/pu/vid/240x240/B5IeuqLZUqG1jB6T.mp4?tag=3")</f>
        <v/>
      </c>
      <c r="G360" t="s"/>
      <c r="H360" t="s"/>
      <c r="I360" t="s"/>
      <c r="J360" t="n">
        <v>0.6696</v>
      </c>
      <c r="K360" t="n">
        <v>0</v>
      </c>
      <c r="L360" t="n">
        <v>0.8070000000000001</v>
      </c>
      <c r="M360" t="n">
        <v>0.193</v>
      </c>
    </row>
    <row r="361" spans="1:13">
      <c r="A361" s="1">
        <f>HYPERLINK("http://www.twitter.com/NathanBLawrence/status/997199811907551232", "997199811907551232")</f>
        <v/>
      </c>
      <c r="B361" s="2" t="n">
        <v>43237.81870370371</v>
      </c>
      <c r="C361" t="n">
        <v>0</v>
      </c>
      <c r="D361" t="n">
        <v>14</v>
      </c>
      <c r="E361" t="s">
        <v>372</v>
      </c>
      <c r="F361">
        <f>HYPERLINK("https://video.twimg.com/ext_tw_video/997179013641613312/pu/vid/240x240/uoOk75L5w6u69R0X.mp4?tag=3", "https://video.twimg.com/ext_tw_video/997179013641613312/pu/vid/240x240/uoOk75L5w6u69R0X.mp4?tag=3")</f>
        <v/>
      </c>
      <c r="G361" t="s"/>
      <c r="H361" t="s"/>
      <c r="I361" t="s"/>
      <c r="J361" t="n">
        <v>-0.5266999999999999</v>
      </c>
      <c r="K361" t="n">
        <v>0.188</v>
      </c>
      <c r="L361" t="n">
        <v>0.8120000000000001</v>
      </c>
      <c r="M361" t="n">
        <v>0</v>
      </c>
    </row>
    <row r="362" spans="1:13">
      <c r="A362" s="1">
        <f>HYPERLINK("http://www.twitter.com/NathanBLawrence/status/997197698725040128", "997197698725040128")</f>
        <v/>
      </c>
      <c r="B362" s="2" t="n">
        <v>43237.81288194445</v>
      </c>
      <c r="C362" t="n">
        <v>0</v>
      </c>
      <c r="D362" t="n">
        <v>474</v>
      </c>
      <c r="E362" t="s">
        <v>373</v>
      </c>
      <c r="F362" t="s"/>
      <c r="G362" t="s"/>
      <c r="H362" t="s"/>
      <c r="I362" t="s"/>
      <c r="J362" t="n">
        <v>-0.8225</v>
      </c>
      <c r="K362" t="n">
        <v>0.302</v>
      </c>
      <c r="L362" t="n">
        <v>0.625</v>
      </c>
      <c r="M362" t="n">
        <v>0.073</v>
      </c>
    </row>
    <row r="363" spans="1:13">
      <c r="A363" s="1">
        <f>HYPERLINK("http://www.twitter.com/NathanBLawrence/status/997197462375976960", "997197462375976960")</f>
        <v/>
      </c>
      <c r="B363" s="2" t="n">
        <v>43237.81222222222</v>
      </c>
      <c r="C363" t="n">
        <v>0</v>
      </c>
      <c r="D363" t="n">
        <v>68</v>
      </c>
      <c r="E363" t="s">
        <v>374</v>
      </c>
      <c r="F363" t="s"/>
      <c r="G363" t="s"/>
      <c r="H363" t="s"/>
      <c r="I363" t="s"/>
      <c r="J363" t="n">
        <v>-0.3818</v>
      </c>
      <c r="K363" t="n">
        <v>0.133</v>
      </c>
      <c r="L363" t="n">
        <v>0.867</v>
      </c>
      <c r="M363" t="n">
        <v>0</v>
      </c>
    </row>
    <row r="364" spans="1:13">
      <c r="A364" s="1">
        <f>HYPERLINK("http://www.twitter.com/NathanBLawrence/status/997197364946522113", "997197364946522113")</f>
        <v/>
      </c>
      <c r="B364" s="2" t="n">
        <v>43237.81195601852</v>
      </c>
      <c r="C364" t="n">
        <v>0</v>
      </c>
      <c r="D364" t="n">
        <v>2057</v>
      </c>
      <c r="E364" t="s">
        <v>375</v>
      </c>
      <c r="F364" t="s"/>
      <c r="G364" t="s"/>
      <c r="H364" t="s"/>
      <c r="I364" t="s"/>
      <c r="J364" t="n">
        <v>-0.1449</v>
      </c>
      <c r="K364" t="n">
        <v>0.164</v>
      </c>
      <c r="L364" t="n">
        <v>0.696</v>
      </c>
      <c r="M364" t="n">
        <v>0.141</v>
      </c>
    </row>
    <row r="365" spans="1:13">
      <c r="A365" s="1">
        <f>HYPERLINK("http://www.twitter.com/NathanBLawrence/status/997196335806844939", "997196335806844939")</f>
        <v/>
      </c>
      <c r="B365" s="2" t="n">
        <v>43237.80912037037</v>
      </c>
      <c r="C365" t="n">
        <v>0</v>
      </c>
      <c r="D365" t="n">
        <v>15</v>
      </c>
      <c r="E365" t="s">
        <v>376</v>
      </c>
      <c r="F365">
        <f>HYPERLINK("http://pbs.twimg.com/media/DdbAhmsV0AANe5p.jpg", "http://pbs.twimg.com/media/DdbAhmsV0AANe5p.jpg")</f>
        <v/>
      </c>
      <c r="G365" t="s"/>
      <c r="H365" t="s"/>
      <c r="I365" t="s"/>
      <c r="J365" t="n">
        <v>0.6301</v>
      </c>
      <c r="K365" t="n">
        <v>0</v>
      </c>
      <c r="L365" t="n">
        <v>0.828</v>
      </c>
      <c r="M365" t="n">
        <v>0.172</v>
      </c>
    </row>
    <row r="366" spans="1:13">
      <c r="A366" s="1">
        <f>HYPERLINK("http://www.twitter.com/NathanBLawrence/status/997196006902165509", "997196006902165509")</f>
        <v/>
      </c>
      <c r="B366" s="2" t="n">
        <v>43237.80820601852</v>
      </c>
      <c r="C366" t="n">
        <v>0</v>
      </c>
      <c r="D366" t="n">
        <v>0</v>
      </c>
      <c r="E366" t="s">
        <v>377</v>
      </c>
      <c r="F366" t="s"/>
      <c r="G366" t="s"/>
      <c r="H366" t="s"/>
      <c r="I366" t="s"/>
      <c r="J366" t="n">
        <v>0.4404</v>
      </c>
      <c r="K366" t="n">
        <v>0</v>
      </c>
      <c r="L366" t="n">
        <v>0.408</v>
      </c>
      <c r="M366" t="n">
        <v>0.592</v>
      </c>
    </row>
    <row r="367" spans="1:13">
      <c r="A367" s="1">
        <f>HYPERLINK("http://www.twitter.com/NathanBLawrence/status/997195815109226497", "997195815109226497")</f>
        <v/>
      </c>
      <c r="B367" s="2" t="n">
        <v>43237.80767361111</v>
      </c>
      <c r="C367" t="n">
        <v>0</v>
      </c>
      <c r="D367" t="n">
        <v>1</v>
      </c>
      <c r="E367" t="s">
        <v>378</v>
      </c>
      <c r="F367" t="s"/>
      <c r="G367" t="s"/>
      <c r="H367" t="s"/>
      <c r="I367" t="s"/>
      <c r="J367" t="n">
        <v>0.4753</v>
      </c>
      <c r="K367" t="n">
        <v>0</v>
      </c>
      <c r="L367" t="n">
        <v>0.5639999999999999</v>
      </c>
      <c r="M367" t="n">
        <v>0.436</v>
      </c>
    </row>
    <row r="368" spans="1:13">
      <c r="A368" s="1">
        <f>HYPERLINK("http://www.twitter.com/NathanBLawrence/status/997195698633396224", "997195698633396224")</f>
        <v/>
      </c>
      <c r="B368" s="2" t="n">
        <v>43237.80736111111</v>
      </c>
      <c r="C368" t="n">
        <v>0</v>
      </c>
      <c r="D368" t="n">
        <v>2</v>
      </c>
      <c r="E368" t="s">
        <v>379</v>
      </c>
      <c r="F368" t="s"/>
      <c r="G368" t="s"/>
      <c r="H368" t="s"/>
      <c r="I368" t="s"/>
      <c r="J368" t="n">
        <v>0.5719</v>
      </c>
      <c r="K368" t="n">
        <v>0</v>
      </c>
      <c r="L368" t="n">
        <v>0.802</v>
      </c>
      <c r="M368" t="n">
        <v>0.198</v>
      </c>
    </row>
    <row r="369" spans="1:13">
      <c r="A369" s="1">
        <f>HYPERLINK("http://www.twitter.com/NathanBLawrence/status/997195592362229760", "997195592362229760")</f>
        <v/>
      </c>
      <c r="B369" s="2" t="n">
        <v>43237.80706018519</v>
      </c>
      <c r="C369" t="n">
        <v>0</v>
      </c>
      <c r="D369" t="n">
        <v>1</v>
      </c>
      <c r="E369" t="s">
        <v>380</v>
      </c>
      <c r="F369">
        <f>HYPERLINK("http://pbs.twimg.com/media/DdanPu8V4AMk7Yr.jpg", "http://pbs.twimg.com/media/DdanPu8V4AMk7Yr.jpg")</f>
        <v/>
      </c>
      <c r="G369" t="s"/>
      <c r="H369" t="s"/>
      <c r="I369" t="s"/>
      <c r="J369" t="n">
        <v>0</v>
      </c>
      <c r="K369" t="n">
        <v>0</v>
      </c>
      <c r="L369" t="n">
        <v>1</v>
      </c>
      <c r="M369" t="n">
        <v>0</v>
      </c>
    </row>
    <row r="370" spans="1:13">
      <c r="A370" s="1">
        <f>HYPERLINK("http://www.twitter.com/NathanBLawrence/status/997186291786829825", "997186291786829825")</f>
        <v/>
      </c>
      <c r="B370" s="2" t="n">
        <v>43237.78140046296</v>
      </c>
      <c r="C370" t="n">
        <v>0</v>
      </c>
      <c r="D370" t="n">
        <v>6</v>
      </c>
      <c r="E370" t="s">
        <v>381</v>
      </c>
      <c r="F370">
        <f>HYPERLINK("http://pbs.twimg.com/media/Dda3cBlV4AEeDhK.jpg", "http://pbs.twimg.com/media/Dda3cBlV4AEeDhK.jpg")</f>
        <v/>
      </c>
      <c r="G370" t="s"/>
      <c r="H370" t="s"/>
      <c r="I370" t="s"/>
      <c r="J370" t="n">
        <v>0</v>
      </c>
      <c r="K370" t="n">
        <v>0</v>
      </c>
      <c r="L370" t="n">
        <v>1</v>
      </c>
      <c r="M370" t="n">
        <v>0</v>
      </c>
    </row>
    <row r="371" spans="1:13">
      <c r="A371" s="1">
        <f>HYPERLINK("http://www.twitter.com/NathanBLawrence/status/997185695851704320", "997185695851704320")</f>
        <v/>
      </c>
      <c r="B371" s="2" t="n">
        <v>43237.77975694444</v>
      </c>
      <c r="C371" t="n">
        <v>0</v>
      </c>
      <c r="D371" t="n">
        <v>5985</v>
      </c>
      <c r="E371" t="s">
        <v>382</v>
      </c>
      <c r="F371" t="s"/>
      <c r="G371" t="s"/>
      <c r="H371" t="s"/>
      <c r="I371" t="s"/>
      <c r="J371" t="n">
        <v>-0.8225</v>
      </c>
      <c r="K371" t="n">
        <v>0.309</v>
      </c>
      <c r="L371" t="n">
        <v>0.6909999999999999</v>
      </c>
      <c r="M371" t="n">
        <v>0</v>
      </c>
    </row>
    <row r="372" spans="1:13">
      <c r="A372" s="1">
        <f>HYPERLINK("http://www.twitter.com/NathanBLawrence/status/997185261976145920", "997185261976145920")</f>
        <v/>
      </c>
      <c r="B372" s="2" t="n">
        <v>43237.77855324074</v>
      </c>
      <c r="C372" t="n">
        <v>0</v>
      </c>
      <c r="D372" t="n">
        <v>2</v>
      </c>
      <c r="E372" t="s">
        <v>383</v>
      </c>
      <c r="F372" t="s"/>
      <c r="G372" t="s"/>
      <c r="H372" t="s"/>
      <c r="I372" t="s"/>
      <c r="J372" t="n">
        <v>-0.9674</v>
      </c>
      <c r="K372" t="n">
        <v>0.54</v>
      </c>
      <c r="L372" t="n">
        <v>0.46</v>
      </c>
      <c r="M372" t="n">
        <v>0</v>
      </c>
    </row>
    <row r="373" spans="1:13">
      <c r="A373" s="1">
        <f>HYPERLINK("http://www.twitter.com/NathanBLawrence/status/997183634099638273", "997183634099638273")</f>
        <v/>
      </c>
      <c r="B373" s="2" t="n">
        <v>43237.7740625</v>
      </c>
      <c r="C373" t="n">
        <v>0</v>
      </c>
      <c r="D373" t="n">
        <v>4357</v>
      </c>
      <c r="E373" t="s">
        <v>384</v>
      </c>
      <c r="F373" t="s"/>
      <c r="G373" t="s"/>
      <c r="H373" t="s"/>
      <c r="I373" t="s"/>
      <c r="J373" t="n">
        <v>-0.7717000000000001</v>
      </c>
      <c r="K373" t="n">
        <v>0.242</v>
      </c>
      <c r="L373" t="n">
        <v>0.758</v>
      </c>
      <c r="M373" t="n">
        <v>0</v>
      </c>
    </row>
    <row r="374" spans="1:13">
      <c r="A374" s="1">
        <f>HYPERLINK("http://www.twitter.com/NathanBLawrence/status/997183075359645696", "997183075359645696")</f>
        <v/>
      </c>
      <c r="B374" s="2" t="n">
        <v>43237.77252314815</v>
      </c>
      <c r="C374" t="n">
        <v>0</v>
      </c>
      <c r="D374" t="n">
        <v>1</v>
      </c>
      <c r="E374" t="s">
        <v>385</v>
      </c>
      <c r="F374" t="s"/>
      <c r="G374" t="s"/>
      <c r="H374" t="s"/>
      <c r="I374" t="s"/>
      <c r="J374" t="n">
        <v>-0.5859</v>
      </c>
      <c r="K374" t="n">
        <v>0.293</v>
      </c>
      <c r="L374" t="n">
        <v>0.707</v>
      </c>
      <c r="M374" t="n">
        <v>0</v>
      </c>
    </row>
    <row r="375" spans="1:13">
      <c r="A375" s="1">
        <f>HYPERLINK("http://www.twitter.com/NathanBLawrence/status/997169615372419074", "997169615372419074")</f>
        <v/>
      </c>
      <c r="B375" s="2" t="n">
        <v>43237.73538194445</v>
      </c>
      <c r="C375" t="n">
        <v>2</v>
      </c>
      <c r="D375" t="n">
        <v>2</v>
      </c>
      <c r="E375" t="s">
        <v>386</v>
      </c>
      <c r="F375" t="s"/>
      <c r="G375" t="s"/>
      <c r="H375" t="s"/>
      <c r="I375" t="s"/>
      <c r="J375" t="n">
        <v>0</v>
      </c>
      <c r="K375" t="n">
        <v>0</v>
      </c>
      <c r="L375" t="n">
        <v>1</v>
      </c>
      <c r="M375" t="n">
        <v>0</v>
      </c>
    </row>
    <row r="376" spans="1:13">
      <c r="A376" s="1">
        <f>HYPERLINK("http://www.twitter.com/NathanBLawrence/status/997169294122287105", "997169294122287105")</f>
        <v/>
      </c>
      <c r="B376" s="2" t="n">
        <v>43237.73449074074</v>
      </c>
      <c r="C376" t="n">
        <v>0</v>
      </c>
      <c r="D376" t="n">
        <v>17</v>
      </c>
      <c r="E376" t="s">
        <v>387</v>
      </c>
      <c r="F376">
        <f>HYPERLINK("https://video.twimg.com/ext_tw_video/995767122524426240/pu/vid/240x240/3Np8zRXQszwphUea.mp4?tag=3", "https://video.twimg.com/ext_tw_video/995767122524426240/pu/vid/240x240/3Np8zRXQszwphUea.mp4?tag=3")</f>
        <v/>
      </c>
      <c r="G376" t="s"/>
      <c r="H376" t="s"/>
      <c r="I376" t="s"/>
      <c r="J376" t="n">
        <v>0.4215</v>
      </c>
      <c r="K376" t="n">
        <v>0</v>
      </c>
      <c r="L376" t="n">
        <v>0.847</v>
      </c>
      <c r="M376" t="n">
        <v>0.153</v>
      </c>
    </row>
    <row r="377" spans="1:13">
      <c r="A377" s="1">
        <f>HYPERLINK("http://www.twitter.com/NathanBLawrence/status/997169215340769280", "997169215340769280")</f>
        <v/>
      </c>
      <c r="B377" s="2" t="n">
        <v>43237.73428240741</v>
      </c>
      <c r="C377" t="n">
        <v>5</v>
      </c>
      <c r="D377" t="n">
        <v>5</v>
      </c>
      <c r="E377" t="s">
        <v>388</v>
      </c>
      <c r="F377" t="s"/>
      <c r="G377" t="s"/>
      <c r="H377" t="s"/>
      <c r="I377" t="s"/>
      <c r="J377" t="n">
        <v>0.3182</v>
      </c>
      <c r="K377" t="n">
        <v>0</v>
      </c>
      <c r="L377" t="n">
        <v>0.635</v>
      </c>
      <c r="M377" t="n">
        <v>0.365</v>
      </c>
    </row>
    <row r="378" spans="1:13">
      <c r="A378" s="1">
        <f>HYPERLINK("http://www.twitter.com/NathanBLawrence/status/997167761175597056", "997167761175597056")</f>
        <v/>
      </c>
      <c r="B378" s="2" t="n">
        <v>43237.7302662037</v>
      </c>
      <c r="C378" t="n">
        <v>4</v>
      </c>
      <c r="D378" t="n">
        <v>0</v>
      </c>
      <c r="E378" t="s">
        <v>389</v>
      </c>
      <c r="F378" t="s"/>
      <c r="G378" t="s"/>
      <c r="H378" t="s"/>
      <c r="I378" t="s"/>
      <c r="J378" t="n">
        <v>0</v>
      </c>
      <c r="K378" t="n">
        <v>0</v>
      </c>
      <c r="L378" t="n">
        <v>1</v>
      </c>
      <c r="M378" t="n">
        <v>0</v>
      </c>
    </row>
    <row r="379" spans="1:13">
      <c r="A379" s="1">
        <f>HYPERLINK("http://www.twitter.com/NathanBLawrence/status/997166821538136064", "997166821538136064")</f>
        <v/>
      </c>
      <c r="B379" s="2" t="n">
        <v>43237.72767361111</v>
      </c>
      <c r="C379" t="n">
        <v>0</v>
      </c>
      <c r="D379" t="n">
        <v>56</v>
      </c>
      <c r="E379" t="s">
        <v>390</v>
      </c>
      <c r="F379" t="s"/>
      <c r="G379" t="s"/>
      <c r="H379" t="s"/>
      <c r="I379" t="s"/>
      <c r="J379" t="n">
        <v>-0.2023</v>
      </c>
      <c r="K379" t="n">
        <v>0.106</v>
      </c>
      <c r="L379" t="n">
        <v>0.8120000000000001</v>
      </c>
      <c r="M379" t="n">
        <v>0.081</v>
      </c>
    </row>
    <row r="380" spans="1:13">
      <c r="A380" s="1">
        <f>HYPERLINK("http://www.twitter.com/NathanBLawrence/status/997166812700782592", "997166812700782592")</f>
        <v/>
      </c>
      <c r="B380" s="2" t="n">
        <v>43237.72765046296</v>
      </c>
      <c r="C380" t="n">
        <v>14</v>
      </c>
      <c r="D380" t="n">
        <v>12</v>
      </c>
      <c r="E380" t="s">
        <v>391</v>
      </c>
      <c r="F380">
        <f>HYPERLINK("https://video.twimg.com/ext_tw_video/997166363079720961/pu/vid/1280x720/b-njKwnB2uooVwoN.mp4?tag=3", "https://video.twimg.com/ext_tw_video/997166363079720961/pu/vid/1280x720/b-njKwnB2uooVwoN.mp4?tag=3")</f>
        <v/>
      </c>
      <c r="G380" t="s"/>
      <c r="H380" t="s"/>
      <c r="I380" t="s"/>
      <c r="J380" t="n">
        <v>0.5106000000000001</v>
      </c>
      <c r="K380" t="n">
        <v>0</v>
      </c>
      <c r="L380" t="n">
        <v>0.829</v>
      </c>
      <c r="M380" t="n">
        <v>0.171</v>
      </c>
    </row>
    <row r="381" spans="1:13">
      <c r="A381" s="1">
        <f>HYPERLINK("http://www.twitter.com/NathanBLawrence/status/997166374052081664", "997166374052081664")</f>
        <v/>
      </c>
      <c r="B381" s="2" t="n">
        <v>43237.72643518518</v>
      </c>
      <c r="C381" t="n">
        <v>0</v>
      </c>
      <c r="D381" t="n">
        <v>3</v>
      </c>
      <c r="E381" t="s">
        <v>392</v>
      </c>
      <c r="F381">
        <f>HYPERLINK("http://pbs.twimg.com/media/DdakksJU8AAEVey.jpg", "http://pbs.twimg.com/media/DdakksJU8AAEVey.jpg")</f>
        <v/>
      </c>
      <c r="G381" t="s"/>
      <c r="H381" t="s"/>
      <c r="I381" t="s"/>
      <c r="J381" t="n">
        <v>0</v>
      </c>
      <c r="K381" t="n">
        <v>0</v>
      </c>
      <c r="L381" t="n">
        <v>1</v>
      </c>
      <c r="M381" t="n">
        <v>0</v>
      </c>
    </row>
    <row r="382" spans="1:13">
      <c r="A382" s="1">
        <f>HYPERLINK("http://www.twitter.com/NathanBLawrence/status/997163527424172032", "997163527424172032")</f>
        <v/>
      </c>
      <c r="B382" s="2" t="n">
        <v>43237.71857638889</v>
      </c>
      <c r="C382" t="n">
        <v>0</v>
      </c>
      <c r="D382" t="n">
        <v>1</v>
      </c>
      <c r="E382" t="s">
        <v>393</v>
      </c>
      <c r="F382">
        <f>HYPERLINK("http://pbs.twimg.com/media/DdSV8lOU8AA-3py.jpg", "http://pbs.twimg.com/media/DdSV8lOU8AA-3py.jpg")</f>
        <v/>
      </c>
      <c r="G382" t="s"/>
      <c r="H382" t="s"/>
      <c r="I382" t="s"/>
      <c r="J382" t="n">
        <v>0</v>
      </c>
      <c r="K382" t="n">
        <v>0</v>
      </c>
      <c r="L382" t="n">
        <v>1</v>
      </c>
      <c r="M382" t="n">
        <v>0</v>
      </c>
    </row>
    <row r="383" spans="1:13">
      <c r="A383" s="1">
        <f>HYPERLINK("http://www.twitter.com/NathanBLawrence/status/997163512156905474", "997163512156905474")</f>
        <v/>
      </c>
      <c r="B383" s="2" t="n">
        <v>43237.71854166667</v>
      </c>
      <c r="C383" t="n">
        <v>0</v>
      </c>
      <c r="D383" t="n">
        <v>2</v>
      </c>
      <c r="E383" t="s">
        <v>394</v>
      </c>
      <c r="F383">
        <f>HYPERLINK("http://pbs.twimg.com/media/DdSWVZiV4AEW0Jo.jpg", "http://pbs.twimg.com/media/DdSWVZiV4AEW0Jo.jpg")</f>
        <v/>
      </c>
      <c r="G383" t="s"/>
      <c r="H383" t="s"/>
      <c r="I383" t="s"/>
      <c r="J383" t="n">
        <v>0</v>
      </c>
      <c r="K383" t="n">
        <v>0</v>
      </c>
      <c r="L383" t="n">
        <v>1</v>
      </c>
      <c r="M383" t="n">
        <v>0</v>
      </c>
    </row>
    <row r="384" spans="1:13">
      <c r="A384" s="1">
        <f>HYPERLINK("http://www.twitter.com/NathanBLawrence/status/997163480334716929", "997163480334716929")</f>
        <v/>
      </c>
      <c r="B384" s="2" t="n">
        <v>43237.71844907408</v>
      </c>
      <c r="C384" t="n">
        <v>0</v>
      </c>
      <c r="D384" t="n">
        <v>2</v>
      </c>
      <c r="E384" t="s">
        <v>395</v>
      </c>
      <c r="F384">
        <f>HYPERLINK("http://pbs.twimg.com/media/DdNtBx-V4AE59QK.jpg", "http://pbs.twimg.com/media/DdNtBx-V4AE59QK.jpg")</f>
        <v/>
      </c>
      <c r="G384">
        <f>HYPERLINK("http://pbs.twimg.com/media/DdNtDRrU0AAEYbA.jpg", "http://pbs.twimg.com/media/DdNtDRrU0AAEYbA.jpg")</f>
        <v/>
      </c>
      <c r="H384">
        <f>HYPERLINK("http://pbs.twimg.com/media/DdNtEZ3VQAAhhge.jpg", "http://pbs.twimg.com/media/DdNtEZ3VQAAhhge.jpg")</f>
        <v/>
      </c>
      <c r="I384">
        <f>HYPERLINK("http://pbs.twimg.com/media/DdNtFXZV0AEfkk6.jpg", "http://pbs.twimg.com/media/DdNtFXZV0AEfkk6.jpg")</f>
        <v/>
      </c>
      <c r="J384" t="n">
        <v>0.6249</v>
      </c>
      <c r="K384" t="n">
        <v>0</v>
      </c>
      <c r="L384" t="n">
        <v>0.6830000000000001</v>
      </c>
      <c r="M384" t="n">
        <v>0.317</v>
      </c>
    </row>
    <row r="385" spans="1:13">
      <c r="A385" s="1">
        <f>HYPERLINK("http://www.twitter.com/NathanBLawrence/status/997163138297495552", "997163138297495552")</f>
        <v/>
      </c>
      <c r="B385" s="2" t="n">
        <v>43237.71751157408</v>
      </c>
      <c r="C385" t="n">
        <v>0</v>
      </c>
      <c r="D385" t="n">
        <v>3</v>
      </c>
      <c r="E385" t="s">
        <v>396</v>
      </c>
      <c r="F385">
        <f>HYPERLINK("http://pbs.twimg.com/media/DdafsX4U8AAJr_D.jpg", "http://pbs.twimg.com/media/DdafsX4U8AAJr_D.jpg")</f>
        <v/>
      </c>
      <c r="G385" t="s"/>
      <c r="H385" t="s"/>
      <c r="I385" t="s"/>
      <c r="J385" t="n">
        <v>0.3818</v>
      </c>
      <c r="K385" t="n">
        <v>0</v>
      </c>
      <c r="L385" t="n">
        <v>0.86</v>
      </c>
      <c r="M385" t="n">
        <v>0.14</v>
      </c>
    </row>
    <row r="386" spans="1:13">
      <c r="A386" s="1">
        <f>HYPERLINK("http://www.twitter.com/NathanBLawrence/status/997163096992075776", "997163096992075776")</f>
        <v/>
      </c>
      <c r="B386" s="2" t="n">
        <v>43237.71739583334</v>
      </c>
      <c r="C386" t="n">
        <v>0</v>
      </c>
      <c r="D386" t="n">
        <v>7</v>
      </c>
      <c r="E386" t="s">
        <v>397</v>
      </c>
      <c r="F386">
        <f>HYPERLINK("http://pbs.twimg.com/media/DdaftQKVAAAmB2u.jpg", "http://pbs.twimg.com/media/DdaftQKVAAAmB2u.jpg")</f>
        <v/>
      </c>
      <c r="G386" t="s"/>
      <c r="H386" t="s"/>
      <c r="I386" t="s"/>
      <c r="J386" t="n">
        <v>0</v>
      </c>
      <c r="K386" t="n">
        <v>0</v>
      </c>
      <c r="L386" t="n">
        <v>1</v>
      </c>
      <c r="M386" t="n">
        <v>0</v>
      </c>
    </row>
    <row r="387" spans="1:13">
      <c r="A387" s="1">
        <f>HYPERLINK("http://www.twitter.com/NathanBLawrence/status/997156611838836736", "997156611838836736")</f>
        <v/>
      </c>
      <c r="B387" s="2" t="n">
        <v>43237.69950231481</v>
      </c>
      <c r="C387" t="n">
        <v>4</v>
      </c>
      <c r="D387" t="n">
        <v>4</v>
      </c>
      <c r="E387" t="s">
        <v>398</v>
      </c>
      <c r="F387" t="s"/>
      <c r="G387" t="s"/>
      <c r="H387" t="s"/>
      <c r="I387" t="s"/>
      <c r="J387" t="n">
        <v>-0.6597</v>
      </c>
      <c r="K387" t="n">
        <v>0.241</v>
      </c>
      <c r="L387" t="n">
        <v>0.759</v>
      </c>
      <c r="M387" t="n">
        <v>0</v>
      </c>
    </row>
    <row r="388" spans="1:13">
      <c r="A388" s="1">
        <f>HYPERLINK("http://www.twitter.com/NathanBLawrence/status/997156200847478785", "997156200847478785")</f>
        <v/>
      </c>
      <c r="B388" s="2" t="n">
        <v>43237.69836805556</v>
      </c>
      <c r="C388" t="n">
        <v>0</v>
      </c>
      <c r="D388" t="n">
        <v>5</v>
      </c>
      <c r="E388" t="s">
        <v>399</v>
      </c>
      <c r="F388" t="s"/>
      <c r="G388" t="s"/>
      <c r="H388" t="s"/>
      <c r="I388" t="s"/>
      <c r="J388" t="n">
        <v>0.5558999999999999</v>
      </c>
      <c r="K388" t="n">
        <v>0</v>
      </c>
      <c r="L388" t="n">
        <v>0.834</v>
      </c>
      <c r="M388" t="n">
        <v>0.166</v>
      </c>
    </row>
    <row r="389" spans="1:13">
      <c r="A389" s="1">
        <f>HYPERLINK("http://www.twitter.com/NathanBLawrence/status/997155910685511680", "997155910685511680")</f>
        <v/>
      </c>
      <c r="B389" s="2" t="n">
        <v>43237.69756944444</v>
      </c>
      <c r="C389" t="n">
        <v>3</v>
      </c>
      <c r="D389" t="n">
        <v>0</v>
      </c>
      <c r="E389" t="s">
        <v>400</v>
      </c>
      <c r="F389" t="s"/>
      <c r="G389" t="s"/>
      <c r="H389" t="s"/>
      <c r="I389" t="s"/>
      <c r="J389" t="n">
        <v>0</v>
      </c>
      <c r="K389" t="n">
        <v>0</v>
      </c>
      <c r="L389" t="n">
        <v>1</v>
      </c>
      <c r="M389" t="n">
        <v>0</v>
      </c>
    </row>
    <row r="390" spans="1:13">
      <c r="A390" s="1">
        <f>HYPERLINK("http://www.twitter.com/NathanBLawrence/status/997155468228399104", "997155468228399104")</f>
        <v/>
      </c>
      <c r="B390" s="2" t="n">
        <v>43237.69634259259</v>
      </c>
      <c r="C390" t="n">
        <v>2</v>
      </c>
      <c r="D390" t="n">
        <v>1</v>
      </c>
      <c r="E390" t="s">
        <v>401</v>
      </c>
      <c r="F390" t="s"/>
      <c r="G390" t="s"/>
      <c r="H390" t="s"/>
      <c r="I390" t="s"/>
      <c r="J390" t="n">
        <v>0</v>
      </c>
      <c r="K390" t="n">
        <v>0</v>
      </c>
      <c r="L390" t="n">
        <v>1</v>
      </c>
      <c r="M390" t="n">
        <v>0</v>
      </c>
    </row>
    <row r="391" spans="1:13">
      <c r="A391" s="1">
        <f>HYPERLINK("http://www.twitter.com/NathanBLawrence/status/997155189726633986", "997155189726633986")</f>
        <v/>
      </c>
      <c r="B391" s="2" t="n">
        <v>43237.6955787037</v>
      </c>
      <c r="C391" t="n">
        <v>0</v>
      </c>
      <c r="D391" t="n">
        <v>335</v>
      </c>
      <c r="E391" t="s">
        <v>402</v>
      </c>
      <c r="F391" t="s"/>
      <c r="G391" t="s"/>
      <c r="H391" t="s"/>
      <c r="I391" t="s"/>
      <c r="J391" t="n">
        <v>0.6433</v>
      </c>
      <c r="K391" t="n">
        <v>0</v>
      </c>
      <c r="L391" t="n">
        <v>0.792</v>
      </c>
      <c r="M391" t="n">
        <v>0.208</v>
      </c>
    </row>
    <row r="392" spans="1:13">
      <c r="A392" s="1">
        <f>HYPERLINK("http://www.twitter.com/NathanBLawrence/status/997154929407135744", "997154929407135744")</f>
        <v/>
      </c>
      <c r="B392" s="2" t="n">
        <v>43237.69486111111</v>
      </c>
      <c r="C392" t="n">
        <v>0</v>
      </c>
      <c r="D392" t="n">
        <v>1</v>
      </c>
      <c r="E392" t="s">
        <v>403</v>
      </c>
      <c r="F392" t="s"/>
      <c r="G392" t="s"/>
      <c r="H392" t="s"/>
      <c r="I392" t="s"/>
      <c r="J392" t="n">
        <v>0.2263</v>
      </c>
      <c r="K392" t="n">
        <v>0</v>
      </c>
      <c r="L392" t="n">
        <v>0.9320000000000001</v>
      </c>
      <c r="M392" t="n">
        <v>0.068</v>
      </c>
    </row>
    <row r="393" spans="1:13">
      <c r="A393" s="1">
        <f>HYPERLINK("http://www.twitter.com/NathanBLawrence/status/997154680248684544", "997154680248684544")</f>
        <v/>
      </c>
      <c r="B393" s="2" t="n">
        <v>43237.69416666667</v>
      </c>
      <c r="C393" t="n">
        <v>0</v>
      </c>
      <c r="D393" t="n">
        <v>12</v>
      </c>
      <c r="E393" t="s">
        <v>404</v>
      </c>
      <c r="F393" t="s"/>
      <c r="G393" t="s"/>
      <c r="H393" t="s"/>
      <c r="I393" t="s"/>
      <c r="J393" t="n">
        <v>0.3182</v>
      </c>
      <c r="K393" t="n">
        <v>0</v>
      </c>
      <c r="L393" t="n">
        <v>0.827</v>
      </c>
      <c r="M393" t="n">
        <v>0.173</v>
      </c>
    </row>
    <row r="394" spans="1:13">
      <c r="A394" s="1">
        <f>HYPERLINK("http://www.twitter.com/NathanBLawrence/status/997154618609225728", "997154618609225728")</f>
        <v/>
      </c>
      <c r="B394" s="2" t="n">
        <v>43237.69399305555</v>
      </c>
      <c r="C394" t="n">
        <v>0</v>
      </c>
      <c r="D394" t="n">
        <v>1053</v>
      </c>
      <c r="E394" t="s">
        <v>405</v>
      </c>
      <c r="F394">
        <f>HYPERLINK("https://video.twimg.com/ext_tw_video/948993496337170432/pu/vid/1280x720/hO5MUMfmehHoIH5k.mp4", "https://video.twimg.com/ext_tw_video/948993496337170432/pu/vid/1280x720/hO5MUMfmehHoIH5k.mp4")</f>
        <v/>
      </c>
      <c r="G394" t="s"/>
      <c r="H394" t="s"/>
      <c r="I394" t="s"/>
      <c r="J394" t="n">
        <v>0</v>
      </c>
      <c r="K394" t="n">
        <v>0</v>
      </c>
      <c r="L394" t="n">
        <v>1</v>
      </c>
      <c r="M394" t="n">
        <v>0</v>
      </c>
    </row>
    <row r="395" spans="1:13">
      <c r="A395" s="1">
        <f>HYPERLINK("http://www.twitter.com/NathanBLawrence/status/997154226152321025", "997154226152321025")</f>
        <v/>
      </c>
      <c r="B395" s="2" t="n">
        <v>43237.69291666667</v>
      </c>
      <c r="C395" t="n">
        <v>0</v>
      </c>
      <c r="D395" t="n">
        <v>348</v>
      </c>
      <c r="E395" t="s">
        <v>406</v>
      </c>
      <c r="F395">
        <f>HYPERLINK("http://pbs.twimg.com/media/DdaX5HfWsAE88z-.jpg", "http://pbs.twimg.com/media/DdaX5HfWsAE88z-.jpg")</f>
        <v/>
      </c>
      <c r="G395" t="s"/>
      <c r="H395" t="s"/>
      <c r="I395" t="s"/>
      <c r="J395" t="n">
        <v>0.7215</v>
      </c>
      <c r="K395" t="n">
        <v>0</v>
      </c>
      <c r="L395" t="n">
        <v>0.79</v>
      </c>
      <c r="M395" t="n">
        <v>0.21</v>
      </c>
    </row>
    <row r="396" spans="1:13">
      <c r="A396" s="1">
        <f>HYPERLINK("http://www.twitter.com/NathanBLawrence/status/997153951555440640", "997153951555440640")</f>
        <v/>
      </c>
      <c r="B396" s="2" t="n">
        <v>43237.69215277778</v>
      </c>
      <c r="C396" t="n">
        <v>0</v>
      </c>
      <c r="D396" t="n">
        <v>2</v>
      </c>
      <c r="E396" t="s">
        <v>407</v>
      </c>
      <c r="F396">
        <f>HYPERLINK("http://pbs.twimg.com/media/DdaQG_BVMAEsQZW.jpg", "http://pbs.twimg.com/media/DdaQG_BVMAEsQZW.jpg")</f>
        <v/>
      </c>
      <c r="G396" t="s"/>
      <c r="H396" t="s"/>
      <c r="I396" t="s"/>
      <c r="J396" t="n">
        <v>0</v>
      </c>
      <c r="K396" t="n">
        <v>0</v>
      </c>
      <c r="L396" t="n">
        <v>1</v>
      </c>
      <c r="M396" t="n">
        <v>0</v>
      </c>
    </row>
    <row r="397" spans="1:13">
      <c r="A397" s="1">
        <f>HYPERLINK("http://www.twitter.com/NathanBLawrence/status/997153856860622849", "997153856860622849")</f>
        <v/>
      </c>
      <c r="B397" s="2" t="n">
        <v>43237.69189814815</v>
      </c>
      <c r="C397" t="n">
        <v>1</v>
      </c>
      <c r="D397" t="n">
        <v>1</v>
      </c>
      <c r="E397" t="s">
        <v>408</v>
      </c>
      <c r="F397" t="s"/>
      <c r="G397" t="s"/>
      <c r="H397" t="s"/>
      <c r="I397" t="s"/>
      <c r="J397" t="n">
        <v>0</v>
      </c>
      <c r="K397" t="n">
        <v>0</v>
      </c>
      <c r="L397" t="n">
        <v>1</v>
      </c>
      <c r="M397" t="n">
        <v>0</v>
      </c>
    </row>
    <row r="398" spans="1:13">
      <c r="A398" s="1">
        <f>HYPERLINK("http://www.twitter.com/NathanBLawrence/status/997151682906722304", "997151682906722304")</f>
        <v/>
      </c>
      <c r="B398" s="2" t="n">
        <v>43237.68590277778</v>
      </c>
      <c r="C398" t="n">
        <v>2</v>
      </c>
      <c r="D398" t="n">
        <v>3</v>
      </c>
      <c r="E398" t="s">
        <v>409</v>
      </c>
      <c r="F398" t="s"/>
      <c r="G398" t="s"/>
      <c r="H398" t="s"/>
      <c r="I398" t="s"/>
      <c r="J398" t="n">
        <v>0.2023</v>
      </c>
      <c r="K398" t="n">
        <v>0</v>
      </c>
      <c r="L398" t="n">
        <v>0.357</v>
      </c>
      <c r="M398" t="n">
        <v>0.643</v>
      </c>
    </row>
    <row r="399" spans="1:13">
      <c r="A399" s="1">
        <f>HYPERLINK("http://www.twitter.com/NathanBLawrence/status/997151014460493825", "997151014460493825")</f>
        <v/>
      </c>
      <c r="B399" s="2" t="n">
        <v>43237.68405092593</v>
      </c>
      <c r="C399" t="n">
        <v>0</v>
      </c>
      <c r="D399" t="n">
        <v>2</v>
      </c>
      <c r="E399" t="s">
        <v>410</v>
      </c>
      <c r="F399" t="s"/>
      <c r="G399" t="s"/>
      <c r="H399" t="s"/>
      <c r="I399" t="s"/>
      <c r="J399" t="n">
        <v>0</v>
      </c>
      <c r="K399" t="n">
        <v>0</v>
      </c>
      <c r="L399" t="n">
        <v>1</v>
      </c>
      <c r="M399" t="n">
        <v>0</v>
      </c>
    </row>
    <row r="400" spans="1:13">
      <c r="A400" s="1">
        <f>HYPERLINK("http://www.twitter.com/NathanBLawrence/status/997150948899377152", "997150948899377152")</f>
        <v/>
      </c>
      <c r="B400" s="2" t="n">
        <v>43237.68387731481</v>
      </c>
      <c r="C400" t="n">
        <v>0</v>
      </c>
      <c r="D400" t="n">
        <v>0</v>
      </c>
      <c r="E400" t="s">
        <v>411</v>
      </c>
      <c r="F400" t="s"/>
      <c r="G400" t="s"/>
      <c r="H400" t="s"/>
      <c r="I400" t="s"/>
      <c r="J400" t="n">
        <v>0</v>
      </c>
      <c r="K400" t="n">
        <v>0</v>
      </c>
      <c r="L400" t="n">
        <v>1</v>
      </c>
      <c r="M400" t="n">
        <v>0</v>
      </c>
    </row>
    <row r="401" spans="1:13">
      <c r="A401" s="1">
        <f>HYPERLINK("http://www.twitter.com/NathanBLawrence/status/997150896743157761", "997150896743157761")</f>
        <v/>
      </c>
      <c r="B401" s="2" t="n">
        <v>43237.68372685185</v>
      </c>
      <c r="C401" t="n">
        <v>0</v>
      </c>
      <c r="D401" t="n">
        <v>0</v>
      </c>
      <c r="E401" t="s">
        <v>412</v>
      </c>
      <c r="F401" t="s"/>
      <c r="G401" t="s"/>
      <c r="H401" t="s"/>
      <c r="I401" t="s"/>
      <c r="J401" t="n">
        <v>-0.5106000000000001</v>
      </c>
      <c r="K401" t="n">
        <v>0.148</v>
      </c>
      <c r="L401" t="n">
        <v>0.786</v>
      </c>
      <c r="M401" t="n">
        <v>0.066</v>
      </c>
    </row>
    <row r="402" spans="1:13">
      <c r="A402" s="1">
        <f>HYPERLINK("http://www.twitter.com/NathanBLawrence/status/997150015738040322", "997150015738040322")</f>
        <v/>
      </c>
      <c r="B402" s="2" t="n">
        <v>43237.68129629629</v>
      </c>
      <c r="C402" t="n">
        <v>1</v>
      </c>
      <c r="D402" t="n">
        <v>0</v>
      </c>
      <c r="E402" t="s">
        <v>413</v>
      </c>
      <c r="F402" t="s"/>
      <c r="G402" t="s"/>
      <c r="H402" t="s"/>
      <c r="I402" t="s"/>
      <c r="J402" t="n">
        <v>-0.5574</v>
      </c>
      <c r="K402" t="n">
        <v>0.1</v>
      </c>
      <c r="L402" t="n">
        <v>0.876</v>
      </c>
      <c r="M402" t="n">
        <v>0.024</v>
      </c>
    </row>
    <row r="403" spans="1:13">
      <c r="A403" s="1">
        <f>HYPERLINK("http://www.twitter.com/NathanBLawrence/status/997146852167507970", "997146852167507970")</f>
        <v/>
      </c>
      <c r="B403" s="2" t="n">
        <v>43237.67256944445</v>
      </c>
      <c r="C403" t="n">
        <v>4</v>
      </c>
      <c r="D403" t="n">
        <v>1</v>
      </c>
      <c r="E403" t="s">
        <v>414</v>
      </c>
      <c r="F403" t="s"/>
      <c r="G403" t="s"/>
      <c r="H403" t="s"/>
      <c r="I403" t="s"/>
      <c r="J403" t="n">
        <v>0</v>
      </c>
      <c r="K403" t="n">
        <v>0</v>
      </c>
      <c r="L403" t="n">
        <v>1</v>
      </c>
      <c r="M403" t="n">
        <v>0</v>
      </c>
    </row>
    <row r="404" spans="1:13">
      <c r="A404" s="1">
        <f>HYPERLINK("http://www.twitter.com/NathanBLawrence/status/997145898340831232", "997145898340831232")</f>
        <v/>
      </c>
      <c r="B404" s="2" t="n">
        <v>43237.66993055555</v>
      </c>
      <c r="C404" t="n">
        <v>0</v>
      </c>
      <c r="D404" t="n">
        <v>0</v>
      </c>
      <c r="E404" t="s">
        <v>415</v>
      </c>
      <c r="F404" t="s"/>
      <c r="G404" t="s"/>
      <c r="H404" t="s"/>
      <c r="I404" t="s"/>
      <c r="J404" t="n">
        <v>0.5994</v>
      </c>
      <c r="K404" t="n">
        <v>0</v>
      </c>
      <c r="L404" t="n">
        <v>0.672</v>
      </c>
      <c r="M404" t="n">
        <v>0.328</v>
      </c>
    </row>
    <row r="405" spans="1:13">
      <c r="A405" s="1">
        <f>HYPERLINK("http://www.twitter.com/NathanBLawrence/status/997144660429635585", "997144660429635585")</f>
        <v/>
      </c>
      <c r="B405" s="2" t="n">
        <v>43237.6665162037</v>
      </c>
      <c r="C405" t="n">
        <v>0</v>
      </c>
      <c r="D405" t="n">
        <v>141</v>
      </c>
      <c r="E405" t="s">
        <v>416</v>
      </c>
      <c r="F405" t="s"/>
      <c r="G405" t="s"/>
      <c r="H405" t="s"/>
      <c r="I405" t="s"/>
      <c r="J405" t="n">
        <v>0</v>
      </c>
      <c r="K405" t="n">
        <v>0</v>
      </c>
      <c r="L405" t="n">
        <v>1</v>
      </c>
      <c r="M405" t="n">
        <v>0</v>
      </c>
    </row>
    <row r="406" spans="1:13">
      <c r="A406" s="1">
        <f>HYPERLINK("http://www.twitter.com/NathanBLawrence/status/997144049957163008", "997144049957163008")</f>
        <v/>
      </c>
      <c r="B406" s="2" t="n">
        <v>43237.66483796296</v>
      </c>
      <c r="C406" t="n">
        <v>1</v>
      </c>
      <c r="D406" t="n">
        <v>0</v>
      </c>
      <c r="E406" t="s">
        <v>417</v>
      </c>
      <c r="F406" t="s"/>
      <c r="G406" t="s"/>
      <c r="H406" t="s"/>
      <c r="I406" t="s"/>
      <c r="J406" t="n">
        <v>0.0258</v>
      </c>
      <c r="K406" t="n">
        <v>0</v>
      </c>
      <c r="L406" t="n">
        <v>0.901</v>
      </c>
      <c r="M406" t="n">
        <v>0.099</v>
      </c>
    </row>
    <row r="407" spans="1:13">
      <c r="A407" s="1">
        <f>HYPERLINK("http://www.twitter.com/NathanBLawrence/status/997143762806636544", "997143762806636544")</f>
        <v/>
      </c>
      <c r="B407" s="2" t="n">
        <v>43237.66403935185</v>
      </c>
      <c r="C407" t="n">
        <v>1</v>
      </c>
      <c r="D407" t="n">
        <v>0</v>
      </c>
      <c r="E407" t="s">
        <v>418</v>
      </c>
      <c r="F407" t="s"/>
      <c r="G407" t="s"/>
      <c r="H407" t="s"/>
      <c r="I407" t="s"/>
      <c r="J407" t="n">
        <v>0.4019</v>
      </c>
      <c r="K407" t="n">
        <v>0</v>
      </c>
      <c r="L407" t="n">
        <v>0.891</v>
      </c>
      <c r="M407" t="n">
        <v>0.109</v>
      </c>
    </row>
    <row r="408" spans="1:13">
      <c r="A408" s="1">
        <f>HYPERLINK("http://www.twitter.com/NathanBLawrence/status/997143164908535808", "997143164908535808")</f>
        <v/>
      </c>
      <c r="B408" s="2" t="n">
        <v>43237.66239583334</v>
      </c>
      <c r="C408" t="n">
        <v>9</v>
      </c>
      <c r="D408" t="n">
        <v>9</v>
      </c>
      <c r="E408" t="s">
        <v>419</v>
      </c>
      <c r="F408">
        <f>HYPERLINK("http://pbs.twimg.com/media/DdaQa9zV0AAwdzg.jpg", "http://pbs.twimg.com/media/DdaQa9zV0AAwdzg.jpg")</f>
        <v/>
      </c>
      <c r="G408" t="s"/>
      <c r="H408" t="s"/>
      <c r="I408" t="s"/>
      <c r="J408" t="n">
        <v>0</v>
      </c>
      <c r="K408" t="n">
        <v>0</v>
      </c>
      <c r="L408" t="n">
        <v>1</v>
      </c>
      <c r="M408" t="n">
        <v>0</v>
      </c>
    </row>
    <row r="409" spans="1:13">
      <c r="A409" s="1">
        <f>HYPERLINK("http://www.twitter.com/NathanBLawrence/status/997142819700699136", "997142819700699136")</f>
        <v/>
      </c>
      <c r="B409" s="2" t="n">
        <v>43237.66143518518</v>
      </c>
      <c r="C409" t="n">
        <v>1</v>
      </c>
      <c r="D409" t="n">
        <v>2</v>
      </c>
      <c r="E409" t="s">
        <v>420</v>
      </c>
      <c r="F409">
        <f>HYPERLINK("http://pbs.twimg.com/media/DdaQG_BVMAEsQZW.jpg", "http://pbs.twimg.com/media/DdaQG_BVMAEsQZW.jpg")</f>
        <v/>
      </c>
      <c r="G409" t="s"/>
      <c r="H409" t="s"/>
      <c r="I409" t="s"/>
      <c r="J409" t="n">
        <v>0</v>
      </c>
      <c r="K409" t="n">
        <v>0</v>
      </c>
      <c r="L409" t="n">
        <v>1</v>
      </c>
      <c r="M409" t="n">
        <v>0</v>
      </c>
    </row>
    <row r="410" spans="1:13">
      <c r="A410" s="1">
        <f>HYPERLINK("http://www.twitter.com/NathanBLawrence/status/997142483715936256", "997142483715936256")</f>
        <v/>
      </c>
      <c r="B410" s="2" t="n">
        <v>43237.66050925926</v>
      </c>
      <c r="C410" t="n">
        <v>0</v>
      </c>
      <c r="D410" t="n">
        <v>2</v>
      </c>
      <c r="E410" t="s">
        <v>421</v>
      </c>
      <c r="F410" t="s"/>
      <c r="G410" t="s"/>
      <c r="H410" t="s"/>
      <c r="I410" t="s"/>
      <c r="J410" t="n">
        <v>-0.7096</v>
      </c>
      <c r="K410" t="n">
        <v>0.262</v>
      </c>
      <c r="L410" t="n">
        <v>0.655</v>
      </c>
      <c r="M410" t="n">
        <v>0.08400000000000001</v>
      </c>
    </row>
    <row r="411" spans="1:13">
      <c r="A411" s="1">
        <f>HYPERLINK("http://www.twitter.com/NathanBLawrence/status/997141325328855040", "997141325328855040")</f>
        <v/>
      </c>
      <c r="B411" s="2" t="n">
        <v>43237.65731481482</v>
      </c>
      <c r="C411" t="n">
        <v>12</v>
      </c>
      <c r="D411" t="n">
        <v>11</v>
      </c>
      <c r="E411" t="s">
        <v>422</v>
      </c>
      <c r="F411">
        <f>HYPERLINK("https://video.twimg.com/ext_tw_video/997141255518806019/pu/vid/240x240/IM_xbdj759v9XKbM.mp4?tag=3", "https://video.twimg.com/ext_tw_video/997141255518806019/pu/vid/240x240/IM_xbdj759v9XKbM.mp4?tag=3")</f>
        <v/>
      </c>
      <c r="G411" t="s"/>
      <c r="H411" t="s"/>
      <c r="I411" t="s"/>
      <c r="J411" t="n">
        <v>0.4767</v>
      </c>
      <c r="K411" t="n">
        <v>0.182</v>
      </c>
      <c r="L411" t="n">
        <v>0.543</v>
      </c>
      <c r="M411" t="n">
        <v>0.275</v>
      </c>
    </row>
    <row r="412" spans="1:13">
      <c r="A412" s="1">
        <f>HYPERLINK("http://www.twitter.com/NathanBLawrence/status/997138453614792707", "997138453614792707")</f>
        <v/>
      </c>
      <c r="B412" s="2" t="n">
        <v>43237.64938657408</v>
      </c>
      <c r="C412" t="n">
        <v>3</v>
      </c>
      <c r="D412" t="n">
        <v>3</v>
      </c>
      <c r="E412" t="s">
        <v>423</v>
      </c>
      <c r="F412">
        <f>HYPERLINK("https://video.twimg.com/ext_tw_video/997138361369280512/pu/vid/240x240/59ezkSePhfaShaIa.mp4?tag=3", "https://video.twimg.com/ext_tw_video/997138361369280512/pu/vid/240x240/59ezkSePhfaShaIa.mp4?tag=3")</f>
        <v/>
      </c>
      <c r="G412" t="s"/>
      <c r="H412" t="s"/>
      <c r="I412" t="s"/>
      <c r="J412" t="n">
        <v>0.4404</v>
      </c>
      <c r="K412" t="n">
        <v>0</v>
      </c>
      <c r="L412" t="n">
        <v>0.734</v>
      </c>
      <c r="M412" t="n">
        <v>0.266</v>
      </c>
    </row>
    <row r="413" spans="1:13">
      <c r="A413" s="1">
        <f>HYPERLINK("http://www.twitter.com/NathanBLawrence/status/997136381188214784", "997136381188214784")</f>
        <v/>
      </c>
      <c r="B413" s="2" t="n">
        <v>43237.64366898148</v>
      </c>
      <c r="C413" t="n">
        <v>0</v>
      </c>
      <c r="D413" t="n">
        <v>4</v>
      </c>
      <c r="E413" t="s">
        <v>424</v>
      </c>
      <c r="F413">
        <f>HYPERLINK("http://pbs.twimg.com/media/DdZqItPU0AA8bkq.jpg", "http://pbs.twimg.com/media/DdZqItPU0AA8bkq.jpg")</f>
        <v/>
      </c>
      <c r="G413" t="s"/>
      <c r="H413" t="s"/>
      <c r="I413" t="s"/>
      <c r="J413" t="n">
        <v>0</v>
      </c>
      <c r="K413" t="n">
        <v>0</v>
      </c>
      <c r="L413" t="n">
        <v>1</v>
      </c>
      <c r="M413" t="n">
        <v>0</v>
      </c>
    </row>
    <row r="414" spans="1:13">
      <c r="A414" s="1">
        <f>HYPERLINK("http://www.twitter.com/NathanBLawrence/status/997136341405175815", "997136341405175815")</f>
        <v/>
      </c>
      <c r="B414" s="2" t="n">
        <v>43237.64356481482</v>
      </c>
      <c r="C414" t="n">
        <v>0</v>
      </c>
      <c r="D414" t="n">
        <v>6</v>
      </c>
      <c r="E414" t="s">
        <v>425</v>
      </c>
      <c r="F414">
        <f>HYPERLINK("http://pbs.twimg.com/media/DdZuHCVWsAALXvf.jpg", "http://pbs.twimg.com/media/DdZuHCVWsAALXvf.jpg")</f>
        <v/>
      </c>
      <c r="G414" t="s"/>
      <c r="H414" t="s"/>
      <c r="I414" t="s"/>
      <c r="J414" t="n">
        <v>-0.4215</v>
      </c>
      <c r="K414" t="n">
        <v>0.177</v>
      </c>
      <c r="L414" t="n">
        <v>0.823</v>
      </c>
      <c r="M414" t="n">
        <v>0</v>
      </c>
    </row>
    <row r="415" spans="1:13">
      <c r="A415" s="1">
        <f>HYPERLINK("http://www.twitter.com/NathanBLawrence/status/997136295649579008", "997136295649579008")</f>
        <v/>
      </c>
      <c r="B415" s="2" t="n">
        <v>43237.6434375</v>
      </c>
      <c r="C415" t="n">
        <v>0</v>
      </c>
      <c r="D415" t="n">
        <v>10</v>
      </c>
      <c r="E415" t="s">
        <v>426</v>
      </c>
      <c r="F415" t="s"/>
      <c r="G415" t="s"/>
      <c r="H415" t="s"/>
      <c r="I415" t="s"/>
      <c r="J415" t="n">
        <v>0</v>
      </c>
      <c r="K415" t="n">
        <v>0</v>
      </c>
      <c r="L415" t="n">
        <v>1</v>
      </c>
      <c r="M415" t="n">
        <v>0</v>
      </c>
    </row>
    <row r="416" spans="1:13">
      <c r="A416" s="1">
        <f>HYPERLINK("http://www.twitter.com/NathanBLawrence/status/997135972692299776", "997135972692299776")</f>
        <v/>
      </c>
      <c r="B416" s="2" t="n">
        <v>43237.64254629629</v>
      </c>
      <c r="C416" t="n">
        <v>0</v>
      </c>
      <c r="D416" t="n">
        <v>6775</v>
      </c>
      <c r="E416" t="s">
        <v>427</v>
      </c>
      <c r="F416" t="s"/>
      <c r="G416" t="s"/>
      <c r="H416" t="s"/>
      <c r="I416" t="s"/>
      <c r="J416" t="n">
        <v>-0.5266999999999999</v>
      </c>
      <c r="K416" t="n">
        <v>0.221</v>
      </c>
      <c r="L416" t="n">
        <v>0.671</v>
      </c>
      <c r="M416" t="n">
        <v>0.107</v>
      </c>
    </row>
    <row r="417" spans="1:13">
      <c r="A417" s="1">
        <f>HYPERLINK("http://www.twitter.com/NathanBLawrence/status/997135755423121408", "997135755423121408")</f>
        <v/>
      </c>
      <c r="B417" s="2" t="n">
        <v>43237.64194444445</v>
      </c>
      <c r="C417" t="n">
        <v>0</v>
      </c>
      <c r="D417" t="n">
        <v>2</v>
      </c>
      <c r="E417" t="s">
        <v>428</v>
      </c>
      <c r="F417">
        <f>HYPERLINK("http://pbs.twimg.com/media/DdaJSeQX4AAVaEc.jpg", "http://pbs.twimg.com/media/DdaJSeQX4AAVaEc.jpg")</f>
        <v/>
      </c>
      <c r="G417" t="s"/>
      <c r="H417" t="s"/>
      <c r="I417" t="s"/>
      <c r="J417" t="n">
        <v>0</v>
      </c>
      <c r="K417" t="n">
        <v>0</v>
      </c>
      <c r="L417" t="n">
        <v>1</v>
      </c>
      <c r="M417" t="n">
        <v>0</v>
      </c>
    </row>
    <row r="418" spans="1:13">
      <c r="A418" s="1">
        <f>HYPERLINK("http://www.twitter.com/NathanBLawrence/status/997135514531753984", "997135514531753984")</f>
        <v/>
      </c>
      <c r="B418" s="2" t="n">
        <v>43237.64128472222</v>
      </c>
      <c r="C418" t="n">
        <v>0</v>
      </c>
      <c r="D418" t="n">
        <v>0</v>
      </c>
      <c r="E418" t="s">
        <v>429</v>
      </c>
      <c r="F418" t="s"/>
      <c r="G418" t="s"/>
      <c r="H418" t="s"/>
      <c r="I418" t="s"/>
      <c r="J418" t="n">
        <v>0.4817</v>
      </c>
      <c r="K418" t="n">
        <v>0</v>
      </c>
      <c r="L418" t="n">
        <v>0.836</v>
      </c>
      <c r="M418" t="n">
        <v>0.164</v>
      </c>
    </row>
    <row r="419" spans="1:13">
      <c r="A419" s="1">
        <f>HYPERLINK("http://www.twitter.com/NathanBLawrence/status/997134037331345408", "997134037331345408")</f>
        <v/>
      </c>
      <c r="B419" s="2" t="n">
        <v>43237.63721064815</v>
      </c>
      <c r="C419" t="n">
        <v>0</v>
      </c>
      <c r="D419" t="n">
        <v>0</v>
      </c>
      <c r="E419" t="s">
        <v>430</v>
      </c>
      <c r="F419" t="s"/>
      <c r="G419" t="s"/>
      <c r="H419" t="s"/>
      <c r="I419" t="s"/>
      <c r="J419" t="n">
        <v>0.2235</v>
      </c>
      <c r="K419" t="n">
        <v>0</v>
      </c>
      <c r="L419" t="n">
        <v>0.827</v>
      </c>
      <c r="M419" t="n">
        <v>0.173</v>
      </c>
    </row>
    <row r="420" spans="1:13">
      <c r="A420" s="1">
        <f>HYPERLINK("http://www.twitter.com/NathanBLawrence/status/997133526016430081", "997133526016430081")</f>
        <v/>
      </c>
      <c r="B420" s="2" t="n">
        <v>43237.63579861111</v>
      </c>
      <c r="C420" t="n">
        <v>0</v>
      </c>
      <c r="D420" t="n">
        <v>13</v>
      </c>
      <c r="E420" t="s">
        <v>431</v>
      </c>
      <c r="F420" t="s"/>
      <c r="G420" t="s"/>
      <c r="H420" t="s"/>
      <c r="I420" t="s"/>
      <c r="J420" t="n">
        <v>0</v>
      </c>
      <c r="K420" t="n">
        <v>0</v>
      </c>
      <c r="L420" t="n">
        <v>1</v>
      </c>
      <c r="M420" t="n">
        <v>0</v>
      </c>
    </row>
    <row r="421" spans="1:13">
      <c r="A421" s="1">
        <f>HYPERLINK("http://www.twitter.com/NathanBLawrence/status/997133425004904448", "997133425004904448")</f>
        <v/>
      </c>
      <c r="B421" s="2" t="n">
        <v>43237.63552083333</v>
      </c>
      <c r="C421" t="n">
        <v>0</v>
      </c>
      <c r="D421" t="n">
        <v>2</v>
      </c>
      <c r="E421" t="s">
        <v>432</v>
      </c>
      <c r="F421" t="s"/>
      <c r="G421" t="s"/>
      <c r="H421" t="s"/>
      <c r="I421" t="s"/>
      <c r="J421" t="n">
        <v>0.6166</v>
      </c>
      <c r="K421" t="n">
        <v>0</v>
      </c>
      <c r="L421" t="n">
        <v>0.634</v>
      </c>
      <c r="M421" t="n">
        <v>0.366</v>
      </c>
    </row>
    <row r="422" spans="1:13">
      <c r="A422" s="1">
        <f>HYPERLINK("http://www.twitter.com/NathanBLawrence/status/997133383938519040", "997133383938519040")</f>
        <v/>
      </c>
      <c r="B422" s="2" t="n">
        <v>43237.63540509259</v>
      </c>
      <c r="C422" t="n">
        <v>0</v>
      </c>
      <c r="D422" t="n">
        <v>0</v>
      </c>
      <c r="E422" t="s">
        <v>433</v>
      </c>
      <c r="F422" t="s"/>
      <c r="G422" t="s"/>
      <c r="H422" t="s"/>
      <c r="I422" t="s"/>
      <c r="J422" t="n">
        <v>0</v>
      </c>
      <c r="K422" t="n">
        <v>0</v>
      </c>
      <c r="L422" t="n">
        <v>1</v>
      </c>
      <c r="M422" t="n">
        <v>0</v>
      </c>
    </row>
    <row r="423" spans="1:13">
      <c r="A423" s="1">
        <f>HYPERLINK("http://www.twitter.com/NathanBLawrence/status/997133224659865600", "997133224659865600")</f>
        <v/>
      </c>
      <c r="B423" s="2" t="n">
        <v>43237.63496527778</v>
      </c>
      <c r="C423" t="n">
        <v>0</v>
      </c>
      <c r="D423" t="n">
        <v>4</v>
      </c>
      <c r="E423" t="s">
        <v>434</v>
      </c>
      <c r="F423" t="s"/>
      <c r="G423" t="s"/>
      <c r="H423" t="s"/>
      <c r="I423" t="s"/>
      <c r="J423" t="n">
        <v>0.7506</v>
      </c>
      <c r="K423" t="n">
        <v>0</v>
      </c>
      <c r="L423" t="n">
        <v>0.701</v>
      </c>
      <c r="M423" t="n">
        <v>0.299</v>
      </c>
    </row>
    <row r="424" spans="1:13">
      <c r="A424" s="1">
        <f>HYPERLINK("http://www.twitter.com/NathanBLawrence/status/997133164622548992", "997133164622548992")</f>
        <v/>
      </c>
      <c r="B424" s="2" t="n">
        <v>43237.63479166666</v>
      </c>
      <c r="C424" t="n">
        <v>0</v>
      </c>
      <c r="D424" t="n">
        <v>0</v>
      </c>
      <c r="E424" t="s">
        <v>435</v>
      </c>
      <c r="F424">
        <f>HYPERLINK("https://video.twimg.com/ext_tw_video/997133103427538944/pu/vid/240x240/k4W3QLvY_lALHMPs.mp4?tag=3", "https://video.twimg.com/ext_tw_video/997133103427538944/pu/vid/240x240/k4W3QLvY_lALHMPs.mp4?tag=3")</f>
        <v/>
      </c>
      <c r="G424" t="s"/>
      <c r="H424" t="s"/>
      <c r="I424" t="s"/>
      <c r="J424" t="n">
        <v>-0.6486</v>
      </c>
      <c r="K424" t="n">
        <v>0.29</v>
      </c>
      <c r="L424" t="n">
        <v>0.71</v>
      </c>
      <c r="M424" t="n">
        <v>0</v>
      </c>
    </row>
    <row r="425" spans="1:13">
      <c r="A425" s="1">
        <f>HYPERLINK("http://www.twitter.com/NathanBLawrence/status/997133141348421632", "997133141348421632")</f>
        <v/>
      </c>
      <c r="B425" s="2" t="n">
        <v>43237.63473379629</v>
      </c>
      <c r="C425" t="n">
        <v>0</v>
      </c>
      <c r="D425" t="n">
        <v>11</v>
      </c>
      <c r="E425" t="s">
        <v>436</v>
      </c>
      <c r="F425">
        <f>HYPERLINK("http://pbs.twimg.com/media/DdaHAnIVAAAxksA.jpg", "http://pbs.twimg.com/media/DdaHAnIVAAAxksA.jpg")</f>
        <v/>
      </c>
      <c r="G425" t="s"/>
      <c r="H425" t="s"/>
      <c r="I425" t="s"/>
      <c r="J425" t="n">
        <v>0</v>
      </c>
      <c r="K425" t="n">
        <v>0</v>
      </c>
      <c r="L425" t="n">
        <v>1</v>
      </c>
      <c r="M425" t="n">
        <v>0</v>
      </c>
    </row>
    <row r="426" spans="1:13">
      <c r="A426" s="1">
        <f>HYPERLINK("http://www.twitter.com/NathanBLawrence/status/997132537829974016", "997132537829974016")</f>
        <v/>
      </c>
      <c r="B426" s="2" t="n">
        <v>43237.63306712963</v>
      </c>
      <c r="C426" t="n">
        <v>0</v>
      </c>
      <c r="D426" t="n">
        <v>1</v>
      </c>
      <c r="E426" t="s">
        <v>437</v>
      </c>
      <c r="F426" t="s"/>
      <c r="G426" t="s"/>
      <c r="H426" t="s"/>
      <c r="I426" t="s"/>
      <c r="J426" t="n">
        <v>0.7184</v>
      </c>
      <c r="K426" t="n">
        <v>0</v>
      </c>
      <c r="L426" t="n">
        <v>0.76</v>
      </c>
      <c r="M426" t="n">
        <v>0.24</v>
      </c>
    </row>
    <row r="427" spans="1:13">
      <c r="A427" s="1">
        <f>HYPERLINK("http://www.twitter.com/NathanBLawrence/status/997132311383724034", "997132311383724034")</f>
        <v/>
      </c>
      <c r="B427" s="2" t="n">
        <v>43237.63244212963</v>
      </c>
      <c r="C427" t="n">
        <v>0</v>
      </c>
      <c r="D427" t="n">
        <v>2</v>
      </c>
      <c r="E427" t="s">
        <v>438</v>
      </c>
      <c r="F427" t="s"/>
      <c r="G427" t="s"/>
      <c r="H427" t="s"/>
      <c r="I427" t="s"/>
      <c r="J427" t="n">
        <v>0</v>
      </c>
      <c r="K427" t="n">
        <v>0</v>
      </c>
      <c r="L427" t="n">
        <v>1</v>
      </c>
      <c r="M427" t="n">
        <v>0</v>
      </c>
    </row>
    <row r="428" spans="1:13">
      <c r="A428" s="1">
        <f>HYPERLINK("http://www.twitter.com/NathanBLawrence/status/997131764178046976", "997131764178046976")</f>
        <v/>
      </c>
      <c r="B428" s="2" t="n">
        <v>43237.6309375</v>
      </c>
      <c r="C428" t="n">
        <v>0</v>
      </c>
      <c r="D428" t="n">
        <v>20</v>
      </c>
      <c r="E428" t="s">
        <v>439</v>
      </c>
      <c r="F428">
        <f>HYPERLINK("http://pbs.twimg.com/media/DdaE4zcU8AA-PJP.png", "http://pbs.twimg.com/media/DdaE4zcU8AA-PJP.png")</f>
        <v/>
      </c>
      <c r="G428" t="s"/>
      <c r="H428" t="s"/>
      <c r="I428" t="s"/>
      <c r="J428" t="n">
        <v>0.4878</v>
      </c>
      <c r="K428" t="n">
        <v>0.075</v>
      </c>
      <c r="L428" t="n">
        <v>0.734</v>
      </c>
      <c r="M428" t="n">
        <v>0.191</v>
      </c>
    </row>
    <row r="429" spans="1:13">
      <c r="A429" s="1">
        <f>HYPERLINK("http://www.twitter.com/NathanBLawrence/status/997131400083058688", "997131400083058688")</f>
        <v/>
      </c>
      <c r="B429" s="2" t="n">
        <v>43237.62993055556</v>
      </c>
      <c r="C429" t="n">
        <v>0</v>
      </c>
      <c r="D429" t="n">
        <v>0</v>
      </c>
      <c r="E429" t="s">
        <v>440</v>
      </c>
      <c r="F429" t="s"/>
      <c r="G429" t="s"/>
      <c r="H429" t="s"/>
      <c r="I429" t="s"/>
      <c r="J429" t="n">
        <v>-0.8113</v>
      </c>
      <c r="K429" t="n">
        <v>0.175</v>
      </c>
      <c r="L429" t="n">
        <v>0.776</v>
      </c>
      <c r="M429" t="n">
        <v>0.049</v>
      </c>
    </row>
    <row r="430" spans="1:13">
      <c r="A430" s="1">
        <f>HYPERLINK("http://www.twitter.com/NathanBLawrence/status/997130488191078400", "997130488191078400")</f>
        <v/>
      </c>
      <c r="B430" s="2" t="n">
        <v>43237.62740740741</v>
      </c>
      <c r="C430" t="n">
        <v>23</v>
      </c>
      <c r="D430" t="n">
        <v>20</v>
      </c>
      <c r="E430" t="s">
        <v>441</v>
      </c>
      <c r="F430">
        <f>HYPERLINK("http://pbs.twimg.com/media/DdaE4zcU8AA-PJP.png", "http://pbs.twimg.com/media/DdaE4zcU8AA-PJP.png")</f>
        <v/>
      </c>
      <c r="G430" t="s"/>
      <c r="H430" t="s"/>
      <c r="I430" t="s"/>
      <c r="J430" t="n">
        <v>0.7063</v>
      </c>
      <c r="K430" t="n">
        <v>0.073</v>
      </c>
      <c r="L430" t="n">
        <v>0.754</v>
      </c>
      <c r="M430" t="n">
        <v>0.173</v>
      </c>
    </row>
    <row r="431" spans="1:13">
      <c r="A431" s="1">
        <f>HYPERLINK("http://www.twitter.com/NathanBLawrence/status/997127349987631109", "997127349987631109")</f>
        <v/>
      </c>
      <c r="B431" s="2" t="n">
        <v>43237.61875</v>
      </c>
      <c r="C431" t="n">
        <v>0</v>
      </c>
      <c r="D431" t="n">
        <v>3</v>
      </c>
      <c r="E431" t="s">
        <v>442</v>
      </c>
      <c r="F431" t="s"/>
      <c r="G431" t="s"/>
      <c r="H431" t="s"/>
      <c r="I431" t="s"/>
      <c r="J431" t="n">
        <v>0.6083</v>
      </c>
      <c r="K431" t="n">
        <v>0</v>
      </c>
      <c r="L431" t="n">
        <v>0.779</v>
      </c>
      <c r="M431" t="n">
        <v>0.221</v>
      </c>
    </row>
    <row r="432" spans="1:13">
      <c r="A432" s="1">
        <f>HYPERLINK("http://www.twitter.com/NathanBLawrence/status/997127295214276608", "997127295214276608")</f>
        <v/>
      </c>
      <c r="B432" s="2" t="n">
        <v>43237.61859953704</v>
      </c>
      <c r="C432" t="n">
        <v>0</v>
      </c>
      <c r="D432" t="n">
        <v>1</v>
      </c>
      <c r="E432" t="s">
        <v>443</v>
      </c>
      <c r="F432" t="s"/>
      <c r="G432" t="s"/>
      <c r="H432" t="s"/>
      <c r="I432" t="s"/>
      <c r="J432" t="n">
        <v>0</v>
      </c>
      <c r="K432" t="n">
        <v>0</v>
      </c>
      <c r="L432" t="n">
        <v>1</v>
      </c>
      <c r="M432" t="n">
        <v>0</v>
      </c>
    </row>
    <row r="433" spans="1:13">
      <c r="A433" s="1">
        <f>HYPERLINK("http://www.twitter.com/NathanBLawrence/status/997127139404247040", "997127139404247040")</f>
        <v/>
      </c>
      <c r="B433" s="2" t="n">
        <v>43237.61817129629</v>
      </c>
      <c r="C433" t="n">
        <v>0</v>
      </c>
      <c r="D433" t="n">
        <v>0</v>
      </c>
      <c r="E433" t="s">
        <v>444</v>
      </c>
      <c r="F433" t="s"/>
      <c r="G433" t="s"/>
      <c r="H433" t="s"/>
      <c r="I433" t="s"/>
      <c r="J433" t="n">
        <v>0.1779</v>
      </c>
      <c r="K433" t="n">
        <v>0.137</v>
      </c>
      <c r="L433" t="n">
        <v>0.6830000000000001</v>
      </c>
      <c r="M433" t="n">
        <v>0.18</v>
      </c>
    </row>
    <row r="434" spans="1:13">
      <c r="A434" s="1">
        <f>HYPERLINK("http://www.twitter.com/NathanBLawrence/status/997126828853809153", "997126828853809153")</f>
        <v/>
      </c>
      <c r="B434" s="2" t="n">
        <v>43237.61731481482</v>
      </c>
      <c r="C434" t="n">
        <v>0</v>
      </c>
      <c r="D434" t="n">
        <v>0</v>
      </c>
      <c r="E434" t="s">
        <v>445</v>
      </c>
      <c r="F434">
        <f>HYPERLINK("https://video.twimg.com/ext_tw_video/997126771978878976/pu/vid/240x240/N3_hEeGhkeCgTMV1.mp4?tag=3", "https://video.twimg.com/ext_tw_video/997126771978878976/pu/vid/240x240/N3_hEeGhkeCgTMV1.mp4?tag=3")</f>
        <v/>
      </c>
      <c r="G434" t="s"/>
      <c r="H434" t="s"/>
      <c r="I434" t="s"/>
      <c r="J434" t="n">
        <v>0</v>
      </c>
      <c r="K434" t="n">
        <v>0</v>
      </c>
      <c r="L434" t="n">
        <v>1</v>
      </c>
      <c r="M434" t="n">
        <v>0</v>
      </c>
    </row>
    <row r="435" spans="1:13">
      <c r="A435" s="1">
        <f>HYPERLINK("http://www.twitter.com/NathanBLawrence/status/997125294661296131", "997125294661296131")</f>
        <v/>
      </c>
      <c r="B435" s="2" t="n">
        <v>43237.6130787037</v>
      </c>
      <c r="C435" t="n">
        <v>0</v>
      </c>
      <c r="D435" t="n">
        <v>7</v>
      </c>
      <c r="E435" t="s">
        <v>446</v>
      </c>
      <c r="F435" t="s"/>
      <c r="G435" t="s"/>
      <c r="H435" t="s"/>
      <c r="I435" t="s"/>
      <c r="J435" t="n">
        <v>0</v>
      </c>
      <c r="K435" t="n">
        <v>0</v>
      </c>
      <c r="L435" t="n">
        <v>1</v>
      </c>
      <c r="M435" t="n">
        <v>0</v>
      </c>
    </row>
    <row r="436" spans="1:13">
      <c r="A436" s="1">
        <f>HYPERLINK("http://www.twitter.com/NathanBLawrence/status/997124272127651840", "997124272127651840")</f>
        <v/>
      </c>
      <c r="B436" s="2" t="n">
        <v>43237.61025462963</v>
      </c>
      <c r="C436" t="n">
        <v>0</v>
      </c>
      <c r="D436" t="n">
        <v>7</v>
      </c>
      <c r="E436" t="s">
        <v>447</v>
      </c>
      <c r="F436">
        <f>HYPERLINK("http://pbs.twimg.com/media/DdZwJKjUwAEO_Kj.jpg", "http://pbs.twimg.com/media/DdZwJKjUwAEO_Kj.jpg")</f>
        <v/>
      </c>
      <c r="G436" t="s"/>
      <c r="H436" t="s"/>
      <c r="I436" t="s"/>
      <c r="J436" t="n">
        <v>-0.4404</v>
      </c>
      <c r="K436" t="n">
        <v>0.146</v>
      </c>
      <c r="L436" t="n">
        <v>0.854</v>
      </c>
      <c r="M436" t="n">
        <v>0</v>
      </c>
    </row>
    <row r="437" spans="1:13">
      <c r="A437" s="1">
        <f>HYPERLINK("http://www.twitter.com/NathanBLawrence/status/997123390002618369", "997123390002618369")</f>
        <v/>
      </c>
      <c r="B437" s="2" t="n">
        <v>43237.60782407408</v>
      </c>
      <c r="C437" t="n">
        <v>0</v>
      </c>
      <c r="D437" t="n">
        <v>4</v>
      </c>
      <c r="E437" t="s">
        <v>448</v>
      </c>
      <c r="F437" t="s"/>
      <c r="G437" t="s"/>
      <c r="H437" t="s"/>
      <c r="I437" t="s"/>
      <c r="J437" t="n">
        <v>-0.7351</v>
      </c>
      <c r="K437" t="n">
        <v>0.323</v>
      </c>
      <c r="L437" t="n">
        <v>0.677</v>
      </c>
      <c r="M437" t="n">
        <v>0</v>
      </c>
    </row>
    <row r="438" spans="1:13">
      <c r="A438" s="1">
        <f>HYPERLINK("http://www.twitter.com/NathanBLawrence/status/997123317789351936", "997123317789351936")</f>
        <v/>
      </c>
      <c r="B438" s="2" t="n">
        <v>43237.60762731481</v>
      </c>
      <c r="C438" t="n">
        <v>32</v>
      </c>
      <c r="D438" t="n">
        <v>14</v>
      </c>
      <c r="E438" t="s">
        <v>449</v>
      </c>
      <c r="F438" t="s"/>
      <c r="G438" t="s"/>
      <c r="H438" t="s"/>
      <c r="I438" t="s"/>
      <c r="J438" t="n">
        <v>-0.4628</v>
      </c>
      <c r="K438" t="n">
        <v>0.129</v>
      </c>
      <c r="L438" t="n">
        <v>0.8120000000000001</v>
      </c>
      <c r="M438" t="n">
        <v>0.058</v>
      </c>
    </row>
    <row r="439" spans="1:13">
      <c r="A439" s="1">
        <f>HYPERLINK("http://www.twitter.com/NathanBLawrence/status/997089119187689477", "997089119187689477")</f>
        <v/>
      </c>
      <c r="B439" s="2" t="n">
        <v>43237.51325231481</v>
      </c>
      <c r="C439" t="n">
        <v>0</v>
      </c>
      <c r="D439" t="n">
        <v>0</v>
      </c>
      <c r="E439" t="s">
        <v>450</v>
      </c>
      <c r="F439" t="s"/>
      <c r="G439" t="s"/>
      <c r="H439" t="s"/>
      <c r="I439" t="s"/>
      <c r="J439" t="n">
        <v>0</v>
      </c>
      <c r="K439" t="n">
        <v>0</v>
      </c>
      <c r="L439" t="n">
        <v>1</v>
      </c>
      <c r="M439" t="n">
        <v>0</v>
      </c>
    </row>
    <row r="440" spans="1:13">
      <c r="A440" s="1">
        <f>HYPERLINK("http://www.twitter.com/NathanBLawrence/status/997089056440889346", "997089056440889346")</f>
        <v/>
      </c>
      <c r="B440" s="2" t="n">
        <v>43237.51307870371</v>
      </c>
      <c r="C440" t="n">
        <v>0</v>
      </c>
      <c r="D440" t="n">
        <v>1</v>
      </c>
      <c r="E440" t="s">
        <v>451</v>
      </c>
      <c r="F440" t="s"/>
      <c r="G440" t="s"/>
      <c r="H440" t="s"/>
      <c r="I440" t="s"/>
      <c r="J440" t="n">
        <v>0</v>
      </c>
      <c r="K440" t="n">
        <v>0</v>
      </c>
      <c r="L440" t="n">
        <v>1</v>
      </c>
      <c r="M440" t="n">
        <v>0</v>
      </c>
    </row>
    <row r="441" spans="1:13">
      <c r="A441" s="1">
        <f>HYPERLINK("http://www.twitter.com/NathanBLawrence/status/996964491588980737", "996964491588980737")</f>
        <v/>
      </c>
      <c r="B441" s="2" t="n">
        <v>43237.16935185185</v>
      </c>
      <c r="C441" t="n">
        <v>0</v>
      </c>
      <c r="D441" t="n">
        <v>2</v>
      </c>
      <c r="E441" t="s">
        <v>452</v>
      </c>
      <c r="F441" t="s"/>
      <c r="G441" t="s"/>
      <c r="H441" t="s"/>
      <c r="I441" t="s"/>
      <c r="J441" t="n">
        <v>0.6705</v>
      </c>
      <c r="K441" t="n">
        <v>0</v>
      </c>
      <c r="L441" t="n">
        <v>0.766</v>
      </c>
      <c r="M441" t="n">
        <v>0.234</v>
      </c>
    </row>
    <row r="442" spans="1:13">
      <c r="A442" s="1">
        <f>HYPERLINK("http://www.twitter.com/NathanBLawrence/status/996964446651256832", "996964446651256832")</f>
        <v/>
      </c>
      <c r="B442" s="2" t="n">
        <v>43237.16922453704</v>
      </c>
      <c r="C442" t="n">
        <v>0</v>
      </c>
      <c r="D442" t="n">
        <v>4</v>
      </c>
      <c r="E442" t="s">
        <v>453</v>
      </c>
      <c r="F442">
        <f>HYPERLINK("http://pbs.twimg.com/media/DdXfX5-XUAEvgX-.jpg", "http://pbs.twimg.com/media/DdXfX5-XUAEvgX-.jpg")</f>
        <v/>
      </c>
      <c r="G442" t="s"/>
      <c r="H442" t="s"/>
      <c r="I442" t="s"/>
      <c r="J442" t="n">
        <v>-0.4019</v>
      </c>
      <c r="K442" t="n">
        <v>0.137</v>
      </c>
      <c r="L442" t="n">
        <v>0.863</v>
      </c>
      <c r="M442" t="n">
        <v>0</v>
      </c>
    </row>
    <row r="443" spans="1:13">
      <c r="A443" s="1">
        <f>HYPERLINK("http://www.twitter.com/NathanBLawrence/status/996915938464272384", "996915938464272384")</f>
        <v/>
      </c>
      <c r="B443" s="2" t="n">
        <v>43237.03537037037</v>
      </c>
      <c r="C443" t="n">
        <v>0</v>
      </c>
      <c r="D443" t="n">
        <v>11</v>
      </c>
      <c r="E443" t="s">
        <v>454</v>
      </c>
      <c r="F443" t="s"/>
      <c r="G443" t="s"/>
      <c r="H443" t="s"/>
      <c r="I443" t="s"/>
      <c r="J443" t="n">
        <v>-0.2732</v>
      </c>
      <c r="K443" t="n">
        <v>0.08699999999999999</v>
      </c>
      <c r="L443" t="n">
        <v>0.913</v>
      </c>
      <c r="M443" t="n">
        <v>0</v>
      </c>
    </row>
    <row r="444" spans="1:13">
      <c r="A444" s="1">
        <f>HYPERLINK("http://www.twitter.com/NathanBLawrence/status/996890293713633280", "996890293713633280")</f>
        <v/>
      </c>
      <c r="B444" s="2" t="n">
        <v>43236.96460648148</v>
      </c>
      <c r="C444" t="n">
        <v>0</v>
      </c>
      <c r="D444" t="n">
        <v>353</v>
      </c>
      <c r="E444" t="s">
        <v>455</v>
      </c>
      <c r="F444" t="s"/>
      <c r="G444" t="s"/>
      <c r="H444" t="s"/>
      <c r="I444" t="s"/>
      <c r="J444" t="n">
        <v>0.7118</v>
      </c>
      <c r="K444" t="n">
        <v>0</v>
      </c>
      <c r="L444" t="n">
        <v>0.771</v>
      </c>
      <c r="M444" t="n">
        <v>0.229</v>
      </c>
    </row>
    <row r="445" spans="1:13">
      <c r="A445" s="1">
        <f>HYPERLINK("http://www.twitter.com/NathanBLawrence/status/996890068773109760", "996890068773109760")</f>
        <v/>
      </c>
      <c r="B445" s="2" t="n">
        <v>43236.96398148148</v>
      </c>
      <c r="C445" t="n">
        <v>0</v>
      </c>
      <c r="D445" t="n">
        <v>34</v>
      </c>
      <c r="E445" t="s">
        <v>456</v>
      </c>
      <c r="F445">
        <f>HYPERLINK("http://pbs.twimg.com/media/DdWkpgmUwAAUvsm.jpg", "http://pbs.twimg.com/media/DdWkpgmUwAAUvsm.jpg")</f>
        <v/>
      </c>
      <c r="G445" t="s"/>
      <c r="H445" t="s"/>
      <c r="I445" t="s"/>
      <c r="J445" t="n">
        <v>-0.5266999999999999</v>
      </c>
      <c r="K445" t="n">
        <v>0.18</v>
      </c>
      <c r="L445" t="n">
        <v>0.82</v>
      </c>
      <c r="M445" t="n">
        <v>0</v>
      </c>
    </row>
    <row r="446" spans="1:13">
      <c r="A446" s="1">
        <f>HYPERLINK("http://www.twitter.com/NathanBLawrence/status/996890029053145088", "996890029053145088")</f>
        <v/>
      </c>
      <c r="B446" s="2" t="n">
        <v>43236.96386574074</v>
      </c>
      <c r="C446" t="n">
        <v>0</v>
      </c>
      <c r="D446" t="n">
        <v>3418</v>
      </c>
      <c r="E446" t="s">
        <v>457</v>
      </c>
      <c r="F446" t="s"/>
      <c r="G446" t="s"/>
      <c r="H446" t="s"/>
      <c r="I446" t="s"/>
      <c r="J446" t="n">
        <v>-0.9274</v>
      </c>
      <c r="K446" t="n">
        <v>0.51</v>
      </c>
      <c r="L446" t="n">
        <v>0.49</v>
      </c>
      <c r="M446" t="n">
        <v>0</v>
      </c>
    </row>
    <row r="447" spans="1:13">
      <c r="A447" s="1">
        <f>HYPERLINK("http://www.twitter.com/NathanBLawrence/status/996889716569100296", "996889716569100296")</f>
        <v/>
      </c>
      <c r="B447" s="2" t="n">
        <v>43236.96300925926</v>
      </c>
      <c r="C447" t="n">
        <v>0</v>
      </c>
      <c r="D447" t="n">
        <v>1963</v>
      </c>
      <c r="E447" t="s">
        <v>458</v>
      </c>
      <c r="F447">
        <f>HYPERLINK("https://video.twimg.com/ext_tw_video/996874728194297856/pu/vid/240x180/ErHEy9H0Qa_5KMLe.mp4?tag=3", "https://video.twimg.com/ext_tw_video/996874728194297856/pu/vid/240x180/ErHEy9H0Qa_5KMLe.mp4?tag=3")</f>
        <v/>
      </c>
      <c r="G447" t="s"/>
      <c r="H447" t="s"/>
      <c r="I447" t="s"/>
      <c r="J447" t="n">
        <v>0</v>
      </c>
      <c r="K447" t="n">
        <v>0</v>
      </c>
      <c r="L447" t="n">
        <v>1</v>
      </c>
      <c r="M447" t="n">
        <v>0</v>
      </c>
    </row>
    <row r="448" spans="1:13">
      <c r="A448" s="1">
        <f>HYPERLINK("http://www.twitter.com/NathanBLawrence/status/996889477514657792", "996889477514657792")</f>
        <v/>
      </c>
      <c r="B448" s="2" t="n">
        <v>43236.96234953704</v>
      </c>
      <c r="C448" t="n">
        <v>0</v>
      </c>
      <c r="D448" t="n">
        <v>139</v>
      </c>
      <c r="E448" t="s">
        <v>459</v>
      </c>
      <c r="F448" t="s"/>
      <c r="G448" t="s"/>
      <c r="H448" t="s"/>
      <c r="I448" t="s"/>
      <c r="J448" t="n">
        <v>-0.4588</v>
      </c>
      <c r="K448" t="n">
        <v>0.13</v>
      </c>
      <c r="L448" t="n">
        <v>0.87</v>
      </c>
      <c r="M448" t="n">
        <v>0</v>
      </c>
    </row>
    <row r="449" spans="1:13">
      <c r="A449" s="1">
        <f>HYPERLINK("http://www.twitter.com/NathanBLawrence/status/996889385462325249", "996889385462325249")</f>
        <v/>
      </c>
      <c r="B449" s="2" t="n">
        <v>43236.96209490741</v>
      </c>
      <c r="C449" t="n">
        <v>0</v>
      </c>
      <c r="D449" t="n">
        <v>975</v>
      </c>
      <c r="E449" t="s">
        <v>460</v>
      </c>
      <c r="F449">
        <f>HYPERLINK("http://pbs.twimg.com/media/DdWWi7QWkAA2VjP.jpg", "http://pbs.twimg.com/media/DdWWi7QWkAA2VjP.jpg")</f>
        <v/>
      </c>
      <c r="G449" t="s"/>
      <c r="H449" t="s"/>
      <c r="I449" t="s"/>
      <c r="J449" t="n">
        <v>0.802</v>
      </c>
      <c r="K449" t="n">
        <v>0</v>
      </c>
      <c r="L449" t="n">
        <v>0.719</v>
      </c>
      <c r="M449" t="n">
        <v>0.281</v>
      </c>
    </row>
    <row r="450" spans="1:13">
      <c r="A450" s="1">
        <f>HYPERLINK("http://www.twitter.com/NathanBLawrence/status/996889313664225281", "996889313664225281")</f>
        <v/>
      </c>
      <c r="B450" s="2" t="n">
        <v>43236.96189814815</v>
      </c>
      <c r="C450" t="n">
        <v>0</v>
      </c>
      <c r="D450" t="n">
        <v>15</v>
      </c>
      <c r="E450" t="s">
        <v>461</v>
      </c>
      <c r="F450" t="s"/>
      <c r="G450" t="s"/>
      <c r="H450" t="s"/>
      <c r="I450" t="s"/>
      <c r="J450" t="n">
        <v>0</v>
      </c>
      <c r="K450" t="n">
        <v>0</v>
      </c>
      <c r="L450" t="n">
        <v>1</v>
      </c>
      <c r="M450" t="n">
        <v>0</v>
      </c>
    </row>
    <row r="451" spans="1:13">
      <c r="A451" s="1">
        <f>HYPERLINK("http://www.twitter.com/NathanBLawrence/status/996863859767042048", "996863859767042048")</f>
        <v/>
      </c>
      <c r="B451" s="2" t="n">
        <v>43236.89165509259</v>
      </c>
      <c r="C451" t="n">
        <v>0</v>
      </c>
      <c r="D451" t="n">
        <v>3</v>
      </c>
      <c r="E451" t="s">
        <v>462</v>
      </c>
      <c r="F451" t="s"/>
      <c r="G451" t="s"/>
      <c r="H451" t="s"/>
      <c r="I451" t="s"/>
      <c r="J451" t="n">
        <v>0</v>
      </c>
      <c r="K451" t="n">
        <v>0</v>
      </c>
      <c r="L451" t="n">
        <v>1</v>
      </c>
      <c r="M451" t="n">
        <v>0</v>
      </c>
    </row>
    <row r="452" spans="1:13">
      <c r="A452" s="1">
        <f>HYPERLINK("http://www.twitter.com/NathanBLawrence/status/996817813494009856", "996817813494009856")</f>
        <v/>
      </c>
      <c r="B452" s="2" t="n">
        <v>43236.76459490741</v>
      </c>
      <c r="C452" t="n">
        <v>1</v>
      </c>
      <c r="D452" t="n">
        <v>0</v>
      </c>
      <c r="E452" t="s">
        <v>463</v>
      </c>
      <c r="F452" t="s"/>
      <c r="G452" t="s"/>
      <c r="H452" t="s"/>
      <c r="I452" t="s"/>
      <c r="J452" t="n">
        <v>0.4019</v>
      </c>
      <c r="K452" t="n">
        <v>0</v>
      </c>
      <c r="L452" t="n">
        <v>0.649</v>
      </c>
      <c r="M452" t="n">
        <v>0.351</v>
      </c>
    </row>
    <row r="453" spans="1:13">
      <c r="A453" s="1">
        <f>HYPERLINK("http://www.twitter.com/NathanBLawrence/status/996800261942403076", "996800261942403076")</f>
        <v/>
      </c>
      <c r="B453" s="2" t="n">
        <v>43236.71615740741</v>
      </c>
      <c r="C453" t="n">
        <v>3</v>
      </c>
      <c r="D453" t="n">
        <v>0</v>
      </c>
      <c r="E453" t="s">
        <v>464</v>
      </c>
      <c r="F453" t="s"/>
      <c r="G453" t="s"/>
      <c r="H453" t="s"/>
      <c r="I453" t="s"/>
      <c r="J453" t="n">
        <v>0</v>
      </c>
      <c r="K453" t="n">
        <v>0</v>
      </c>
      <c r="L453" t="n">
        <v>1</v>
      </c>
      <c r="M453" t="n">
        <v>0</v>
      </c>
    </row>
    <row r="454" spans="1:13">
      <c r="A454" s="1">
        <f>HYPERLINK("http://www.twitter.com/NathanBLawrence/status/996799835062833156", "996799835062833156")</f>
        <v/>
      </c>
      <c r="B454" s="2" t="n">
        <v>43236.71497685185</v>
      </c>
      <c r="C454" t="n">
        <v>0</v>
      </c>
      <c r="D454" t="n">
        <v>31</v>
      </c>
      <c r="E454" t="s">
        <v>465</v>
      </c>
      <c r="F454">
        <f>HYPERLINK("http://pbs.twimg.com/media/DdVG8XnVMAEAqFG.jpg", "http://pbs.twimg.com/media/DdVG8XnVMAEAqFG.jpg")</f>
        <v/>
      </c>
      <c r="G454" t="s"/>
      <c r="H454" t="s"/>
      <c r="I454" t="s"/>
      <c r="J454" t="n">
        <v>0</v>
      </c>
      <c r="K454" t="n">
        <v>0</v>
      </c>
      <c r="L454" t="n">
        <v>1</v>
      </c>
      <c r="M454" t="n">
        <v>0</v>
      </c>
    </row>
    <row r="455" spans="1:13">
      <c r="A455" s="1">
        <f>HYPERLINK("http://www.twitter.com/NathanBLawrence/status/996799819548184576", "996799819548184576")</f>
        <v/>
      </c>
      <c r="B455" s="2" t="n">
        <v>43236.71494212963</v>
      </c>
      <c r="C455" t="n">
        <v>0</v>
      </c>
      <c r="D455" t="n">
        <v>40</v>
      </c>
      <c r="E455" t="s">
        <v>466</v>
      </c>
      <c r="F455">
        <f>HYPERLINK("http://pbs.twimg.com/media/DdVGvdsVAAEEgDS.jpg", "http://pbs.twimg.com/media/DdVGvdsVAAEEgDS.jpg")</f>
        <v/>
      </c>
      <c r="G455" t="s"/>
      <c r="H455" t="s"/>
      <c r="I455" t="s"/>
      <c r="J455" t="n">
        <v>0</v>
      </c>
      <c r="K455" t="n">
        <v>0</v>
      </c>
      <c r="L455" t="n">
        <v>1</v>
      </c>
      <c r="M455" t="n">
        <v>0</v>
      </c>
    </row>
    <row r="456" spans="1:13">
      <c r="A456" s="1">
        <f>HYPERLINK("http://www.twitter.com/NathanBLawrence/status/996799799277031424", "996799799277031424")</f>
        <v/>
      </c>
      <c r="B456" s="2" t="n">
        <v>43236.71488425926</v>
      </c>
      <c r="C456" t="n">
        <v>0</v>
      </c>
      <c r="D456" t="n">
        <v>39</v>
      </c>
      <c r="E456" t="s">
        <v>467</v>
      </c>
      <c r="F456">
        <f>HYPERLINK("http://pbs.twimg.com/media/DdVGf8oUQAIOykO.jpg", "http://pbs.twimg.com/media/DdVGf8oUQAIOykO.jpg")</f>
        <v/>
      </c>
      <c r="G456" t="s"/>
      <c r="H456" t="s"/>
      <c r="I456" t="s"/>
      <c r="J456" t="n">
        <v>0</v>
      </c>
      <c r="K456" t="n">
        <v>0</v>
      </c>
      <c r="L456" t="n">
        <v>1</v>
      </c>
      <c r="M456" t="n">
        <v>0</v>
      </c>
    </row>
    <row r="457" spans="1:13">
      <c r="A457" s="1">
        <f>HYPERLINK("http://www.twitter.com/NathanBLawrence/status/996799776950759425", "996799776950759425")</f>
        <v/>
      </c>
      <c r="B457" s="2" t="n">
        <v>43236.71482638889</v>
      </c>
      <c r="C457" t="n">
        <v>0</v>
      </c>
      <c r="D457" t="n">
        <v>31</v>
      </c>
      <c r="E457" t="s">
        <v>468</v>
      </c>
      <c r="F457">
        <f>HYPERLINK("http://pbs.twimg.com/media/DdVF92DVMAAmPKn.jpg", "http://pbs.twimg.com/media/DdVF92DVMAAmPKn.jpg")</f>
        <v/>
      </c>
      <c r="G457" t="s"/>
      <c r="H457" t="s"/>
      <c r="I457" t="s"/>
      <c r="J457" t="n">
        <v>0</v>
      </c>
      <c r="K457" t="n">
        <v>0</v>
      </c>
      <c r="L457" t="n">
        <v>1</v>
      </c>
      <c r="M457" t="n">
        <v>0</v>
      </c>
    </row>
    <row r="458" spans="1:13">
      <c r="A458" s="1">
        <f>HYPERLINK("http://www.twitter.com/NathanBLawrence/status/996799755761127424", "996799755761127424")</f>
        <v/>
      </c>
      <c r="B458" s="2" t="n">
        <v>43236.71476851852</v>
      </c>
      <c r="C458" t="n">
        <v>0</v>
      </c>
      <c r="D458" t="n">
        <v>108</v>
      </c>
      <c r="E458" t="s">
        <v>469</v>
      </c>
      <c r="F458">
        <f>HYPERLINK("http://pbs.twimg.com/media/DdVDwFAU0AAU2-3.jpg", "http://pbs.twimg.com/media/DdVDwFAU0AAU2-3.jpg")</f>
        <v/>
      </c>
      <c r="G458" t="s"/>
      <c r="H458" t="s"/>
      <c r="I458" t="s"/>
      <c r="J458" t="n">
        <v>0.4648</v>
      </c>
      <c r="K458" t="n">
        <v>0</v>
      </c>
      <c r="L458" t="n">
        <v>0.8110000000000001</v>
      </c>
      <c r="M458" t="n">
        <v>0.189</v>
      </c>
    </row>
    <row r="459" spans="1:13">
      <c r="A459" s="1">
        <f>HYPERLINK("http://www.twitter.com/NathanBLawrence/status/996798884834873350", "996798884834873350")</f>
        <v/>
      </c>
      <c r="B459" s="2" t="n">
        <v>43236.71236111111</v>
      </c>
      <c r="C459" t="n">
        <v>0</v>
      </c>
      <c r="D459" t="n">
        <v>3</v>
      </c>
      <c r="E459" t="s">
        <v>470</v>
      </c>
      <c r="F459">
        <f>HYPERLINK("http://pbs.twimg.com/media/DdVJZBzXcAEJTiB.jpg", "http://pbs.twimg.com/media/DdVJZBzXcAEJTiB.jpg")</f>
        <v/>
      </c>
      <c r="G459" t="s"/>
      <c r="H459" t="s"/>
      <c r="I459" t="s"/>
      <c r="J459" t="n">
        <v>0.5266999999999999</v>
      </c>
      <c r="K459" t="n">
        <v>0</v>
      </c>
      <c r="L459" t="n">
        <v>0.82</v>
      </c>
      <c r="M459" t="n">
        <v>0.18</v>
      </c>
    </row>
    <row r="460" spans="1:13">
      <c r="A460" s="1">
        <f>HYPERLINK("http://www.twitter.com/NathanBLawrence/status/996798836701089792", "996798836701089792")</f>
        <v/>
      </c>
      <c r="B460" s="2" t="n">
        <v>43236.71222222222</v>
      </c>
      <c r="C460" t="n">
        <v>0</v>
      </c>
      <c r="D460" t="n">
        <v>2</v>
      </c>
      <c r="E460" t="s">
        <v>471</v>
      </c>
      <c r="F460">
        <f>HYPERLINK("http://pbs.twimg.com/media/DdVLJpzVMAAtPRg.jpg", "http://pbs.twimg.com/media/DdVLJpzVMAAtPRg.jpg")</f>
        <v/>
      </c>
      <c r="G460" t="s"/>
      <c r="H460" t="s"/>
      <c r="I460" t="s"/>
      <c r="J460" t="n">
        <v>0</v>
      </c>
      <c r="K460" t="n">
        <v>0</v>
      </c>
      <c r="L460" t="n">
        <v>1</v>
      </c>
      <c r="M460" t="n">
        <v>0</v>
      </c>
    </row>
    <row r="461" spans="1:13">
      <c r="A461" s="1">
        <f>HYPERLINK("http://www.twitter.com/NathanBLawrence/status/996798776470892545", "996798776470892545")</f>
        <v/>
      </c>
      <c r="B461" s="2" t="n">
        <v>43236.71206018519</v>
      </c>
      <c r="C461" t="n">
        <v>0</v>
      </c>
      <c r="D461" t="n">
        <v>1</v>
      </c>
      <c r="E461" t="s">
        <v>472</v>
      </c>
      <c r="F461">
        <f>HYPERLINK("http://pbs.twimg.com/media/DdVOzw4UwAA0Ozr.jpg", "http://pbs.twimg.com/media/DdVOzw4UwAA0Ozr.jpg")</f>
        <v/>
      </c>
      <c r="G461" t="s"/>
      <c r="H461" t="s"/>
      <c r="I461" t="s"/>
      <c r="J461" t="n">
        <v>0</v>
      </c>
      <c r="K461" t="n">
        <v>0</v>
      </c>
      <c r="L461" t="n">
        <v>1</v>
      </c>
      <c r="M461" t="n">
        <v>0</v>
      </c>
    </row>
    <row r="462" spans="1:13">
      <c r="A462" s="1">
        <f>HYPERLINK("http://www.twitter.com/NathanBLawrence/status/996779578415812608", "996779578415812608")</f>
        <v/>
      </c>
      <c r="B462" s="2" t="n">
        <v>43236.65908564815</v>
      </c>
      <c r="C462" t="n">
        <v>0</v>
      </c>
      <c r="D462" t="n">
        <v>0</v>
      </c>
      <c r="E462" t="s">
        <v>473</v>
      </c>
      <c r="F462" t="s"/>
      <c r="G462" t="s"/>
      <c r="H462" t="s"/>
      <c r="I462" t="s"/>
      <c r="J462" t="n">
        <v>0.6124000000000001</v>
      </c>
      <c r="K462" t="n">
        <v>0</v>
      </c>
      <c r="L462" t="n">
        <v>0.848</v>
      </c>
      <c r="M462" t="n">
        <v>0.152</v>
      </c>
    </row>
    <row r="463" spans="1:13">
      <c r="A463" s="1">
        <f>HYPERLINK("http://www.twitter.com/NathanBLawrence/status/996778402626588672", "996778402626588672")</f>
        <v/>
      </c>
      <c r="B463" s="2" t="n">
        <v>43236.65584490741</v>
      </c>
      <c r="C463" t="n">
        <v>0</v>
      </c>
      <c r="D463" t="n">
        <v>3</v>
      </c>
      <c r="E463" t="s">
        <v>474</v>
      </c>
      <c r="F463" t="s"/>
      <c r="G463" t="s"/>
      <c r="H463" t="s"/>
      <c r="I463" t="s"/>
      <c r="J463" t="n">
        <v>0.34</v>
      </c>
      <c r="K463" t="n">
        <v>0</v>
      </c>
      <c r="L463" t="n">
        <v>0.888</v>
      </c>
      <c r="M463" t="n">
        <v>0.112</v>
      </c>
    </row>
    <row r="464" spans="1:13">
      <c r="A464" s="1">
        <f>HYPERLINK("http://www.twitter.com/NathanBLawrence/status/996778178675990530", "996778178675990530")</f>
        <v/>
      </c>
      <c r="B464" s="2" t="n">
        <v>43236.65521990741</v>
      </c>
      <c r="C464" t="n">
        <v>0</v>
      </c>
      <c r="D464" t="n">
        <v>10</v>
      </c>
      <c r="E464" t="s">
        <v>475</v>
      </c>
      <c r="F464" t="s"/>
      <c r="G464" t="s"/>
      <c r="H464" t="s"/>
      <c r="I464" t="s"/>
      <c r="J464" t="n">
        <v>0</v>
      </c>
      <c r="K464" t="n">
        <v>0</v>
      </c>
      <c r="L464" t="n">
        <v>1</v>
      </c>
      <c r="M464" t="n">
        <v>0</v>
      </c>
    </row>
    <row r="465" spans="1:13">
      <c r="A465" s="1">
        <f>HYPERLINK("http://www.twitter.com/NathanBLawrence/status/996778111835541504", "996778111835541504")</f>
        <v/>
      </c>
      <c r="B465" s="2" t="n">
        <v>43236.65503472222</v>
      </c>
      <c r="C465" t="n">
        <v>0</v>
      </c>
      <c r="D465" t="n">
        <v>27</v>
      </c>
      <c r="E465" t="s">
        <v>476</v>
      </c>
      <c r="F465">
        <f>HYPERLINK("https://video.twimg.com/ext_tw_video/954075113871192064/pu/vid/1280x720/PYAen8n42IdAoZLV.mp4", "https://video.twimg.com/ext_tw_video/954075113871192064/pu/vid/1280x720/PYAen8n42IdAoZLV.mp4")</f>
        <v/>
      </c>
      <c r="G465" t="s"/>
      <c r="H465" t="s"/>
      <c r="I465" t="s"/>
      <c r="J465" t="n">
        <v>0.4753</v>
      </c>
      <c r="K465" t="n">
        <v>0</v>
      </c>
      <c r="L465" t="n">
        <v>0.764</v>
      </c>
      <c r="M465" t="n">
        <v>0.236</v>
      </c>
    </row>
    <row r="466" spans="1:13">
      <c r="A466" s="1">
        <f>HYPERLINK("http://www.twitter.com/NathanBLawrence/status/996777924970901505", "996777924970901505")</f>
        <v/>
      </c>
      <c r="B466" s="2" t="n">
        <v>43236.65452546296</v>
      </c>
      <c r="C466" t="n">
        <v>0</v>
      </c>
      <c r="D466" t="n">
        <v>2</v>
      </c>
      <c r="E466" t="s">
        <v>477</v>
      </c>
      <c r="F466" t="s"/>
      <c r="G466" t="s"/>
      <c r="H466" t="s"/>
      <c r="I466" t="s"/>
      <c r="J466" t="n">
        <v>0.4215</v>
      </c>
      <c r="K466" t="n">
        <v>0</v>
      </c>
      <c r="L466" t="n">
        <v>0.851</v>
      </c>
      <c r="M466" t="n">
        <v>0.149</v>
      </c>
    </row>
    <row r="467" spans="1:13">
      <c r="A467" s="1">
        <f>HYPERLINK("http://www.twitter.com/NathanBLawrence/status/996777780695183360", "996777780695183360")</f>
        <v/>
      </c>
      <c r="B467" s="2" t="n">
        <v>43236.65412037037</v>
      </c>
      <c r="C467" t="n">
        <v>0</v>
      </c>
      <c r="D467" t="n">
        <v>254</v>
      </c>
      <c r="E467" t="s">
        <v>478</v>
      </c>
      <c r="F467" t="s"/>
      <c r="G467" t="s"/>
      <c r="H467" t="s"/>
      <c r="I467" t="s"/>
      <c r="J467" t="n">
        <v>0.2023</v>
      </c>
      <c r="K467" t="n">
        <v>0</v>
      </c>
      <c r="L467" t="n">
        <v>0.878</v>
      </c>
      <c r="M467" t="n">
        <v>0.122</v>
      </c>
    </row>
    <row r="468" spans="1:13">
      <c r="A468" s="1">
        <f>HYPERLINK("http://www.twitter.com/NathanBLawrence/status/996776581879291904", "996776581879291904")</f>
        <v/>
      </c>
      <c r="B468" s="2" t="n">
        <v>43236.65081018519</v>
      </c>
      <c r="C468" t="n">
        <v>0</v>
      </c>
      <c r="D468" t="n">
        <v>1</v>
      </c>
      <c r="E468" t="s">
        <v>479</v>
      </c>
      <c r="F468">
        <f>HYPERLINK("http://pbs.twimg.com/media/DdVBxNyWsAEuD0T.jpg", "http://pbs.twimg.com/media/DdVBxNyWsAEuD0T.jpg")</f>
        <v/>
      </c>
      <c r="G468" t="s"/>
      <c r="H468" t="s"/>
      <c r="I468" t="s"/>
      <c r="J468" t="n">
        <v>0.6739000000000001</v>
      </c>
      <c r="K468" t="n">
        <v>0</v>
      </c>
      <c r="L468" t="n">
        <v>0.822</v>
      </c>
      <c r="M468" t="n">
        <v>0.178</v>
      </c>
    </row>
    <row r="469" spans="1:13">
      <c r="A469" s="1">
        <f>HYPERLINK("http://www.twitter.com/NathanBLawrence/status/996776538631737345", "996776538631737345")</f>
        <v/>
      </c>
      <c r="B469" s="2" t="n">
        <v>43236.65069444444</v>
      </c>
      <c r="C469" t="n">
        <v>0</v>
      </c>
      <c r="D469" t="n">
        <v>1</v>
      </c>
      <c r="E469" t="s">
        <v>480</v>
      </c>
      <c r="F469" t="s"/>
      <c r="G469" t="s"/>
      <c r="H469" t="s"/>
      <c r="I469" t="s"/>
      <c r="J469" t="n">
        <v>0</v>
      </c>
      <c r="K469" t="n">
        <v>0</v>
      </c>
      <c r="L469" t="n">
        <v>1</v>
      </c>
      <c r="M469" t="n">
        <v>0</v>
      </c>
    </row>
    <row r="470" spans="1:13">
      <c r="A470" s="1">
        <f>HYPERLINK("http://www.twitter.com/NathanBLawrence/status/996773651688181762", "996773651688181762")</f>
        <v/>
      </c>
      <c r="B470" s="2" t="n">
        <v>43236.64273148148</v>
      </c>
      <c r="C470" t="n">
        <v>0</v>
      </c>
      <c r="D470" t="n">
        <v>9</v>
      </c>
      <c r="E470" t="s">
        <v>481</v>
      </c>
      <c r="F470">
        <f>HYPERLINK("http://pbs.twimg.com/media/DdU_81vV0AE2vMA.jpg", "http://pbs.twimg.com/media/DdU_81vV0AE2vMA.jpg")</f>
        <v/>
      </c>
      <c r="G470" t="s"/>
      <c r="H470" t="s"/>
      <c r="I470" t="s"/>
      <c r="J470" t="n">
        <v>0.5202</v>
      </c>
      <c r="K470" t="n">
        <v>0</v>
      </c>
      <c r="L470" t="n">
        <v>0.826</v>
      </c>
      <c r="M470" t="n">
        <v>0.174</v>
      </c>
    </row>
    <row r="471" spans="1:13">
      <c r="A471" s="1">
        <f>HYPERLINK("http://www.twitter.com/NathanBLawrence/status/996773003781394432", "996773003781394432")</f>
        <v/>
      </c>
      <c r="B471" s="2" t="n">
        <v>43236.6409375</v>
      </c>
      <c r="C471" t="n">
        <v>0</v>
      </c>
      <c r="D471" t="n">
        <v>4</v>
      </c>
      <c r="E471" t="s">
        <v>482</v>
      </c>
      <c r="F471">
        <f>HYPERLINK("http://pbs.twimg.com/media/DdUyAV5XUAAXbej.jpg", "http://pbs.twimg.com/media/DdUyAV5XUAAXbej.jpg")</f>
        <v/>
      </c>
      <c r="G471" t="s"/>
      <c r="H471" t="s"/>
      <c r="I471" t="s"/>
      <c r="J471" t="n">
        <v>0</v>
      </c>
      <c r="K471" t="n">
        <v>0</v>
      </c>
      <c r="L471" t="n">
        <v>1</v>
      </c>
      <c r="M471" t="n">
        <v>0</v>
      </c>
    </row>
    <row r="472" spans="1:13">
      <c r="A472" s="1">
        <f>HYPERLINK("http://www.twitter.com/NathanBLawrence/status/996759567689306113", "996759567689306113")</f>
        <v/>
      </c>
      <c r="B472" s="2" t="n">
        <v>43236.60386574074</v>
      </c>
      <c r="C472" t="n">
        <v>6</v>
      </c>
      <c r="D472" t="n">
        <v>3</v>
      </c>
      <c r="E472" t="s">
        <v>483</v>
      </c>
      <c r="F472">
        <f>HYPERLINK("https://video.twimg.com/ext_tw_video/996759459421552640/pu/vid/240x240/4hiIysrqM1iPr6NJ.mp4?tag=3", "https://video.twimg.com/ext_tw_video/996759459421552640/pu/vid/240x240/4hiIysrqM1iPr6NJ.mp4?tag=3")</f>
        <v/>
      </c>
      <c r="G472" t="s"/>
      <c r="H472" t="s"/>
      <c r="I472" t="s"/>
      <c r="J472" t="n">
        <v>-0.4939</v>
      </c>
      <c r="K472" t="n">
        <v>0.298</v>
      </c>
      <c r="L472" t="n">
        <v>0.55</v>
      </c>
      <c r="M472" t="n">
        <v>0.151</v>
      </c>
    </row>
    <row r="473" spans="1:13">
      <c r="A473" s="1">
        <f>HYPERLINK("http://www.twitter.com/NathanBLawrence/status/996754171385794563", "996754171385794563")</f>
        <v/>
      </c>
      <c r="B473" s="2" t="n">
        <v>43236.58896990741</v>
      </c>
      <c r="C473" t="n">
        <v>5</v>
      </c>
      <c r="D473" t="n">
        <v>5</v>
      </c>
      <c r="E473" t="s">
        <v>484</v>
      </c>
      <c r="F473">
        <f>HYPERLINK("https://video.twimg.com/ext_tw_video/996754090494377989/pu/vid/240x240/694w3QvJ09LBnLP0.mp4?tag=3", "https://video.twimg.com/ext_tw_video/996754090494377989/pu/vid/240x240/694w3QvJ09LBnLP0.mp4?tag=3")</f>
        <v/>
      </c>
      <c r="G473" t="s"/>
      <c r="H473" t="s"/>
      <c r="I473" t="s"/>
      <c r="J473" t="n">
        <v>-0.3089</v>
      </c>
      <c r="K473" t="n">
        <v>0.148</v>
      </c>
      <c r="L473" t="n">
        <v>0.852</v>
      </c>
      <c r="M473" t="n">
        <v>0</v>
      </c>
    </row>
    <row r="474" spans="1:13">
      <c r="A474" s="1">
        <f>HYPERLINK("http://www.twitter.com/NathanBLawrence/status/996751324090912769", "996751324090912769")</f>
        <v/>
      </c>
      <c r="B474" s="2" t="n">
        <v>43236.58112268519</v>
      </c>
      <c r="C474" t="n">
        <v>0</v>
      </c>
      <c r="D474" t="n">
        <v>63</v>
      </c>
      <c r="E474" t="s">
        <v>485</v>
      </c>
      <c r="F474">
        <f>HYPERLINK("http://pbs.twimg.com/media/DdUpkqfUQAEjK8v.jpg", "http://pbs.twimg.com/media/DdUpkqfUQAEjK8v.jpg")</f>
        <v/>
      </c>
      <c r="G474" t="s"/>
      <c r="H474" t="s"/>
      <c r="I474" t="s"/>
      <c r="J474" t="n">
        <v>0</v>
      </c>
      <c r="K474" t="n">
        <v>0</v>
      </c>
      <c r="L474" t="n">
        <v>1</v>
      </c>
      <c r="M474" t="n">
        <v>0</v>
      </c>
    </row>
    <row r="475" spans="1:13">
      <c r="A475" s="1">
        <f>HYPERLINK("http://www.twitter.com/NathanBLawrence/status/996751253576265728", "996751253576265728")</f>
        <v/>
      </c>
      <c r="B475" s="2" t="n">
        <v>43236.58092592593</v>
      </c>
      <c r="C475" t="n">
        <v>0</v>
      </c>
      <c r="D475" t="n">
        <v>0</v>
      </c>
      <c r="E475" t="s">
        <v>486</v>
      </c>
      <c r="F475" t="s"/>
      <c r="G475" t="s"/>
      <c r="H475" t="s"/>
      <c r="I475" t="s"/>
      <c r="J475" t="n">
        <v>0</v>
      </c>
      <c r="K475" t="n">
        <v>0</v>
      </c>
      <c r="L475" t="n">
        <v>1</v>
      </c>
      <c r="M475" t="n">
        <v>0</v>
      </c>
    </row>
    <row r="476" spans="1:13">
      <c r="A476" s="1">
        <f>HYPERLINK("http://www.twitter.com/NathanBLawrence/status/996750007301804033", "996750007301804033")</f>
        <v/>
      </c>
      <c r="B476" s="2" t="n">
        <v>43236.57748842592</v>
      </c>
      <c r="C476" t="n">
        <v>0</v>
      </c>
      <c r="D476" t="n">
        <v>2</v>
      </c>
      <c r="E476" t="s">
        <v>487</v>
      </c>
      <c r="F476">
        <f>HYPERLINK("https://video.twimg.com/ext_tw_video/996730139789508610/pu/vid/640x360/HXttAfCKx_jzjcg_.mp4?tag=3", "https://video.twimg.com/ext_tw_video/996730139789508610/pu/vid/640x360/HXttAfCKx_jzjcg_.mp4?tag=3")</f>
        <v/>
      </c>
      <c r="G476" t="s"/>
      <c r="H476" t="s"/>
      <c r="I476" t="s"/>
      <c r="J476" t="n">
        <v>-0.3182</v>
      </c>
      <c r="K476" t="n">
        <v>0.133</v>
      </c>
      <c r="L476" t="n">
        <v>0.867</v>
      </c>
      <c r="M476" t="n">
        <v>0</v>
      </c>
    </row>
    <row r="477" spans="1:13">
      <c r="A477" s="1">
        <f>HYPERLINK("http://www.twitter.com/NathanBLawrence/status/996742309273329664", "996742309273329664")</f>
        <v/>
      </c>
      <c r="B477" s="2" t="n">
        <v>43236.55623842592</v>
      </c>
      <c r="C477" t="n">
        <v>0</v>
      </c>
      <c r="D477" t="n">
        <v>5</v>
      </c>
      <c r="E477" t="s">
        <v>488</v>
      </c>
      <c r="F477">
        <f>HYPERLINK("http://pbs.twimg.com/media/DdUjoETW0AE3h_V.jpg", "http://pbs.twimg.com/media/DdUjoETW0AE3h_V.jpg")</f>
        <v/>
      </c>
      <c r="G477" t="s"/>
      <c r="H477" t="s"/>
      <c r="I477" t="s"/>
      <c r="J477" t="n">
        <v>0.3885</v>
      </c>
      <c r="K477" t="n">
        <v>0</v>
      </c>
      <c r="L477" t="n">
        <v>0.832</v>
      </c>
      <c r="M477" t="n">
        <v>0.168</v>
      </c>
    </row>
    <row r="478" spans="1:13">
      <c r="A478" s="1">
        <f>HYPERLINK("http://www.twitter.com/NathanBLawrence/status/996739796637835265", "996739796637835265")</f>
        <v/>
      </c>
      <c r="B478" s="2" t="n">
        <v>43236.54930555556</v>
      </c>
      <c r="C478" t="n">
        <v>4</v>
      </c>
      <c r="D478" t="n">
        <v>1</v>
      </c>
      <c r="E478" t="s">
        <v>489</v>
      </c>
      <c r="F478" t="s"/>
      <c r="G478" t="s"/>
      <c r="H478" t="s"/>
      <c r="I478" t="s"/>
      <c r="J478" t="n">
        <v>0</v>
      </c>
      <c r="K478" t="n">
        <v>0</v>
      </c>
      <c r="L478" t="n">
        <v>1</v>
      </c>
      <c r="M478" t="n">
        <v>0</v>
      </c>
    </row>
    <row r="479" spans="1:13">
      <c r="A479" s="1">
        <f>HYPERLINK("http://www.twitter.com/NathanBLawrence/status/996739613887729664", "996739613887729664")</f>
        <v/>
      </c>
      <c r="B479" s="2" t="n">
        <v>43236.54880787037</v>
      </c>
      <c r="C479" t="n">
        <v>0</v>
      </c>
      <c r="D479" t="n">
        <v>254</v>
      </c>
      <c r="E479" t="s">
        <v>490</v>
      </c>
      <c r="F479" t="s"/>
      <c r="G479" t="s"/>
      <c r="H479" t="s"/>
      <c r="I479" t="s"/>
      <c r="J479" t="n">
        <v>0</v>
      </c>
      <c r="K479" t="n">
        <v>0</v>
      </c>
      <c r="L479" t="n">
        <v>1</v>
      </c>
      <c r="M479" t="n">
        <v>0</v>
      </c>
    </row>
    <row r="480" spans="1:13">
      <c r="A480" s="1">
        <f>HYPERLINK("http://www.twitter.com/NathanBLawrence/status/996739437232041984", "996739437232041984")</f>
        <v/>
      </c>
      <c r="B480" s="2" t="n">
        <v>43236.54832175926</v>
      </c>
      <c r="C480" t="n">
        <v>0</v>
      </c>
      <c r="D480" t="n">
        <v>1</v>
      </c>
      <c r="E480" t="s">
        <v>491</v>
      </c>
      <c r="F480">
        <f>HYPERLINK("http://pbs.twimg.com/media/DdUhG1uW0AAEI4T.jpg", "http://pbs.twimg.com/media/DdUhG1uW0AAEI4T.jpg")</f>
        <v/>
      </c>
      <c r="G480">
        <f>HYPERLINK("http://pbs.twimg.com/media/DdUhG1dXUAA-_gf.jpg", "http://pbs.twimg.com/media/DdUhG1dXUAA-_gf.jpg")</f>
        <v/>
      </c>
      <c r="H480">
        <f>HYPERLINK("http://pbs.twimg.com/media/DdUhG1cWsAAqQyl.jpg", "http://pbs.twimg.com/media/DdUhG1cWsAAqQyl.jpg")</f>
        <v/>
      </c>
      <c r="I480">
        <f>HYPERLINK("http://pbs.twimg.com/media/DdUhG1mWkAIBTRI.jpg", "http://pbs.twimg.com/media/DdUhG1mWkAIBTRI.jpg")</f>
        <v/>
      </c>
      <c r="J480" t="n">
        <v>-0.6155</v>
      </c>
      <c r="K480" t="n">
        <v>0.365</v>
      </c>
      <c r="L480" t="n">
        <v>0.635</v>
      </c>
      <c r="M480" t="n">
        <v>0</v>
      </c>
    </row>
    <row r="481" spans="1:13">
      <c r="A481" s="1">
        <f>HYPERLINK("http://www.twitter.com/NathanBLawrence/status/996739308043333632", "996739308043333632")</f>
        <v/>
      </c>
      <c r="B481" s="2" t="n">
        <v>43236.54796296296</v>
      </c>
      <c r="C481" t="n">
        <v>1</v>
      </c>
      <c r="D481" t="n">
        <v>0</v>
      </c>
      <c r="E481" t="s">
        <v>492</v>
      </c>
      <c r="F481" t="s"/>
      <c r="G481" t="s"/>
      <c r="H481" t="s"/>
      <c r="I481" t="s"/>
      <c r="J481" t="n">
        <v>0.3612</v>
      </c>
      <c r="K481" t="n">
        <v>0</v>
      </c>
      <c r="L481" t="n">
        <v>0.444</v>
      </c>
      <c r="M481" t="n">
        <v>0.556</v>
      </c>
    </row>
    <row r="482" spans="1:13">
      <c r="A482" s="1">
        <f>HYPERLINK("http://www.twitter.com/NathanBLawrence/status/996738692046901248", "996738692046901248")</f>
        <v/>
      </c>
      <c r="B482" s="2" t="n">
        <v>43236.54626157408</v>
      </c>
      <c r="C482" t="n">
        <v>7</v>
      </c>
      <c r="D482" t="n">
        <v>5</v>
      </c>
      <c r="E482" t="s">
        <v>493</v>
      </c>
      <c r="F482">
        <f>HYPERLINK("https://video.twimg.com/ext_tw_video/996738619518824449/pu/vid/240x240/lX8VGwilYJUYWt6g.mp4?tag=3", "https://video.twimg.com/ext_tw_video/996738619518824449/pu/vid/240x240/lX8VGwilYJUYWt6g.mp4?tag=3")</f>
        <v/>
      </c>
      <c r="G482" t="s"/>
      <c r="H482" t="s"/>
      <c r="I482" t="s"/>
      <c r="J482" t="n">
        <v>0.2263</v>
      </c>
      <c r="K482" t="n">
        <v>0</v>
      </c>
      <c r="L482" t="n">
        <v>0.894</v>
      </c>
      <c r="M482" t="n">
        <v>0.106</v>
      </c>
    </row>
    <row r="483" spans="1:13">
      <c r="A483" s="1">
        <f>HYPERLINK("http://www.twitter.com/NathanBLawrence/status/996736132883910656", "996736132883910656")</f>
        <v/>
      </c>
      <c r="B483" s="2" t="n">
        <v>43236.53920138889</v>
      </c>
      <c r="C483" t="n">
        <v>0</v>
      </c>
      <c r="D483" t="n">
        <v>0</v>
      </c>
      <c r="E483" t="s">
        <v>494</v>
      </c>
      <c r="F483" t="s"/>
      <c r="G483" t="s"/>
      <c r="H483" t="s"/>
      <c r="I483" t="s"/>
      <c r="J483" t="n">
        <v>0.6908</v>
      </c>
      <c r="K483" t="n">
        <v>0</v>
      </c>
      <c r="L483" t="n">
        <v>0.412</v>
      </c>
      <c r="M483" t="n">
        <v>0.588</v>
      </c>
    </row>
    <row r="484" spans="1:13">
      <c r="A484" s="1">
        <f>HYPERLINK("http://www.twitter.com/NathanBLawrence/status/996735872820277248", "996735872820277248")</f>
        <v/>
      </c>
      <c r="B484" s="2" t="n">
        <v>43236.5384837963</v>
      </c>
      <c r="C484" t="n">
        <v>0</v>
      </c>
      <c r="D484" t="n">
        <v>0</v>
      </c>
      <c r="E484" t="s">
        <v>495</v>
      </c>
      <c r="F484" t="s"/>
      <c r="G484" t="s"/>
      <c r="H484" t="s"/>
      <c r="I484" t="s"/>
      <c r="J484" t="n">
        <v>0</v>
      </c>
      <c r="K484" t="n">
        <v>0</v>
      </c>
      <c r="L484" t="n">
        <v>1</v>
      </c>
      <c r="M484" t="n">
        <v>0</v>
      </c>
    </row>
    <row r="485" spans="1:13">
      <c r="A485" s="1">
        <f>HYPERLINK("http://www.twitter.com/NathanBLawrence/status/996735168114196482", "996735168114196482")</f>
        <v/>
      </c>
      <c r="B485" s="2" t="n">
        <v>43236.53653935185</v>
      </c>
      <c r="C485" t="n">
        <v>32</v>
      </c>
      <c r="D485" t="n">
        <v>11</v>
      </c>
      <c r="E485" t="s">
        <v>496</v>
      </c>
      <c r="F485" t="s"/>
      <c r="G485" t="s"/>
      <c r="H485" t="s"/>
      <c r="I485" t="s"/>
      <c r="J485" t="n">
        <v>-0.2732</v>
      </c>
      <c r="K485" t="n">
        <v>0.077</v>
      </c>
      <c r="L485" t="n">
        <v>0.923</v>
      </c>
      <c r="M485" t="n">
        <v>0</v>
      </c>
    </row>
    <row r="486" spans="1:13">
      <c r="A486" s="1">
        <f>HYPERLINK("http://www.twitter.com/NathanBLawrence/status/996733793091416064", "996733793091416064")</f>
        <v/>
      </c>
      <c r="B486" s="2" t="n">
        <v>43236.53274305556</v>
      </c>
      <c r="C486" t="n">
        <v>0</v>
      </c>
      <c r="D486" t="n">
        <v>1</v>
      </c>
      <c r="E486" t="s">
        <v>497</v>
      </c>
      <c r="F486">
        <f>HYPERLINK("http://pbs.twimg.com/media/DdUbuVYX0AIh5Th.jpg", "http://pbs.twimg.com/media/DdUbuVYX0AIh5Th.jpg")</f>
        <v/>
      </c>
      <c r="G486" t="s"/>
      <c r="H486" t="s"/>
      <c r="I486" t="s"/>
      <c r="J486" t="n">
        <v>0</v>
      </c>
      <c r="K486" t="n">
        <v>0</v>
      </c>
      <c r="L486" t="n">
        <v>1</v>
      </c>
      <c r="M486" t="n">
        <v>0</v>
      </c>
    </row>
    <row r="487" spans="1:13">
      <c r="A487" s="1">
        <f>HYPERLINK("http://www.twitter.com/NathanBLawrence/status/996730314037911552", "996730314037911552")</f>
        <v/>
      </c>
      <c r="B487" s="2" t="n">
        <v>43236.52313657408</v>
      </c>
      <c r="C487" t="n">
        <v>0</v>
      </c>
      <c r="D487" t="n">
        <v>1</v>
      </c>
      <c r="E487" t="s">
        <v>498</v>
      </c>
      <c r="F487" t="s"/>
      <c r="G487" t="s"/>
      <c r="H487" t="s"/>
      <c r="I487" t="s"/>
      <c r="J487" t="n">
        <v>0</v>
      </c>
      <c r="K487" t="n">
        <v>0</v>
      </c>
      <c r="L487" t="n">
        <v>1</v>
      </c>
      <c r="M487" t="n">
        <v>0</v>
      </c>
    </row>
    <row r="488" spans="1:13">
      <c r="A488" s="1">
        <f>HYPERLINK("http://www.twitter.com/NathanBLawrence/status/996730307490566144", "996730307490566144")</f>
        <v/>
      </c>
      <c r="B488" s="2" t="n">
        <v>43236.523125</v>
      </c>
      <c r="C488" t="n">
        <v>1</v>
      </c>
      <c r="D488" t="n">
        <v>2</v>
      </c>
      <c r="E488" t="s">
        <v>499</v>
      </c>
      <c r="F488">
        <f>HYPERLINK("https://video.twimg.com/ext_tw_video/996730139789508610/pu/vid/640x360/HXttAfCKx_jzjcg_.mp4?tag=3", "https://video.twimg.com/ext_tw_video/996730139789508610/pu/vid/640x360/HXttAfCKx_jzjcg_.mp4?tag=3")</f>
        <v/>
      </c>
      <c r="G488" t="s"/>
      <c r="H488" t="s"/>
      <c r="I488" t="s"/>
      <c r="J488" t="n">
        <v>-0.3182</v>
      </c>
      <c r="K488" t="n">
        <v>0.15</v>
      </c>
      <c r="L488" t="n">
        <v>0.85</v>
      </c>
      <c r="M488" t="n">
        <v>0</v>
      </c>
    </row>
    <row r="489" spans="1:13">
      <c r="A489" s="1">
        <f>HYPERLINK("http://www.twitter.com/NathanBLawrence/status/996723012987686912", "996723012987686912")</f>
        <v/>
      </c>
      <c r="B489" s="2" t="n">
        <v>43236.50299768519</v>
      </c>
      <c r="C489" t="n">
        <v>0</v>
      </c>
      <c r="D489" t="n">
        <v>6935</v>
      </c>
      <c r="E489" t="s">
        <v>500</v>
      </c>
      <c r="F489" t="s"/>
      <c r="G489" t="s"/>
      <c r="H489" t="s"/>
      <c r="I489" t="s"/>
      <c r="J489" t="n">
        <v>0.4767</v>
      </c>
      <c r="K489" t="n">
        <v>0</v>
      </c>
      <c r="L489" t="n">
        <v>0.83</v>
      </c>
      <c r="M489" t="n">
        <v>0.17</v>
      </c>
    </row>
    <row r="490" spans="1:13">
      <c r="A490" s="1">
        <f>HYPERLINK("http://www.twitter.com/NathanBLawrence/status/996660187158237184", "996660187158237184")</f>
        <v/>
      </c>
      <c r="B490" s="2" t="n">
        <v>43236.32962962963</v>
      </c>
      <c r="C490" t="n">
        <v>0</v>
      </c>
      <c r="D490" t="n">
        <v>3697</v>
      </c>
      <c r="E490" t="s">
        <v>501</v>
      </c>
      <c r="F490" t="s"/>
      <c r="G490" t="s"/>
      <c r="H490" t="s"/>
      <c r="I490" t="s"/>
      <c r="J490" t="n">
        <v>0</v>
      </c>
      <c r="K490" t="n">
        <v>0</v>
      </c>
      <c r="L490" t="n">
        <v>1</v>
      </c>
      <c r="M490" t="n">
        <v>0</v>
      </c>
    </row>
    <row r="491" spans="1:13">
      <c r="A491" s="1">
        <f>HYPERLINK("http://www.twitter.com/NathanBLawrence/status/996658910869245952", "996658910869245952")</f>
        <v/>
      </c>
      <c r="B491" s="2" t="n">
        <v>43236.32611111111</v>
      </c>
      <c r="C491" t="n">
        <v>0</v>
      </c>
      <c r="D491" t="n">
        <v>0</v>
      </c>
      <c r="E491" t="s">
        <v>502</v>
      </c>
      <c r="F491" t="s"/>
      <c r="G491" t="s"/>
      <c r="H491" t="s"/>
      <c r="I491" t="s"/>
      <c r="J491" t="n">
        <v>-0.2732</v>
      </c>
      <c r="K491" t="n">
        <v>0.231</v>
      </c>
      <c r="L491" t="n">
        <v>0.769</v>
      </c>
      <c r="M491" t="n">
        <v>0</v>
      </c>
    </row>
    <row r="492" spans="1:13">
      <c r="A492" s="1">
        <f>HYPERLINK("http://www.twitter.com/NathanBLawrence/status/996658540055007234", "996658540055007234")</f>
        <v/>
      </c>
      <c r="B492" s="2" t="n">
        <v>43236.32508101852</v>
      </c>
      <c r="C492" t="n">
        <v>2</v>
      </c>
      <c r="D492" t="n">
        <v>2</v>
      </c>
      <c r="E492" t="s">
        <v>503</v>
      </c>
      <c r="F492" t="s"/>
      <c r="G492" t="s"/>
      <c r="H492" t="s"/>
      <c r="I492" t="s"/>
      <c r="J492" t="n">
        <v>-0.4767</v>
      </c>
      <c r="K492" t="n">
        <v>0.383</v>
      </c>
      <c r="L492" t="n">
        <v>0.617</v>
      </c>
      <c r="M492" t="n">
        <v>0</v>
      </c>
    </row>
    <row r="493" spans="1:13">
      <c r="A493" s="1">
        <f>HYPERLINK("http://www.twitter.com/NathanBLawrence/status/996657113010200576", "996657113010200576")</f>
        <v/>
      </c>
      <c r="B493" s="2" t="n">
        <v>43236.32114583333</v>
      </c>
      <c r="C493" t="n">
        <v>0</v>
      </c>
      <c r="D493" t="n">
        <v>606</v>
      </c>
      <c r="E493" t="s">
        <v>504</v>
      </c>
      <c r="F493">
        <f>HYPERLINK("http://pbs.twimg.com/media/DZPVrCWWsAEoFW9.png", "http://pbs.twimg.com/media/DZPVrCWWsAEoFW9.png")</f>
        <v/>
      </c>
      <c r="G493" t="s"/>
      <c r="H493" t="s"/>
      <c r="I493" t="s"/>
      <c r="J493" t="n">
        <v>0.2695</v>
      </c>
      <c r="K493" t="n">
        <v>0</v>
      </c>
      <c r="L493" t="n">
        <v>0.891</v>
      </c>
      <c r="M493" t="n">
        <v>0.109</v>
      </c>
    </row>
    <row r="494" spans="1:13">
      <c r="A494" s="1">
        <f>HYPERLINK("http://www.twitter.com/NathanBLawrence/status/996657060585623552", "996657060585623552")</f>
        <v/>
      </c>
      <c r="B494" s="2" t="n">
        <v>43236.32099537037</v>
      </c>
      <c r="C494" t="n">
        <v>0</v>
      </c>
      <c r="D494" t="n">
        <v>383</v>
      </c>
      <c r="E494" t="s">
        <v>505</v>
      </c>
      <c r="F494">
        <f>HYPERLINK("http://pbs.twimg.com/media/DZPXYGsWAAIMr4X.jpg", "http://pbs.twimg.com/media/DZPXYGsWAAIMr4X.jpg")</f>
        <v/>
      </c>
      <c r="G494" t="s"/>
      <c r="H494" t="s"/>
      <c r="I494" t="s"/>
      <c r="J494" t="n">
        <v>0.3182</v>
      </c>
      <c r="K494" t="n">
        <v>0</v>
      </c>
      <c r="L494" t="n">
        <v>0.85</v>
      </c>
      <c r="M494" t="n">
        <v>0.15</v>
      </c>
    </row>
    <row r="495" spans="1:13">
      <c r="A495" s="1">
        <f>HYPERLINK("http://www.twitter.com/NathanBLawrence/status/996657038813007872", "996657038813007872")</f>
        <v/>
      </c>
      <c r="B495" s="2" t="n">
        <v>43236.3209375</v>
      </c>
      <c r="C495" t="n">
        <v>0</v>
      </c>
      <c r="D495" t="n">
        <v>365</v>
      </c>
      <c r="E495" t="s">
        <v>506</v>
      </c>
      <c r="F495">
        <f>HYPERLINK("http://pbs.twimg.com/media/DZPZCb-U8AEreTi.jpg", "http://pbs.twimg.com/media/DZPZCb-U8AEreTi.jpg")</f>
        <v/>
      </c>
      <c r="G495" t="s"/>
      <c r="H495" t="s"/>
      <c r="I495" t="s"/>
      <c r="J495" t="n">
        <v>0</v>
      </c>
      <c r="K495" t="n">
        <v>0</v>
      </c>
      <c r="L495" t="n">
        <v>1</v>
      </c>
      <c r="M495" t="n">
        <v>0</v>
      </c>
    </row>
    <row r="496" spans="1:13">
      <c r="A496" s="1">
        <f>HYPERLINK("http://www.twitter.com/NathanBLawrence/status/996657016574808069", "996657016574808069")</f>
        <v/>
      </c>
      <c r="B496" s="2" t="n">
        <v>43236.32087962963</v>
      </c>
      <c r="C496" t="n">
        <v>0</v>
      </c>
      <c r="D496" t="n">
        <v>321</v>
      </c>
      <c r="E496" t="s">
        <v>507</v>
      </c>
      <c r="F496">
        <f>HYPERLINK("http://pbs.twimg.com/media/DZPbwgAVAAAmko8.jpg", "http://pbs.twimg.com/media/DZPbwgAVAAAmko8.jpg")</f>
        <v/>
      </c>
      <c r="G496" t="s"/>
      <c r="H496" t="s"/>
      <c r="I496" t="s"/>
      <c r="J496" t="n">
        <v>0</v>
      </c>
      <c r="K496" t="n">
        <v>0</v>
      </c>
      <c r="L496" t="n">
        <v>1</v>
      </c>
      <c r="M496" t="n">
        <v>0</v>
      </c>
    </row>
    <row r="497" spans="1:13">
      <c r="A497" s="1">
        <f>HYPERLINK("http://www.twitter.com/NathanBLawrence/status/996656997541072896", "996656997541072896")</f>
        <v/>
      </c>
      <c r="B497" s="2" t="n">
        <v>43236.32082175926</v>
      </c>
      <c r="C497" t="n">
        <v>0</v>
      </c>
      <c r="D497" t="n">
        <v>422</v>
      </c>
      <c r="E497" t="s">
        <v>508</v>
      </c>
      <c r="F497">
        <f>HYPERLINK("http://pbs.twimg.com/media/DZPdz0QVQAA3AzW.jpg", "http://pbs.twimg.com/media/DZPdz0QVQAA3AzW.jpg")</f>
        <v/>
      </c>
      <c r="G497" t="s"/>
      <c r="H497" t="s"/>
      <c r="I497" t="s"/>
      <c r="J497" t="n">
        <v>0</v>
      </c>
      <c r="K497" t="n">
        <v>0</v>
      </c>
      <c r="L497" t="n">
        <v>1</v>
      </c>
      <c r="M497" t="n">
        <v>0</v>
      </c>
    </row>
    <row r="498" spans="1:13">
      <c r="A498" s="1">
        <f>HYPERLINK("http://www.twitter.com/NathanBLawrence/status/996656975256735745", "996656975256735745")</f>
        <v/>
      </c>
      <c r="B498" s="2" t="n">
        <v>43236.32076388889</v>
      </c>
      <c r="C498" t="n">
        <v>0</v>
      </c>
      <c r="D498" t="n">
        <v>230</v>
      </c>
      <c r="E498" t="s">
        <v>509</v>
      </c>
      <c r="F498" t="s"/>
      <c r="G498" t="s"/>
      <c r="H498" t="s"/>
      <c r="I498" t="s"/>
      <c r="J498" t="n">
        <v>0</v>
      </c>
      <c r="K498" t="n">
        <v>0</v>
      </c>
      <c r="L498" t="n">
        <v>1</v>
      </c>
      <c r="M498" t="n">
        <v>0</v>
      </c>
    </row>
    <row r="499" spans="1:13">
      <c r="A499" s="1">
        <f>HYPERLINK("http://www.twitter.com/NathanBLawrence/status/996656949394632706", "996656949394632706")</f>
        <v/>
      </c>
      <c r="B499" s="2" t="n">
        <v>43236.32069444445</v>
      </c>
      <c r="C499" t="n">
        <v>0</v>
      </c>
      <c r="D499" t="n">
        <v>251</v>
      </c>
      <c r="E499" t="s">
        <v>510</v>
      </c>
      <c r="F499">
        <f>HYPERLINK("http://pbs.twimg.com/media/DZPjZw2VQAEslM4.jpg", "http://pbs.twimg.com/media/DZPjZw2VQAEslM4.jpg")</f>
        <v/>
      </c>
      <c r="G499" t="s"/>
      <c r="H499" t="s"/>
      <c r="I499" t="s"/>
      <c r="J499" t="n">
        <v>0</v>
      </c>
      <c r="K499" t="n">
        <v>0</v>
      </c>
      <c r="L499" t="n">
        <v>1</v>
      </c>
      <c r="M499" t="n">
        <v>0</v>
      </c>
    </row>
    <row r="500" spans="1:13">
      <c r="A500" s="1">
        <f>HYPERLINK("http://www.twitter.com/NathanBLawrence/status/996656924421775360", "996656924421775360")</f>
        <v/>
      </c>
      <c r="B500" s="2" t="n">
        <v>43236.320625</v>
      </c>
      <c r="C500" t="n">
        <v>0</v>
      </c>
      <c r="D500" t="n">
        <v>231</v>
      </c>
      <c r="E500" t="s">
        <v>511</v>
      </c>
      <c r="F500">
        <f>HYPERLINK("http://pbs.twimg.com/media/DZPlLjPVwAAQltc.jpg", "http://pbs.twimg.com/media/DZPlLjPVwAAQltc.jpg")</f>
        <v/>
      </c>
      <c r="G500" t="s"/>
      <c r="H500" t="s"/>
      <c r="I500" t="s"/>
      <c r="J500" t="n">
        <v>0</v>
      </c>
      <c r="K500" t="n">
        <v>0</v>
      </c>
      <c r="L500" t="n">
        <v>1</v>
      </c>
      <c r="M500" t="n">
        <v>0</v>
      </c>
    </row>
    <row r="501" spans="1:13">
      <c r="A501" s="1">
        <f>HYPERLINK("http://www.twitter.com/NathanBLawrence/status/996656890582007810", "996656890582007810")</f>
        <v/>
      </c>
      <c r="B501" s="2" t="n">
        <v>43236.32053240741</v>
      </c>
      <c r="C501" t="n">
        <v>0</v>
      </c>
      <c r="D501" t="n">
        <v>246</v>
      </c>
      <c r="E501" t="s">
        <v>512</v>
      </c>
      <c r="F501">
        <f>HYPERLINK("http://pbs.twimg.com/media/DZPl8qRU0AAa9cz.png", "http://pbs.twimg.com/media/DZPl8qRU0AAa9cz.png")</f>
        <v/>
      </c>
      <c r="G501" t="s"/>
      <c r="H501" t="s"/>
      <c r="I501" t="s"/>
      <c r="J501" t="n">
        <v>0</v>
      </c>
      <c r="K501" t="n">
        <v>0</v>
      </c>
      <c r="L501" t="n">
        <v>1</v>
      </c>
      <c r="M501" t="n">
        <v>0</v>
      </c>
    </row>
    <row r="502" spans="1:13">
      <c r="A502" s="1">
        <f>HYPERLINK("http://www.twitter.com/NathanBLawrence/status/996656867811225600", "996656867811225600")</f>
        <v/>
      </c>
      <c r="B502" s="2" t="n">
        <v>43236.32046296296</v>
      </c>
      <c r="C502" t="n">
        <v>0</v>
      </c>
      <c r="D502" t="n">
        <v>231</v>
      </c>
      <c r="E502" t="s">
        <v>513</v>
      </c>
      <c r="F502">
        <f>HYPERLINK("http://pbs.twimg.com/media/DZPmtHRVAAAs0Fn.jpg", "http://pbs.twimg.com/media/DZPmtHRVAAAs0Fn.jpg")</f>
        <v/>
      </c>
      <c r="G502" t="s"/>
      <c r="H502" t="s"/>
      <c r="I502" t="s"/>
      <c r="J502" t="n">
        <v>0</v>
      </c>
      <c r="K502" t="n">
        <v>0</v>
      </c>
      <c r="L502" t="n">
        <v>1</v>
      </c>
      <c r="M502" t="n">
        <v>0</v>
      </c>
    </row>
    <row r="503" spans="1:13">
      <c r="A503" s="1">
        <f>HYPERLINK("http://www.twitter.com/NathanBLawrence/status/996656845791154176", "996656845791154176")</f>
        <v/>
      </c>
      <c r="B503" s="2" t="n">
        <v>43236.32040509259</v>
      </c>
      <c r="C503" t="n">
        <v>0</v>
      </c>
      <c r="D503" t="n">
        <v>240</v>
      </c>
      <c r="E503" t="s">
        <v>514</v>
      </c>
      <c r="F503">
        <f>HYPERLINK("http://pbs.twimg.com/media/DZPnWIDUQAA3OHL.jpg", "http://pbs.twimg.com/media/DZPnWIDUQAA3OHL.jpg")</f>
        <v/>
      </c>
      <c r="G503" t="s"/>
      <c r="H503" t="s"/>
      <c r="I503" t="s"/>
      <c r="J503" t="n">
        <v>0</v>
      </c>
      <c r="K503" t="n">
        <v>0</v>
      </c>
      <c r="L503" t="n">
        <v>1</v>
      </c>
      <c r="M503" t="n">
        <v>0</v>
      </c>
    </row>
    <row r="504" spans="1:13">
      <c r="A504" s="1">
        <f>HYPERLINK("http://www.twitter.com/NathanBLawrence/status/996656824672714753", "996656824672714753")</f>
        <v/>
      </c>
      <c r="B504" s="2" t="n">
        <v>43236.32034722222</v>
      </c>
      <c r="C504" t="n">
        <v>0</v>
      </c>
      <c r="D504" t="n">
        <v>279</v>
      </c>
      <c r="E504" t="s">
        <v>515</v>
      </c>
      <c r="F504">
        <f>HYPERLINK("http://pbs.twimg.com/media/DZPpDHqU0AA66-U.jpg", "http://pbs.twimg.com/media/DZPpDHqU0AA66-U.jpg")</f>
        <v/>
      </c>
      <c r="G504" t="s"/>
      <c r="H504" t="s"/>
      <c r="I504" t="s"/>
      <c r="J504" t="n">
        <v>0</v>
      </c>
      <c r="K504" t="n">
        <v>0</v>
      </c>
      <c r="L504" t="n">
        <v>1</v>
      </c>
      <c r="M504" t="n">
        <v>0</v>
      </c>
    </row>
    <row r="505" spans="1:13">
      <c r="A505" s="1">
        <f>HYPERLINK("http://www.twitter.com/NathanBLawrence/status/996656797657325568", "996656797657325568")</f>
        <v/>
      </c>
      <c r="B505" s="2" t="n">
        <v>43236.32027777778</v>
      </c>
      <c r="C505" t="n">
        <v>0</v>
      </c>
      <c r="D505" t="n">
        <v>303</v>
      </c>
      <c r="E505" t="s">
        <v>516</v>
      </c>
      <c r="F505">
        <f>HYPERLINK("http://pbs.twimg.com/media/DZPqL6jU8AAtm-0.jpg", "http://pbs.twimg.com/media/DZPqL6jU8AAtm-0.jpg")</f>
        <v/>
      </c>
      <c r="G505" t="s"/>
      <c r="H505" t="s"/>
      <c r="I505" t="s"/>
      <c r="J505" t="n">
        <v>0</v>
      </c>
      <c r="K505" t="n">
        <v>0</v>
      </c>
      <c r="L505" t="n">
        <v>1</v>
      </c>
      <c r="M505" t="n">
        <v>0</v>
      </c>
    </row>
    <row r="506" spans="1:13">
      <c r="A506" s="1">
        <f>HYPERLINK("http://www.twitter.com/NathanBLawrence/status/996656546804269056", "996656546804269056")</f>
        <v/>
      </c>
      <c r="B506" s="2" t="n">
        <v>43236.31958333333</v>
      </c>
      <c r="C506" t="n">
        <v>0</v>
      </c>
      <c r="D506" t="n">
        <v>2</v>
      </c>
      <c r="E506" t="s">
        <v>480</v>
      </c>
      <c r="F506" t="s"/>
      <c r="G506" t="s"/>
      <c r="H506" t="s"/>
      <c r="I506" t="s"/>
      <c r="J506" t="n">
        <v>0</v>
      </c>
      <c r="K506" t="n">
        <v>0</v>
      </c>
      <c r="L506" t="n">
        <v>1</v>
      </c>
      <c r="M506" t="n">
        <v>0</v>
      </c>
    </row>
    <row r="507" spans="1:13">
      <c r="A507" s="1">
        <f>HYPERLINK("http://www.twitter.com/NathanBLawrence/status/996654549493604352", "996654549493604352")</f>
        <v/>
      </c>
      <c r="B507" s="2" t="n">
        <v>43236.31407407407</v>
      </c>
      <c r="C507" t="n">
        <v>0</v>
      </c>
      <c r="D507" t="n">
        <v>37</v>
      </c>
      <c r="E507" t="s">
        <v>517</v>
      </c>
      <c r="F507" t="s"/>
      <c r="G507" t="s"/>
      <c r="H507" t="s"/>
      <c r="I507" t="s"/>
      <c r="J507" t="n">
        <v>0</v>
      </c>
      <c r="K507" t="n">
        <v>0</v>
      </c>
      <c r="L507" t="n">
        <v>1</v>
      </c>
      <c r="M507" t="n">
        <v>0</v>
      </c>
    </row>
    <row r="508" spans="1:13">
      <c r="A508" s="1">
        <f>HYPERLINK("http://www.twitter.com/NathanBLawrence/status/996654396019826688", "996654396019826688")</f>
        <v/>
      </c>
      <c r="B508" s="2" t="n">
        <v>43236.31364583333</v>
      </c>
      <c r="C508" t="n">
        <v>0</v>
      </c>
      <c r="D508" t="n">
        <v>3</v>
      </c>
      <c r="E508" t="s">
        <v>518</v>
      </c>
      <c r="F508">
        <f>HYPERLINK("http://pbs.twimg.com/media/DdS8W6HX4AAFLhZ.jpg", "http://pbs.twimg.com/media/DdS8W6HX4AAFLhZ.jpg")</f>
        <v/>
      </c>
      <c r="G508" t="s"/>
      <c r="H508" t="s"/>
      <c r="I508" t="s"/>
      <c r="J508" t="n">
        <v>0</v>
      </c>
      <c r="K508" t="n">
        <v>0</v>
      </c>
      <c r="L508" t="n">
        <v>1</v>
      </c>
      <c r="M508" t="n">
        <v>0</v>
      </c>
    </row>
    <row r="509" spans="1:13">
      <c r="A509" s="1">
        <f>HYPERLINK("http://www.twitter.com/NathanBLawrence/status/996602635695349760", "996602635695349760")</f>
        <v/>
      </c>
      <c r="B509" s="2" t="n">
        <v>43236.17081018518</v>
      </c>
      <c r="C509" t="n">
        <v>0</v>
      </c>
      <c r="D509" t="n">
        <v>1</v>
      </c>
      <c r="E509" t="s">
        <v>519</v>
      </c>
      <c r="F509" t="s"/>
      <c r="G509" t="s"/>
      <c r="H509" t="s"/>
      <c r="I509" t="s"/>
      <c r="J509" t="n">
        <v>0.5859</v>
      </c>
      <c r="K509" t="n">
        <v>0</v>
      </c>
      <c r="L509" t="n">
        <v>0.868</v>
      </c>
      <c r="M509" t="n">
        <v>0.132</v>
      </c>
    </row>
    <row r="510" spans="1:13">
      <c r="A510" s="1">
        <f>HYPERLINK("http://www.twitter.com/NathanBLawrence/status/996594734297731073", "996594734297731073")</f>
        <v/>
      </c>
      <c r="B510" s="2" t="n">
        <v>43236.1490162037</v>
      </c>
      <c r="C510" t="n">
        <v>0</v>
      </c>
      <c r="D510" t="n">
        <v>10</v>
      </c>
      <c r="E510" t="s">
        <v>520</v>
      </c>
      <c r="F510" t="s"/>
      <c r="G510" t="s"/>
      <c r="H510" t="s"/>
      <c r="I510" t="s"/>
      <c r="J510" t="n">
        <v>0.5185</v>
      </c>
      <c r="K510" t="n">
        <v>0</v>
      </c>
      <c r="L510" t="n">
        <v>0.878</v>
      </c>
      <c r="M510" t="n">
        <v>0.122</v>
      </c>
    </row>
    <row r="511" spans="1:13">
      <c r="A511" s="1">
        <f>HYPERLINK("http://www.twitter.com/NathanBLawrence/status/996560204299952128", "996560204299952128")</f>
        <v/>
      </c>
      <c r="B511" s="2" t="n">
        <v>43236.05372685185</v>
      </c>
      <c r="C511" t="n">
        <v>0</v>
      </c>
      <c r="D511" t="n">
        <v>0</v>
      </c>
      <c r="E511" t="s">
        <v>521</v>
      </c>
      <c r="F511" t="s"/>
      <c r="G511" t="s"/>
      <c r="H511" t="s"/>
      <c r="I511" t="s"/>
      <c r="J511" t="n">
        <v>0</v>
      </c>
      <c r="K511" t="n">
        <v>0</v>
      </c>
      <c r="L511" t="n">
        <v>1</v>
      </c>
      <c r="M511" t="n">
        <v>0</v>
      </c>
    </row>
    <row r="512" spans="1:13">
      <c r="A512" s="1">
        <f>HYPERLINK("http://www.twitter.com/NathanBLawrence/status/996552533266051072", "996552533266051072")</f>
        <v/>
      </c>
      <c r="B512" s="2" t="n">
        <v>43236.03255787037</v>
      </c>
      <c r="C512" t="n">
        <v>0</v>
      </c>
      <c r="D512" t="n">
        <v>8</v>
      </c>
      <c r="E512" t="s">
        <v>522</v>
      </c>
      <c r="F512">
        <f>HYPERLINK("http://pbs.twimg.com/media/DdRm49xUQAAKnZM.jpg", "http://pbs.twimg.com/media/DdRm49xUQAAKnZM.jpg")</f>
        <v/>
      </c>
      <c r="G512">
        <f>HYPERLINK("http://pbs.twimg.com/media/DdRm5uaVMAAvsrL.jpg", "http://pbs.twimg.com/media/DdRm5uaVMAAvsrL.jpg")</f>
        <v/>
      </c>
      <c r="H512" t="s"/>
      <c r="I512" t="s"/>
      <c r="J512" t="n">
        <v>0.826</v>
      </c>
      <c r="K512" t="n">
        <v>0.08799999999999999</v>
      </c>
      <c r="L512" t="n">
        <v>0.544</v>
      </c>
      <c r="M512" t="n">
        <v>0.368</v>
      </c>
    </row>
    <row r="513" spans="1:13">
      <c r="A513" s="1">
        <f>HYPERLINK("http://www.twitter.com/NathanBLawrence/status/996534766911590400", "996534766911590400")</f>
        <v/>
      </c>
      <c r="B513" s="2" t="n">
        <v>43235.98353009259</v>
      </c>
      <c r="C513" t="n">
        <v>0</v>
      </c>
      <c r="D513" t="n">
        <v>22</v>
      </c>
      <c r="E513" t="s">
        <v>523</v>
      </c>
      <c r="F513" t="s"/>
      <c r="G513" t="s"/>
      <c r="H513" t="s"/>
      <c r="I513" t="s"/>
      <c r="J513" t="n">
        <v>0</v>
      </c>
      <c r="K513" t="n">
        <v>0</v>
      </c>
      <c r="L513" t="n">
        <v>1</v>
      </c>
      <c r="M513" t="n">
        <v>0</v>
      </c>
    </row>
    <row r="514" spans="1:13">
      <c r="A514" s="1">
        <f>HYPERLINK("http://www.twitter.com/NathanBLawrence/status/996532509893648389", "996532509893648389")</f>
        <v/>
      </c>
      <c r="B514" s="2" t="n">
        <v>43235.97730324074</v>
      </c>
      <c r="C514" t="n">
        <v>0</v>
      </c>
      <c r="D514" t="n">
        <v>5</v>
      </c>
      <c r="E514" t="s">
        <v>524</v>
      </c>
      <c r="F514" t="s"/>
      <c r="G514" t="s"/>
      <c r="H514" t="s"/>
      <c r="I514" t="s"/>
      <c r="J514" t="n">
        <v>-0.6486</v>
      </c>
      <c r="K514" t="n">
        <v>0.227</v>
      </c>
      <c r="L514" t="n">
        <v>0.773</v>
      </c>
      <c r="M514" t="n">
        <v>0</v>
      </c>
    </row>
    <row r="515" spans="1:13">
      <c r="A515" s="1">
        <f>HYPERLINK("http://www.twitter.com/NathanBLawrence/status/996528781878857729", "996528781878857729")</f>
        <v/>
      </c>
      <c r="B515" s="2" t="n">
        <v>43235.96701388889</v>
      </c>
      <c r="C515" t="n">
        <v>4</v>
      </c>
      <c r="D515" t="n">
        <v>5</v>
      </c>
      <c r="E515" t="s">
        <v>525</v>
      </c>
      <c r="F515">
        <f>HYPERLINK("http://pbs.twimg.com/media/DdRhpRUUwAEHg39.jpg", "http://pbs.twimg.com/media/DdRhpRUUwAEHg39.jpg")</f>
        <v/>
      </c>
      <c r="G515" t="s"/>
      <c r="H515" t="s"/>
      <c r="I515" t="s"/>
      <c r="J515" t="n">
        <v>0</v>
      </c>
      <c r="K515" t="n">
        <v>0</v>
      </c>
      <c r="L515" t="n">
        <v>1</v>
      </c>
      <c r="M515" t="n">
        <v>0</v>
      </c>
    </row>
    <row r="516" spans="1:13">
      <c r="A516" s="1">
        <f>HYPERLINK("http://www.twitter.com/NathanBLawrence/status/996528294886592512", "996528294886592512")</f>
        <v/>
      </c>
      <c r="B516" s="2" t="n">
        <v>43235.9656712963</v>
      </c>
      <c r="C516" t="n">
        <v>0</v>
      </c>
      <c r="D516" t="n">
        <v>1</v>
      </c>
      <c r="E516" t="s">
        <v>526</v>
      </c>
      <c r="F516" t="s"/>
      <c r="G516" t="s"/>
      <c r="H516" t="s"/>
      <c r="I516" t="s"/>
      <c r="J516" t="n">
        <v>0</v>
      </c>
      <c r="K516" t="n">
        <v>0</v>
      </c>
      <c r="L516" t="n">
        <v>1</v>
      </c>
      <c r="M516" t="n">
        <v>0</v>
      </c>
    </row>
    <row r="517" spans="1:13">
      <c r="A517" s="1">
        <f>HYPERLINK("http://www.twitter.com/NathanBLawrence/status/996527656446414849", "996527656446414849")</f>
        <v/>
      </c>
      <c r="B517" s="2" t="n">
        <v>43235.96391203703</v>
      </c>
      <c r="C517" t="n">
        <v>0</v>
      </c>
      <c r="D517" t="n">
        <v>14</v>
      </c>
      <c r="E517" t="s">
        <v>527</v>
      </c>
      <c r="F517" t="s"/>
      <c r="G517" t="s"/>
      <c r="H517" t="s"/>
      <c r="I517" t="s"/>
      <c r="J517" t="n">
        <v>0.3612</v>
      </c>
      <c r="K517" t="n">
        <v>0</v>
      </c>
      <c r="L517" t="n">
        <v>0.894</v>
      </c>
      <c r="M517" t="n">
        <v>0.106</v>
      </c>
    </row>
    <row r="518" spans="1:13">
      <c r="A518" s="1">
        <f>HYPERLINK("http://www.twitter.com/NathanBLawrence/status/996527353693077505", "996527353693077505")</f>
        <v/>
      </c>
      <c r="B518" s="2" t="n">
        <v>43235.9630787037</v>
      </c>
      <c r="C518" t="n">
        <v>0</v>
      </c>
      <c r="D518" t="n">
        <v>6</v>
      </c>
      <c r="E518" t="s">
        <v>528</v>
      </c>
      <c r="F518">
        <f>HYPERLINK("http://pbs.twimg.com/media/DXrVgIMXUAAZxjC.jpg", "http://pbs.twimg.com/media/DXrVgIMXUAAZxjC.jpg")</f>
        <v/>
      </c>
      <c r="G518">
        <f>HYPERLINK("http://pbs.twimg.com/media/DXrVgIPW0AE836N.jpg", "http://pbs.twimg.com/media/DXrVgIPW0AE836N.jpg")</f>
        <v/>
      </c>
      <c r="H518">
        <f>HYPERLINK("http://pbs.twimg.com/media/DXrVgILWkAIYuL1.jpg", "http://pbs.twimg.com/media/DXrVgILWkAIYuL1.jpg")</f>
        <v/>
      </c>
      <c r="I518" t="s"/>
      <c r="J518" t="n">
        <v>0</v>
      </c>
      <c r="K518" t="n">
        <v>0</v>
      </c>
      <c r="L518" t="n">
        <v>1</v>
      </c>
      <c r="M518" t="n">
        <v>0</v>
      </c>
    </row>
    <row r="519" spans="1:13">
      <c r="A519" s="1">
        <f>HYPERLINK("http://www.twitter.com/NathanBLawrence/status/996527182276186112", "996527182276186112")</f>
        <v/>
      </c>
      <c r="B519" s="2" t="n">
        <v>43235.96260416666</v>
      </c>
      <c r="C519" t="n">
        <v>0</v>
      </c>
      <c r="D519" t="n">
        <v>8</v>
      </c>
      <c r="E519" t="s">
        <v>529</v>
      </c>
      <c r="F519">
        <f>HYPERLINK("https://video.twimg.com/ext_tw_video/996519068818526209/pu/vid/1280x720/LwsOob4EoU7uPT0Y.mp4?tag=3", "https://video.twimg.com/ext_tw_video/996519068818526209/pu/vid/1280x720/LwsOob4EoU7uPT0Y.mp4?tag=3")</f>
        <v/>
      </c>
      <c r="G519" t="s"/>
      <c r="H519" t="s"/>
      <c r="I519" t="s"/>
      <c r="J519" t="n">
        <v>0.296</v>
      </c>
      <c r="K519" t="n">
        <v>0.16</v>
      </c>
      <c r="L519" t="n">
        <v>0.533</v>
      </c>
      <c r="M519" t="n">
        <v>0.307</v>
      </c>
    </row>
    <row r="520" spans="1:13">
      <c r="A520" s="1">
        <f>HYPERLINK("http://www.twitter.com/NathanBLawrence/status/996527164181942272", "996527164181942272")</f>
        <v/>
      </c>
      <c r="B520" s="2" t="n">
        <v>43235.96255787037</v>
      </c>
      <c r="C520" t="n">
        <v>0</v>
      </c>
      <c r="D520" t="n">
        <v>14</v>
      </c>
      <c r="E520" t="s">
        <v>530</v>
      </c>
      <c r="F520" t="s"/>
      <c r="G520" t="s"/>
      <c r="H520" t="s"/>
      <c r="I520" t="s"/>
      <c r="J520" t="n">
        <v>-0.4648</v>
      </c>
      <c r="K520" t="n">
        <v>0.121</v>
      </c>
      <c r="L520" t="n">
        <v>0.879</v>
      </c>
      <c r="M520" t="n">
        <v>0</v>
      </c>
    </row>
    <row r="521" spans="1:13">
      <c r="A521" s="1">
        <f>HYPERLINK("http://www.twitter.com/NathanBLawrence/status/996527136818245633", "996527136818245633")</f>
        <v/>
      </c>
      <c r="B521" s="2" t="n">
        <v>43235.96247685186</v>
      </c>
      <c r="C521" t="n">
        <v>0</v>
      </c>
      <c r="D521" t="n">
        <v>5</v>
      </c>
      <c r="E521" t="s">
        <v>531</v>
      </c>
      <c r="F521">
        <f>HYPERLINK("http://pbs.twimg.com/media/DdRRzEgUwAABJWa.jpg", "http://pbs.twimg.com/media/DdRRzEgUwAABJWa.jpg")</f>
        <v/>
      </c>
      <c r="G521" t="s"/>
      <c r="H521" t="s"/>
      <c r="I521" t="s"/>
      <c r="J521" t="n">
        <v>0</v>
      </c>
      <c r="K521" t="n">
        <v>0</v>
      </c>
      <c r="L521" t="n">
        <v>1</v>
      </c>
      <c r="M521" t="n">
        <v>0</v>
      </c>
    </row>
    <row r="522" spans="1:13">
      <c r="A522" s="1">
        <f>HYPERLINK("http://www.twitter.com/NathanBLawrence/status/996526387753340928", "996526387753340928")</f>
        <v/>
      </c>
      <c r="B522" s="2" t="n">
        <v>43235.96041666667</v>
      </c>
      <c r="C522" t="n">
        <v>0</v>
      </c>
      <c r="D522" t="n">
        <v>1</v>
      </c>
      <c r="E522" t="s">
        <v>532</v>
      </c>
      <c r="F522">
        <f>HYPERLINK("https://video.twimg.com/ext_tw_video/996525884893941761/pu/vid/1280x720/VuHPLR64Xu0LT-kO.mp4?tag=3", "https://video.twimg.com/ext_tw_video/996525884893941761/pu/vid/1280x720/VuHPLR64Xu0LT-kO.mp4?tag=3")</f>
        <v/>
      </c>
      <c r="G522" t="s"/>
      <c r="H522" t="s"/>
      <c r="I522" t="s"/>
      <c r="J522" t="n">
        <v>0.0772</v>
      </c>
      <c r="K522" t="n">
        <v>0</v>
      </c>
      <c r="L522" t="n">
        <v>0.925</v>
      </c>
      <c r="M522" t="n">
        <v>0.075</v>
      </c>
    </row>
    <row r="523" spans="1:13">
      <c r="A523" s="1">
        <f>HYPERLINK("http://www.twitter.com/NathanBLawrence/status/996524762988990465", "996524762988990465")</f>
        <v/>
      </c>
      <c r="B523" s="2" t="n">
        <v>43235.95592592593</v>
      </c>
      <c r="C523" t="n">
        <v>1</v>
      </c>
      <c r="D523" t="n">
        <v>0</v>
      </c>
      <c r="E523" t="s">
        <v>533</v>
      </c>
      <c r="F523" t="s"/>
      <c r="G523" t="s"/>
      <c r="H523" t="s"/>
      <c r="I523" t="s"/>
      <c r="J523" t="n">
        <v>0.4588</v>
      </c>
      <c r="K523" t="n">
        <v>0</v>
      </c>
      <c r="L523" t="n">
        <v>0.733</v>
      </c>
      <c r="M523" t="n">
        <v>0.267</v>
      </c>
    </row>
    <row r="524" spans="1:13">
      <c r="A524" s="1">
        <f>HYPERLINK("http://www.twitter.com/NathanBLawrence/status/996524075743924225", "996524075743924225")</f>
        <v/>
      </c>
      <c r="B524" s="2" t="n">
        <v>43235.95402777778</v>
      </c>
      <c r="C524" t="n">
        <v>0</v>
      </c>
      <c r="D524" t="n">
        <v>19</v>
      </c>
      <c r="E524" t="s">
        <v>534</v>
      </c>
      <c r="F524">
        <f>HYPERLINK("http://pbs.twimg.com/media/DdRXcuYUwAABlSr.jpg", "http://pbs.twimg.com/media/DdRXcuYUwAABlSr.jpg")</f>
        <v/>
      </c>
      <c r="G524" t="s"/>
      <c r="H524" t="s"/>
      <c r="I524" t="s"/>
      <c r="J524" t="n">
        <v>0</v>
      </c>
      <c r="K524" t="n">
        <v>0</v>
      </c>
      <c r="L524" t="n">
        <v>1</v>
      </c>
      <c r="M524" t="n">
        <v>0</v>
      </c>
    </row>
    <row r="525" spans="1:13">
      <c r="A525" s="1">
        <f>HYPERLINK("http://www.twitter.com/NathanBLawrence/status/996524033796698113", "996524033796698113")</f>
        <v/>
      </c>
      <c r="B525" s="2" t="n">
        <v>43235.95391203704</v>
      </c>
      <c r="C525" t="n">
        <v>0</v>
      </c>
      <c r="D525" t="n">
        <v>14</v>
      </c>
      <c r="E525" t="s">
        <v>535</v>
      </c>
      <c r="F525" t="s"/>
      <c r="G525" t="s"/>
      <c r="H525" t="s"/>
      <c r="I525" t="s"/>
      <c r="J525" t="n">
        <v>0.25</v>
      </c>
      <c r="K525" t="n">
        <v>0</v>
      </c>
      <c r="L525" t="n">
        <v>0.857</v>
      </c>
      <c r="M525" t="n">
        <v>0.143</v>
      </c>
    </row>
    <row r="526" spans="1:13">
      <c r="A526" s="1">
        <f>HYPERLINK("http://www.twitter.com/NathanBLawrence/status/996523975831416833", "996523975831416833")</f>
        <v/>
      </c>
      <c r="B526" s="2" t="n">
        <v>43235.95376157408</v>
      </c>
      <c r="C526" t="n">
        <v>0</v>
      </c>
      <c r="D526" t="n">
        <v>20</v>
      </c>
      <c r="E526" t="s">
        <v>536</v>
      </c>
      <c r="F526">
        <f>HYPERLINK("http://pbs.twimg.com/media/DdRP48EV4AAhTSk.jpg", "http://pbs.twimg.com/media/DdRP48EV4AAhTSk.jpg")</f>
        <v/>
      </c>
      <c r="G526" t="s"/>
      <c r="H526" t="s"/>
      <c r="I526" t="s"/>
      <c r="J526" t="n">
        <v>0</v>
      </c>
      <c r="K526" t="n">
        <v>0</v>
      </c>
      <c r="L526" t="n">
        <v>1</v>
      </c>
      <c r="M526" t="n">
        <v>0</v>
      </c>
    </row>
    <row r="527" spans="1:13">
      <c r="A527" s="1">
        <f>HYPERLINK("http://www.twitter.com/NathanBLawrence/status/996523944554455040", "996523944554455040")</f>
        <v/>
      </c>
      <c r="B527" s="2" t="n">
        <v>43235.95366898148</v>
      </c>
      <c r="C527" t="n">
        <v>0</v>
      </c>
      <c r="D527" t="n">
        <v>11</v>
      </c>
      <c r="E527" t="s">
        <v>537</v>
      </c>
      <c r="F527">
        <f>HYPERLINK("http://pbs.twimg.com/media/DdRPuTvU8AAm9hw.jpg", "http://pbs.twimg.com/media/DdRPuTvU8AAm9hw.jpg")</f>
        <v/>
      </c>
      <c r="G527" t="s"/>
      <c r="H527" t="s"/>
      <c r="I527" t="s"/>
      <c r="J527" t="n">
        <v>0</v>
      </c>
      <c r="K527" t="n">
        <v>0</v>
      </c>
      <c r="L527" t="n">
        <v>1</v>
      </c>
      <c r="M527" t="n">
        <v>0</v>
      </c>
    </row>
    <row r="528" spans="1:13">
      <c r="A528" s="1">
        <f>HYPERLINK("http://www.twitter.com/NathanBLawrence/status/996523927689195520", "996523927689195520")</f>
        <v/>
      </c>
      <c r="B528" s="2" t="n">
        <v>43235.95362268519</v>
      </c>
      <c r="C528" t="n">
        <v>0</v>
      </c>
      <c r="D528" t="n">
        <v>13</v>
      </c>
      <c r="E528" t="s">
        <v>538</v>
      </c>
      <c r="F528">
        <f>HYPERLINK("http://pbs.twimg.com/media/DdRPkp4U8AAyV_Q.jpg", "http://pbs.twimg.com/media/DdRPkp4U8AAyV_Q.jpg")</f>
        <v/>
      </c>
      <c r="G528" t="s"/>
      <c r="H528" t="s"/>
      <c r="I528" t="s"/>
      <c r="J528" t="n">
        <v>0</v>
      </c>
      <c r="K528" t="n">
        <v>0</v>
      </c>
      <c r="L528" t="n">
        <v>1</v>
      </c>
      <c r="M528" t="n">
        <v>0</v>
      </c>
    </row>
    <row r="529" spans="1:13">
      <c r="A529" s="1">
        <f>HYPERLINK("http://www.twitter.com/NathanBLawrence/status/996523912858144771", "996523912858144771")</f>
        <v/>
      </c>
      <c r="B529" s="2" t="n">
        <v>43235.95358796296</v>
      </c>
      <c r="C529" t="n">
        <v>0</v>
      </c>
      <c r="D529" t="n">
        <v>11</v>
      </c>
      <c r="E529" t="s">
        <v>539</v>
      </c>
      <c r="F529">
        <f>HYPERLINK("http://pbs.twimg.com/media/DdRPbcQUwAAyi-E.jpg", "http://pbs.twimg.com/media/DdRPbcQUwAAyi-E.jpg")</f>
        <v/>
      </c>
      <c r="G529" t="s"/>
      <c r="H529" t="s"/>
      <c r="I529" t="s"/>
      <c r="J529" t="n">
        <v>0</v>
      </c>
      <c r="K529" t="n">
        <v>0</v>
      </c>
      <c r="L529" t="n">
        <v>1</v>
      </c>
      <c r="M529" t="n">
        <v>0</v>
      </c>
    </row>
    <row r="530" spans="1:13">
      <c r="A530" s="1">
        <f>HYPERLINK("http://www.twitter.com/NathanBLawrence/status/996523899054710786", "996523899054710786")</f>
        <v/>
      </c>
      <c r="B530" s="2" t="n">
        <v>43235.95354166667</v>
      </c>
      <c r="C530" t="n">
        <v>0</v>
      </c>
      <c r="D530" t="n">
        <v>13</v>
      </c>
      <c r="E530" t="s">
        <v>540</v>
      </c>
      <c r="F530">
        <f>HYPERLINK("http://pbs.twimg.com/media/DdRPRW2UQAAgXoX.jpg", "http://pbs.twimg.com/media/DdRPRW2UQAAgXoX.jpg")</f>
        <v/>
      </c>
      <c r="G530" t="s"/>
      <c r="H530" t="s"/>
      <c r="I530" t="s"/>
      <c r="J530" t="n">
        <v>0</v>
      </c>
      <c r="K530" t="n">
        <v>0</v>
      </c>
      <c r="L530" t="n">
        <v>1</v>
      </c>
      <c r="M530" t="n">
        <v>0</v>
      </c>
    </row>
    <row r="531" spans="1:13">
      <c r="A531" s="1">
        <f>HYPERLINK("http://www.twitter.com/NathanBLawrence/status/996523886123634688", "996523886123634688")</f>
        <v/>
      </c>
      <c r="B531" s="2" t="n">
        <v>43235.95350694445</v>
      </c>
      <c r="C531" t="n">
        <v>0</v>
      </c>
      <c r="D531" t="n">
        <v>12</v>
      </c>
      <c r="E531" t="s">
        <v>541</v>
      </c>
      <c r="F531">
        <f>HYPERLINK("http://pbs.twimg.com/media/DdRPAuLUwAACV_Q.jpg", "http://pbs.twimg.com/media/DdRPAuLUwAACV_Q.jpg")</f>
        <v/>
      </c>
      <c r="G531" t="s"/>
      <c r="H531" t="s"/>
      <c r="I531" t="s"/>
      <c r="J531" t="n">
        <v>0</v>
      </c>
      <c r="K531" t="n">
        <v>0</v>
      </c>
      <c r="L531" t="n">
        <v>1</v>
      </c>
      <c r="M531" t="n">
        <v>0</v>
      </c>
    </row>
    <row r="532" spans="1:13">
      <c r="A532" s="1">
        <f>HYPERLINK("http://www.twitter.com/NathanBLawrence/status/996523861842825216", "996523861842825216")</f>
        <v/>
      </c>
      <c r="B532" s="2" t="n">
        <v>43235.9534375</v>
      </c>
      <c r="C532" t="n">
        <v>0</v>
      </c>
      <c r="D532" t="n">
        <v>14</v>
      </c>
      <c r="E532" t="s">
        <v>542</v>
      </c>
      <c r="F532">
        <f>HYPERLINK("http://pbs.twimg.com/media/DdRO2yRUQAAVUFo.jpg", "http://pbs.twimg.com/media/DdRO2yRUQAAVUFo.jpg")</f>
        <v/>
      </c>
      <c r="G532" t="s"/>
      <c r="H532" t="s"/>
      <c r="I532" t="s"/>
      <c r="J532" t="n">
        <v>0</v>
      </c>
      <c r="K532" t="n">
        <v>0</v>
      </c>
      <c r="L532" t="n">
        <v>1</v>
      </c>
      <c r="M532" t="n">
        <v>0</v>
      </c>
    </row>
    <row r="533" spans="1:13">
      <c r="A533" s="1">
        <f>HYPERLINK("http://www.twitter.com/NathanBLawrence/status/996523839382343680", "996523839382343680")</f>
        <v/>
      </c>
      <c r="B533" s="2" t="n">
        <v>43235.95337962963</v>
      </c>
      <c r="C533" t="n">
        <v>0</v>
      </c>
      <c r="D533" t="n">
        <v>13</v>
      </c>
      <c r="E533" t="s">
        <v>543</v>
      </c>
      <c r="F533">
        <f>HYPERLINK("http://pbs.twimg.com/media/DdROthFV4AAvXsh.jpg", "http://pbs.twimg.com/media/DdROthFV4AAvXsh.jpg")</f>
        <v/>
      </c>
      <c r="G533" t="s"/>
      <c r="H533" t="s"/>
      <c r="I533" t="s"/>
      <c r="J533" t="n">
        <v>0</v>
      </c>
      <c r="K533" t="n">
        <v>0</v>
      </c>
      <c r="L533" t="n">
        <v>1</v>
      </c>
      <c r="M533" t="n">
        <v>0</v>
      </c>
    </row>
    <row r="534" spans="1:13">
      <c r="A534" s="1">
        <f>HYPERLINK("http://www.twitter.com/NathanBLawrence/status/996523824983232513", "996523824983232513")</f>
        <v/>
      </c>
      <c r="B534" s="2" t="n">
        <v>43235.95334490741</v>
      </c>
      <c r="C534" t="n">
        <v>0</v>
      </c>
      <c r="D534" t="n">
        <v>12</v>
      </c>
      <c r="E534" t="s">
        <v>544</v>
      </c>
      <c r="F534">
        <f>HYPERLINK("http://pbs.twimg.com/media/DdROkrOU0AA5-dZ.jpg", "http://pbs.twimg.com/media/DdROkrOU0AA5-dZ.jpg")</f>
        <v/>
      </c>
      <c r="G534" t="s"/>
      <c r="H534" t="s"/>
      <c r="I534" t="s"/>
      <c r="J534" t="n">
        <v>0</v>
      </c>
      <c r="K534" t="n">
        <v>0</v>
      </c>
      <c r="L534" t="n">
        <v>1</v>
      </c>
      <c r="M534" t="n">
        <v>0</v>
      </c>
    </row>
    <row r="535" spans="1:13">
      <c r="A535" s="1">
        <f>HYPERLINK("http://www.twitter.com/NathanBLawrence/status/996523810344943616", "996523810344943616")</f>
        <v/>
      </c>
      <c r="B535" s="2" t="n">
        <v>43235.95329861111</v>
      </c>
      <c r="C535" t="n">
        <v>0</v>
      </c>
      <c r="D535" t="n">
        <v>13</v>
      </c>
      <c r="E535" t="s">
        <v>545</v>
      </c>
      <c r="F535">
        <f>HYPERLINK("http://pbs.twimg.com/media/DdROaqtV0AABZw8.jpg", "http://pbs.twimg.com/media/DdROaqtV0AABZw8.jpg")</f>
        <v/>
      </c>
      <c r="G535" t="s"/>
      <c r="H535" t="s"/>
      <c r="I535" t="s"/>
      <c r="J535" t="n">
        <v>0</v>
      </c>
      <c r="K535" t="n">
        <v>0</v>
      </c>
      <c r="L535" t="n">
        <v>1</v>
      </c>
      <c r="M535" t="n">
        <v>0</v>
      </c>
    </row>
    <row r="536" spans="1:13">
      <c r="A536" s="1">
        <f>HYPERLINK("http://www.twitter.com/NathanBLawrence/status/996523794524196864", "996523794524196864")</f>
        <v/>
      </c>
      <c r="B536" s="2" t="n">
        <v>43235.95325231482</v>
      </c>
      <c r="C536" t="n">
        <v>0</v>
      </c>
      <c r="D536" t="n">
        <v>15</v>
      </c>
      <c r="E536" t="s">
        <v>546</v>
      </c>
      <c r="F536">
        <f>HYPERLINK("http://pbs.twimg.com/media/DdROMGtVMAAYAv8.jpg", "http://pbs.twimg.com/media/DdROMGtVMAAYAv8.jpg")</f>
        <v/>
      </c>
      <c r="G536" t="s"/>
      <c r="H536" t="s"/>
      <c r="I536" t="s"/>
      <c r="J536" t="n">
        <v>0</v>
      </c>
      <c r="K536" t="n">
        <v>0</v>
      </c>
      <c r="L536" t="n">
        <v>1</v>
      </c>
      <c r="M536" t="n">
        <v>0</v>
      </c>
    </row>
    <row r="537" spans="1:13">
      <c r="A537" s="1">
        <f>HYPERLINK("http://www.twitter.com/NathanBLawrence/status/996523771283591169", "996523771283591169")</f>
        <v/>
      </c>
      <c r="B537" s="2" t="n">
        <v>43235.95319444445</v>
      </c>
      <c r="C537" t="n">
        <v>0</v>
      </c>
      <c r="D537" t="n">
        <v>26</v>
      </c>
      <c r="E537" t="s">
        <v>547</v>
      </c>
      <c r="F537" t="s"/>
      <c r="G537" t="s"/>
      <c r="H537" t="s"/>
      <c r="I537" t="s"/>
      <c r="J537" t="n">
        <v>0</v>
      </c>
      <c r="K537" t="n">
        <v>0</v>
      </c>
      <c r="L537" t="n">
        <v>1</v>
      </c>
      <c r="M537" t="n">
        <v>0</v>
      </c>
    </row>
    <row r="538" spans="1:13">
      <c r="A538" s="1">
        <f>HYPERLINK("http://www.twitter.com/NathanBLawrence/status/996523673124261888", "996523673124261888")</f>
        <v/>
      </c>
      <c r="B538" s="2" t="n">
        <v>43235.95291666667</v>
      </c>
      <c r="C538" t="n">
        <v>0</v>
      </c>
      <c r="D538" t="n">
        <v>32</v>
      </c>
      <c r="E538" t="s">
        <v>548</v>
      </c>
      <c r="F538">
        <f>HYPERLINK("http://pbs.twimg.com/media/DdQwwwJVwAArtrY.jpg", "http://pbs.twimg.com/media/DdQwwwJVwAArtrY.jpg")</f>
        <v/>
      </c>
      <c r="G538" t="s"/>
      <c r="H538" t="s"/>
      <c r="I538" t="s"/>
      <c r="J538" t="n">
        <v>0.4019</v>
      </c>
      <c r="K538" t="n">
        <v>0</v>
      </c>
      <c r="L538" t="n">
        <v>0.881</v>
      </c>
      <c r="M538" t="n">
        <v>0.119</v>
      </c>
    </row>
    <row r="539" spans="1:13">
      <c r="A539" s="1">
        <f>HYPERLINK("http://www.twitter.com/NathanBLawrence/status/996523591314403329", "996523591314403329")</f>
        <v/>
      </c>
      <c r="B539" s="2" t="n">
        <v>43235.95269675926</v>
      </c>
      <c r="C539" t="n">
        <v>0</v>
      </c>
      <c r="D539" t="n">
        <v>7</v>
      </c>
      <c r="E539" t="s">
        <v>549</v>
      </c>
      <c r="F539">
        <f>HYPERLINK("http://pbs.twimg.com/media/DdRcsNhUQAAGlBQ.jpg", "http://pbs.twimg.com/media/DdRcsNhUQAAGlBQ.jpg")</f>
        <v/>
      </c>
      <c r="G539" t="s"/>
      <c r="H539" t="s"/>
      <c r="I539" t="s"/>
      <c r="J539" t="n">
        <v>-0.8519</v>
      </c>
      <c r="K539" t="n">
        <v>0.538</v>
      </c>
      <c r="L539" t="n">
        <v>0.462</v>
      </c>
      <c r="M539" t="n">
        <v>0</v>
      </c>
    </row>
    <row r="540" spans="1:13">
      <c r="A540" s="1">
        <f>HYPERLINK("http://www.twitter.com/NathanBLawrence/status/996523454198362119", "996523454198362119")</f>
        <v/>
      </c>
      <c r="B540" s="2" t="n">
        <v>43235.95231481481</v>
      </c>
      <c r="C540" t="n">
        <v>0</v>
      </c>
      <c r="D540" t="n">
        <v>1</v>
      </c>
      <c r="E540" t="s">
        <v>550</v>
      </c>
      <c r="F540">
        <f>HYPERLINK("http://pbs.twimg.com/media/DdRbjsTVAAARhB2.jpg", "http://pbs.twimg.com/media/DdRbjsTVAAARhB2.jpg")</f>
        <v/>
      </c>
      <c r="G540">
        <f>HYPERLINK("http://pbs.twimg.com/media/DdRbj8wV0AAM7m7.jpg", "http://pbs.twimg.com/media/DdRbj8wV0AAM7m7.jpg")</f>
        <v/>
      </c>
      <c r="H540">
        <f>HYPERLINK("http://pbs.twimg.com/media/DdRbkJEUwAALtN3.jpg", "http://pbs.twimg.com/media/DdRbkJEUwAALtN3.jpg")</f>
        <v/>
      </c>
      <c r="I540">
        <f>HYPERLINK("http://pbs.twimg.com/media/DdRbk7rU8AAiyL4.jpg", "http://pbs.twimg.com/media/DdRbk7rU8AAiyL4.jpg")</f>
        <v/>
      </c>
      <c r="J540" t="n">
        <v>0</v>
      </c>
      <c r="K540" t="n">
        <v>0</v>
      </c>
      <c r="L540" t="n">
        <v>1</v>
      </c>
      <c r="M540" t="n">
        <v>0</v>
      </c>
    </row>
    <row r="541" spans="1:13">
      <c r="A541" s="1">
        <f>HYPERLINK("http://www.twitter.com/NathanBLawrence/status/996523217375424518", "996523217375424518")</f>
        <v/>
      </c>
      <c r="B541" s="2" t="n">
        <v>43235.95166666667</v>
      </c>
      <c r="C541" t="n">
        <v>0</v>
      </c>
      <c r="D541" t="n">
        <v>10</v>
      </c>
      <c r="E541" t="s">
        <v>551</v>
      </c>
      <c r="F541">
        <f>HYPERLINK("http://pbs.twimg.com/media/DdRcQa8VAAA7v4v.jpg", "http://pbs.twimg.com/media/DdRcQa8VAAA7v4v.jpg")</f>
        <v/>
      </c>
      <c r="G541">
        <f>HYPERLINK("http://pbs.twimg.com/media/DdRcRXIV4AAbnDX.jpg", "http://pbs.twimg.com/media/DdRcRXIV4AAbnDX.jpg")</f>
        <v/>
      </c>
      <c r="H541">
        <f>HYPERLINK("http://pbs.twimg.com/media/DdRcTiUV4AI4DJe.jpg", "http://pbs.twimg.com/media/DdRcTiUV4AI4DJe.jpg")</f>
        <v/>
      </c>
      <c r="I541">
        <f>HYPERLINK("http://pbs.twimg.com/media/DdRcU4cV4AAXJJh.jpg", "http://pbs.twimg.com/media/DdRcU4cV4AAXJJh.jpg")</f>
        <v/>
      </c>
      <c r="J541" t="n">
        <v>0</v>
      </c>
      <c r="K541" t="n">
        <v>0</v>
      </c>
      <c r="L541" t="n">
        <v>1</v>
      </c>
      <c r="M541" t="n">
        <v>0</v>
      </c>
    </row>
    <row r="542" spans="1:13">
      <c r="A542" s="1">
        <f>HYPERLINK("http://www.twitter.com/NathanBLawrence/status/996522925317554177", "996522925317554177")</f>
        <v/>
      </c>
      <c r="B542" s="2" t="n">
        <v>43235.95085648148</v>
      </c>
      <c r="C542" t="n">
        <v>0</v>
      </c>
      <c r="D542" t="n">
        <v>60</v>
      </c>
      <c r="E542" t="s">
        <v>552</v>
      </c>
      <c r="F542">
        <f>HYPERLINK("http://pbs.twimg.com/media/DOheoZqVAAAlqtj.jpg", "http://pbs.twimg.com/media/DOheoZqVAAAlqtj.jpg")</f>
        <v/>
      </c>
      <c r="G542" t="s"/>
      <c r="H542" t="s"/>
      <c r="I542" t="s"/>
      <c r="J542" t="n">
        <v>-0.0258</v>
      </c>
      <c r="K542" t="n">
        <v>0.166</v>
      </c>
      <c r="L542" t="n">
        <v>0.628</v>
      </c>
      <c r="M542" t="n">
        <v>0.206</v>
      </c>
    </row>
    <row r="543" spans="1:13">
      <c r="A543" s="1">
        <f>HYPERLINK("http://www.twitter.com/NathanBLawrence/status/996522883907248128", "996522883907248128")</f>
        <v/>
      </c>
      <c r="B543" s="2" t="n">
        <v>43235.95074074074</v>
      </c>
      <c r="C543" t="n">
        <v>0</v>
      </c>
      <c r="D543" t="n">
        <v>94</v>
      </c>
      <c r="E543" t="s">
        <v>553</v>
      </c>
      <c r="F543">
        <f>HYPERLINK("https://video.twimg.com/ext_tw_video/930157301779939329/pu/vid/240x180/GEH6Y8eQ1xRNH7oY.mp4", "https://video.twimg.com/ext_tw_video/930157301779939329/pu/vid/240x180/GEH6Y8eQ1xRNH7oY.mp4")</f>
        <v/>
      </c>
      <c r="G543" t="s"/>
      <c r="H543" t="s"/>
      <c r="I543" t="s"/>
      <c r="J543" t="n">
        <v>0.2263</v>
      </c>
      <c r="K543" t="n">
        <v>0</v>
      </c>
      <c r="L543" t="n">
        <v>0.917</v>
      </c>
      <c r="M543" t="n">
        <v>0.083</v>
      </c>
    </row>
    <row r="544" spans="1:13">
      <c r="A544" s="1">
        <f>HYPERLINK("http://www.twitter.com/NathanBLawrence/status/996522827431006208", "996522827431006208")</f>
        <v/>
      </c>
      <c r="B544" s="2" t="n">
        <v>43235.95059027777</v>
      </c>
      <c r="C544" t="n">
        <v>0</v>
      </c>
      <c r="D544" t="n">
        <v>40</v>
      </c>
      <c r="E544" t="s">
        <v>554</v>
      </c>
      <c r="F544" t="s"/>
      <c r="G544" t="s"/>
      <c r="H544" t="s"/>
      <c r="I544" t="s"/>
      <c r="J544" t="n">
        <v>-0.4404</v>
      </c>
      <c r="K544" t="n">
        <v>0.139</v>
      </c>
      <c r="L544" t="n">
        <v>0.861</v>
      </c>
      <c r="M544" t="n">
        <v>0</v>
      </c>
    </row>
    <row r="545" spans="1:13">
      <c r="A545" s="1">
        <f>HYPERLINK("http://www.twitter.com/NathanBLawrence/status/996522759588122624", "996522759588122624")</f>
        <v/>
      </c>
      <c r="B545" s="2" t="n">
        <v>43235.95040509259</v>
      </c>
      <c r="C545" t="n">
        <v>0</v>
      </c>
      <c r="D545" t="n">
        <v>14</v>
      </c>
      <c r="E545" t="s">
        <v>555</v>
      </c>
      <c r="F545" t="s"/>
      <c r="G545" t="s"/>
      <c r="H545" t="s"/>
      <c r="I545" t="s"/>
      <c r="J545" t="n">
        <v>0.0516</v>
      </c>
      <c r="K545" t="n">
        <v>0.114</v>
      </c>
      <c r="L545" t="n">
        <v>0.762</v>
      </c>
      <c r="M545" t="n">
        <v>0.124</v>
      </c>
    </row>
    <row r="546" spans="1:13">
      <c r="A546" s="1">
        <f>HYPERLINK("http://www.twitter.com/NathanBLawrence/status/996522734166446087", "996522734166446087")</f>
        <v/>
      </c>
      <c r="B546" s="2" t="n">
        <v>43235.95032407407</v>
      </c>
      <c r="C546" t="n">
        <v>0</v>
      </c>
      <c r="D546" t="n">
        <v>17</v>
      </c>
      <c r="E546" t="s">
        <v>556</v>
      </c>
      <c r="F546">
        <f>HYPERLINK("http://pbs.twimg.com/media/DT_41qzVoAAN9fs.jpg", "http://pbs.twimg.com/media/DT_41qzVoAAN9fs.jpg")</f>
        <v/>
      </c>
      <c r="G546" t="s"/>
      <c r="H546" t="s"/>
      <c r="I546" t="s"/>
      <c r="J546" t="n">
        <v>-0.6808</v>
      </c>
      <c r="K546" t="n">
        <v>0.255</v>
      </c>
      <c r="L546" t="n">
        <v>0.646</v>
      </c>
      <c r="M546" t="n">
        <v>0.099</v>
      </c>
    </row>
    <row r="547" spans="1:13">
      <c r="A547" s="1">
        <f>HYPERLINK("http://www.twitter.com/NathanBLawrence/status/996522705850650624", "996522705850650624")</f>
        <v/>
      </c>
      <c r="B547" s="2" t="n">
        <v>43235.95025462963</v>
      </c>
      <c r="C547" t="n">
        <v>0</v>
      </c>
      <c r="D547" t="n">
        <v>17</v>
      </c>
      <c r="E547" t="s">
        <v>557</v>
      </c>
      <c r="F547">
        <f>HYPERLINK("http://pbs.twimg.com/media/DUHMmpcVAAA9TrC.jpg", "http://pbs.twimg.com/media/DUHMmpcVAAA9TrC.jpg")</f>
        <v/>
      </c>
      <c r="G547" t="s"/>
      <c r="H547" t="s"/>
      <c r="I547" t="s"/>
      <c r="J547" t="n">
        <v>-0.296</v>
      </c>
      <c r="K547" t="n">
        <v>0.109</v>
      </c>
      <c r="L547" t="n">
        <v>0.891</v>
      </c>
      <c r="M547" t="n">
        <v>0</v>
      </c>
    </row>
    <row r="548" spans="1:13">
      <c r="A548" s="1">
        <f>HYPERLINK("http://www.twitter.com/NathanBLawrence/status/996522677543358464", "996522677543358464")</f>
        <v/>
      </c>
      <c r="B548" s="2" t="n">
        <v>43235.95017361111</v>
      </c>
      <c r="C548" t="n">
        <v>0</v>
      </c>
      <c r="D548" t="n">
        <v>24</v>
      </c>
      <c r="E548" t="s">
        <v>558</v>
      </c>
      <c r="F548">
        <f>HYPERLINK("http://pbs.twimg.com/media/DV6nDoKU0AEkXbn.jpg", "http://pbs.twimg.com/media/DV6nDoKU0AEkXbn.jpg")</f>
        <v/>
      </c>
      <c r="G548" t="s"/>
      <c r="H548" t="s"/>
      <c r="I548" t="s"/>
      <c r="J548" t="n">
        <v>-0.296</v>
      </c>
      <c r="K548" t="n">
        <v>0.091</v>
      </c>
      <c r="L548" t="n">
        <v>0.909</v>
      </c>
      <c r="M548" t="n">
        <v>0</v>
      </c>
    </row>
    <row r="549" spans="1:13">
      <c r="A549" s="1">
        <f>HYPERLINK("http://www.twitter.com/NathanBLawrence/status/996522650024505344", "996522650024505344")</f>
        <v/>
      </c>
      <c r="B549" s="2" t="n">
        <v>43235.95009259259</v>
      </c>
      <c r="C549" t="n">
        <v>0</v>
      </c>
      <c r="D549" t="n">
        <v>38</v>
      </c>
      <c r="E549" t="s">
        <v>559</v>
      </c>
      <c r="F549">
        <f>HYPERLINK("https://video.twimg.com/ext_tw_video/963512289646145536/pu/vid/1280x720/Ucgmfgr36fnzW5Kq.mp4", "https://video.twimg.com/ext_tw_video/963512289646145536/pu/vid/1280x720/Ucgmfgr36fnzW5Kq.mp4")</f>
        <v/>
      </c>
      <c r="G549" t="s"/>
      <c r="H549" t="s"/>
      <c r="I549" t="s"/>
      <c r="J549" t="n">
        <v>0.2732</v>
      </c>
      <c r="K549" t="n">
        <v>0.109</v>
      </c>
      <c r="L549" t="n">
        <v>0.739</v>
      </c>
      <c r="M549" t="n">
        <v>0.152</v>
      </c>
    </row>
    <row r="550" spans="1:13">
      <c r="A550" s="1">
        <f>HYPERLINK("http://www.twitter.com/NathanBLawrence/status/996522632462860288", "996522632462860288")</f>
        <v/>
      </c>
      <c r="B550" s="2" t="n">
        <v>43235.9500462963</v>
      </c>
      <c r="C550" t="n">
        <v>0</v>
      </c>
      <c r="D550" t="n">
        <v>29</v>
      </c>
      <c r="E550" t="s">
        <v>560</v>
      </c>
      <c r="F550" t="s"/>
      <c r="G550" t="s"/>
      <c r="H550" t="s"/>
      <c r="I550" t="s"/>
      <c r="J550" t="n">
        <v>0</v>
      </c>
      <c r="K550" t="n">
        <v>0</v>
      </c>
      <c r="L550" t="n">
        <v>1</v>
      </c>
      <c r="M550" t="n">
        <v>0</v>
      </c>
    </row>
    <row r="551" spans="1:13">
      <c r="A551" s="1">
        <f>HYPERLINK("http://www.twitter.com/NathanBLawrence/status/996522603190931456", "996522603190931456")</f>
        <v/>
      </c>
      <c r="B551" s="2" t="n">
        <v>43235.94996527778</v>
      </c>
      <c r="C551" t="n">
        <v>0</v>
      </c>
      <c r="D551" t="n">
        <v>14</v>
      </c>
      <c r="E551" t="s">
        <v>561</v>
      </c>
      <c r="F551" t="s"/>
      <c r="G551" t="s"/>
      <c r="H551" t="s"/>
      <c r="I551" t="s"/>
      <c r="J551" t="n">
        <v>-0.3774</v>
      </c>
      <c r="K551" t="n">
        <v>0.114</v>
      </c>
      <c r="L551" t="n">
        <v>0.886</v>
      </c>
      <c r="M551" t="n">
        <v>0</v>
      </c>
    </row>
    <row r="552" spans="1:13">
      <c r="A552" s="1">
        <f>HYPERLINK("http://www.twitter.com/NathanBLawrence/status/996522561004597248", "996522561004597248")</f>
        <v/>
      </c>
      <c r="B552" s="2" t="n">
        <v>43235.94984953704</v>
      </c>
      <c r="C552" t="n">
        <v>0</v>
      </c>
      <c r="D552" t="n">
        <v>17</v>
      </c>
      <c r="E552" t="s">
        <v>562</v>
      </c>
      <c r="F552">
        <f>HYPERLINK("http://pbs.twimg.com/media/DY-MZutU8AIv-j0.jpg", "http://pbs.twimg.com/media/DY-MZutU8AIv-j0.jpg")</f>
        <v/>
      </c>
      <c r="G552" t="s"/>
      <c r="H552" t="s"/>
      <c r="I552" t="s"/>
      <c r="J552" t="n">
        <v>0.5994</v>
      </c>
      <c r="K552" t="n">
        <v>0</v>
      </c>
      <c r="L552" t="n">
        <v>0.776</v>
      </c>
      <c r="M552" t="n">
        <v>0.224</v>
      </c>
    </row>
    <row r="553" spans="1:13">
      <c r="A553" s="1">
        <f>HYPERLINK("http://www.twitter.com/NathanBLawrence/status/996522502208749568", "996522502208749568")</f>
        <v/>
      </c>
      <c r="B553" s="2" t="n">
        <v>43235.9496875</v>
      </c>
      <c r="C553" t="n">
        <v>0</v>
      </c>
      <c r="D553" t="n">
        <v>32</v>
      </c>
      <c r="E553" t="s">
        <v>563</v>
      </c>
      <c r="F553">
        <f>HYPERLINK("http://pbs.twimg.com/media/DaH0cGcUwAE8Mxa.jpg", "http://pbs.twimg.com/media/DaH0cGcUwAE8Mxa.jpg")</f>
        <v/>
      </c>
      <c r="G553" t="s"/>
      <c r="H553" t="s"/>
      <c r="I553" t="s"/>
      <c r="J553" t="n">
        <v>0</v>
      </c>
      <c r="K553" t="n">
        <v>0</v>
      </c>
      <c r="L553" t="n">
        <v>1</v>
      </c>
      <c r="M553" t="n">
        <v>0</v>
      </c>
    </row>
    <row r="554" spans="1:13">
      <c r="A554" s="1">
        <f>HYPERLINK("http://www.twitter.com/NathanBLawrence/status/996522445376049152", "996522445376049152")</f>
        <v/>
      </c>
      <c r="B554" s="2" t="n">
        <v>43235.94953703704</v>
      </c>
      <c r="C554" t="n">
        <v>0</v>
      </c>
      <c r="D554" t="n">
        <v>10</v>
      </c>
      <c r="E554" t="s">
        <v>564</v>
      </c>
      <c r="F554" t="s"/>
      <c r="G554" t="s"/>
      <c r="H554" t="s"/>
      <c r="I554" t="s"/>
      <c r="J554" t="n">
        <v>0.128</v>
      </c>
      <c r="K554" t="n">
        <v>0.097</v>
      </c>
      <c r="L554" t="n">
        <v>0.76</v>
      </c>
      <c r="M554" t="n">
        <v>0.143</v>
      </c>
    </row>
    <row r="555" spans="1:13">
      <c r="A555" s="1">
        <f>HYPERLINK("http://www.twitter.com/NathanBLawrence/status/996522412119412742", "996522412119412742")</f>
        <v/>
      </c>
      <c r="B555" s="2" t="n">
        <v>43235.94944444444</v>
      </c>
      <c r="C555" t="n">
        <v>0</v>
      </c>
      <c r="D555" t="n">
        <v>37</v>
      </c>
      <c r="E555" t="s">
        <v>565</v>
      </c>
      <c r="F555">
        <f>HYPERLINK("https://video.twimg.com/ext_tw_video/982356203396251648/pu/vid/1280x720/9fvPMLQvD3Zr_RPh.mp4?tag=2", "https://video.twimg.com/ext_tw_video/982356203396251648/pu/vid/1280x720/9fvPMLQvD3Zr_RPh.mp4?tag=2")</f>
        <v/>
      </c>
      <c r="G555" t="s"/>
      <c r="H555" t="s"/>
      <c r="I555" t="s"/>
      <c r="J555" t="n">
        <v>-0.0772</v>
      </c>
      <c r="K555" t="n">
        <v>0.114</v>
      </c>
      <c r="L555" t="n">
        <v>0.783</v>
      </c>
      <c r="M555" t="n">
        <v>0.103</v>
      </c>
    </row>
    <row r="556" spans="1:13">
      <c r="A556" s="1">
        <f>HYPERLINK("http://www.twitter.com/NathanBLawrence/status/996522384235679756", "996522384235679756")</f>
        <v/>
      </c>
      <c r="B556" s="2" t="n">
        <v>43235.94936342593</v>
      </c>
      <c r="C556" t="n">
        <v>0</v>
      </c>
      <c r="D556" t="n">
        <v>11</v>
      </c>
      <c r="E556" t="s">
        <v>566</v>
      </c>
      <c r="F556">
        <f>HYPERLINK("http://pbs.twimg.com/media/DamRJnwU0AA0mO6.jpg", "http://pbs.twimg.com/media/DamRJnwU0AA0mO6.jpg")</f>
        <v/>
      </c>
      <c r="G556" t="s"/>
      <c r="H556" t="s"/>
      <c r="I556" t="s"/>
      <c r="J556" t="n">
        <v>0.0772</v>
      </c>
      <c r="K556" t="n">
        <v>0.118</v>
      </c>
      <c r="L556" t="n">
        <v>0.749</v>
      </c>
      <c r="M556" t="n">
        <v>0.134</v>
      </c>
    </row>
    <row r="557" spans="1:13">
      <c r="A557" s="1">
        <f>HYPERLINK("http://www.twitter.com/NathanBLawrence/status/996522313851064321", "996522313851064321")</f>
        <v/>
      </c>
      <c r="B557" s="2" t="n">
        <v>43235.94916666667</v>
      </c>
      <c r="C557" t="n">
        <v>0</v>
      </c>
      <c r="D557" t="n">
        <v>47</v>
      </c>
      <c r="E557" t="s">
        <v>567</v>
      </c>
      <c r="F557">
        <f>HYPERLINK("http://pbs.twimg.com/media/Db9IsqhVQAEANgf.jpg", "http://pbs.twimg.com/media/Db9IsqhVQAEANgf.jpg")</f>
        <v/>
      </c>
      <c r="G557" t="s"/>
      <c r="H557" t="s"/>
      <c r="I557" t="s"/>
      <c r="J557" t="n">
        <v>0</v>
      </c>
      <c r="K557" t="n">
        <v>0</v>
      </c>
      <c r="L557" t="n">
        <v>1</v>
      </c>
      <c r="M557" t="n">
        <v>0</v>
      </c>
    </row>
    <row r="558" spans="1:13">
      <c r="A558" s="1">
        <f>HYPERLINK("http://www.twitter.com/NathanBLawrence/status/996522228547244032", "996522228547244032")</f>
        <v/>
      </c>
      <c r="B558" s="2" t="n">
        <v>43235.94893518519</v>
      </c>
      <c r="C558" t="n">
        <v>0</v>
      </c>
      <c r="D558" t="n">
        <v>12</v>
      </c>
      <c r="E558" t="s">
        <v>568</v>
      </c>
      <c r="F558">
        <f>HYPERLINK("https://video.twimg.com/ext_tw_video/994297472288571392/pu/vid/1280x720/7MmSPBpgRo8U0GRf.mp4?tag=3", "https://video.twimg.com/ext_tw_video/994297472288571392/pu/vid/1280x720/7MmSPBpgRo8U0GRf.mp4?tag=3")</f>
        <v/>
      </c>
      <c r="G558" t="s"/>
      <c r="H558" t="s"/>
      <c r="I558" t="s"/>
      <c r="J558" t="n">
        <v>0</v>
      </c>
      <c r="K558" t="n">
        <v>0</v>
      </c>
      <c r="L558" t="n">
        <v>1</v>
      </c>
      <c r="M558" t="n">
        <v>0</v>
      </c>
    </row>
    <row r="559" spans="1:13">
      <c r="A559" s="1">
        <f>HYPERLINK("http://www.twitter.com/NathanBLawrence/status/996522161086042112", "996522161086042112")</f>
        <v/>
      </c>
      <c r="B559" s="2" t="n">
        <v>43235.94875</v>
      </c>
      <c r="C559" t="n">
        <v>0</v>
      </c>
      <c r="D559" t="n">
        <v>2</v>
      </c>
      <c r="E559" t="s">
        <v>569</v>
      </c>
      <c r="F559" t="s"/>
      <c r="G559" t="s"/>
      <c r="H559" t="s"/>
      <c r="I559" t="s"/>
      <c r="J559" t="n">
        <v>0.7526</v>
      </c>
      <c r="K559" t="n">
        <v>0.127</v>
      </c>
      <c r="L559" t="n">
        <v>0.526</v>
      </c>
      <c r="M559" t="n">
        <v>0.347</v>
      </c>
    </row>
    <row r="560" spans="1:13">
      <c r="A560" s="1">
        <f>HYPERLINK("http://www.twitter.com/NathanBLawrence/status/996522131314835456", "996522131314835456")</f>
        <v/>
      </c>
      <c r="B560" s="2" t="n">
        <v>43235.94866898148</v>
      </c>
      <c r="C560" t="n">
        <v>0</v>
      </c>
      <c r="D560" t="n">
        <v>4</v>
      </c>
      <c r="E560" t="s">
        <v>570</v>
      </c>
      <c r="F560">
        <f>HYPERLINK("http://pbs.twimg.com/media/DdPePZLX4AAOjfy.jpg", "http://pbs.twimg.com/media/DdPePZLX4AAOjfy.jpg")</f>
        <v/>
      </c>
      <c r="G560" t="s"/>
      <c r="H560" t="s"/>
      <c r="I560" t="s"/>
      <c r="J560" t="n">
        <v>0</v>
      </c>
      <c r="K560" t="n">
        <v>0</v>
      </c>
      <c r="L560" t="n">
        <v>1</v>
      </c>
      <c r="M560" t="n">
        <v>0</v>
      </c>
    </row>
    <row r="561" spans="1:13">
      <c r="A561" s="1">
        <f>HYPERLINK("http://www.twitter.com/NathanBLawrence/status/996521949395333120", "996521949395333120")</f>
        <v/>
      </c>
      <c r="B561" s="2" t="n">
        <v>43235.94815972223</v>
      </c>
      <c r="C561" t="n">
        <v>0</v>
      </c>
      <c r="D561" t="n">
        <v>2</v>
      </c>
      <c r="E561" t="s">
        <v>571</v>
      </c>
      <c r="F561" t="s"/>
      <c r="G561" t="s"/>
      <c r="H561" t="s"/>
      <c r="I561" t="s"/>
      <c r="J561" t="n">
        <v>-0.2263</v>
      </c>
      <c r="K561" t="n">
        <v>0.112</v>
      </c>
      <c r="L561" t="n">
        <v>0.888</v>
      </c>
      <c r="M561" t="n">
        <v>0</v>
      </c>
    </row>
    <row r="562" spans="1:13">
      <c r="A562" s="1">
        <f>HYPERLINK("http://www.twitter.com/NathanBLawrence/status/996520803649970176", "996520803649970176")</f>
        <v/>
      </c>
      <c r="B562" s="2" t="n">
        <v>43235.945</v>
      </c>
      <c r="C562" t="n">
        <v>0</v>
      </c>
      <c r="D562" t="n">
        <v>6</v>
      </c>
      <c r="E562" t="s">
        <v>572</v>
      </c>
      <c r="F562">
        <f>HYPERLINK("http://pbs.twimg.com/media/DdRX500WAAUryGt.jpg", "http://pbs.twimg.com/media/DdRX500WAAUryGt.jpg")</f>
        <v/>
      </c>
      <c r="G562" t="s"/>
      <c r="H562" t="s"/>
      <c r="I562" t="s"/>
      <c r="J562" t="n">
        <v>0</v>
      </c>
      <c r="K562" t="n">
        <v>0</v>
      </c>
      <c r="L562" t="n">
        <v>1</v>
      </c>
      <c r="M562" t="n">
        <v>0</v>
      </c>
    </row>
    <row r="563" spans="1:13">
      <c r="A563" s="1">
        <f>HYPERLINK("http://www.twitter.com/NathanBLawrence/status/996520560728387590", "996520560728387590")</f>
        <v/>
      </c>
      <c r="B563" s="2" t="n">
        <v>43235.94432870371</v>
      </c>
      <c r="C563" t="n">
        <v>0</v>
      </c>
      <c r="D563" t="n">
        <v>5</v>
      </c>
      <c r="E563" t="s">
        <v>573</v>
      </c>
      <c r="F563">
        <f>HYPERLINK("http://pbs.twimg.com/media/DdRZHdJVwAAmsjV.jpg", "http://pbs.twimg.com/media/DdRZHdJVwAAmsjV.jpg")</f>
        <v/>
      </c>
      <c r="G563" t="s"/>
      <c r="H563" t="s"/>
      <c r="I563" t="s"/>
      <c r="J563" t="n">
        <v>0.4574</v>
      </c>
      <c r="K563" t="n">
        <v>0</v>
      </c>
      <c r="L563" t="n">
        <v>0.728</v>
      </c>
      <c r="M563" t="n">
        <v>0.272</v>
      </c>
    </row>
    <row r="564" spans="1:13">
      <c r="A564" s="1">
        <f>HYPERLINK("http://www.twitter.com/NathanBLawrence/status/996520244419145730", "996520244419145730")</f>
        <v/>
      </c>
      <c r="B564" s="2" t="n">
        <v>43235.94346064814</v>
      </c>
      <c r="C564" t="n">
        <v>5</v>
      </c>
      <c r="D564" t="n">
        <v>2</v>
      </c>
      <c r="E564" t="s">
        <v>574</v>
      </c>
      <c r="F564" t="s"/>
      <c r="G564" t="s"/>
      <c r="H564" t="s"/>
      <c r="I564" t="s"/>
      <c r="J564" t="n">
        <v>-0.1945</v>
      </c>
      <c r="K564" t="n">
        <v>0.117</v>
      </c>
      <c r="L564" t="n">
        <v>0.8139999999999999</v>
      </c>
      <c r="M564" t="n">
        <v>0.06900000000000001</v>
      </c>
    </row>
    <row r="565" spans="1:13">
      <c r="A565" s="1">
        <f>HYPERLINK("http://www.twitter.com/NathanBLawrence/status/996519719158059008", "996519719158059008")</f>
        <v/>
      </c>
      <c r="B565" s="2" t="n">
        <v>43235.94201388889</v>
      </c>
      <c r="C565" t="n">
        <v>8</v>
      </c>
      <c r="D565" t="n">
        <v>8</v>
      </c>
      <c r="E565" t="s">
        <v>575</v>
      </c>
      <c r="F565">
        <f>HYPERLINK("https://video.twimg.com/ext_tw_video/996519068818526209/pu/vid/1280x720/LwsOob4EoU7uPT0Y.mp4?tag=3", "https://video.twimg.com/ext_tw_video/996519068818526209/pu/vid/1280x720/LwsOob4EoU7uPT0Y.mp4?tag=3")</f>
        <v/>
      </c>
      <c r="G565" t="s"/>
      <c r="H565" t="s"/>
      <c r="I565" t="s"/>
      <c r="J565" t="n">
        <v>0.296</v>
      </c>
      <c r="K565" t="n">
        <v>0.185</v>
      </c>
      <c r="L565" t="n">
        <v>0.462</v>
      </c>
      <c r="M565" t="n">
        <v>0.354</v>
      </c>
    </row>
    <row r="566" spans="1:13">
      <c r="A566" s="1">
        <f>HYPERLINK("http://www.twitter.com/NathanBLawrence/status/996519033062281216", "996519033062281216")</f>
        <v/>
      </c>
      <c r="B566" s="2" t="n">
        <v>43235.94011574074</v>
      </c>
      <c r="C566" t="n">
        <v>0</v>
      </c>
      <c r="D566" t="n">
        <v>13</v>
      </c>
      <c r="E566" t="s">
        <v>576</v>
      </c>
      <c r="F566">
        <f>HYPERLINK("http://pbs.twimg.com/media/DdRYtoeXkAAXkrr.jpg", "http://pbs.twimg.com/media/DdRYtoeXkAAXkrr.jpg")</f>
        <v/>
      </c>
      <c r="G566" t="s"/>
      <c r="H566" t="s"/>
      <c r="I566" t="s"/>
      <c r="J566" t="n">
        <v>0</v>
      </c>
      <c r="K566" t="n">
        <v>0</v>
      </c>
      <c r="L566" t="n">
        <v>1</v>
      </c>
      <c r="M566" t="n">
        <v>0</v>
      </c>
    </row>
    <row r="567" spans="1:13">
      <c r="A567" s="1">
        <f>HYPERLINK("http://www.twitter.com/NathanBLawrence/status/996518965164892161", "996518965164892161")</f>
        <v/>
      </c>
      <c r="B567" s="2" t="n">
        <v>43235.93993055556</v>
      </c>
      <c r="C567" t="n">
        <v>0</v>
      </c>
      <c r="D567" t="n">
        <v>7</v>
      </c>
      <c r="E567" t="s">
        <v>577</v>
      </c>
      <c r="F567">
        <f>HYPERLINK("http://pbs.twimg.com/media/DdRS5AlX0AIyxKL.jpg", "http://pbs.twimg.com/media/DdRS5AlX0AIyxKL.jpg")</f>
        <v/>
      </c>
      <c r="G567" t="s"/>
      <c r="H567" t="s"/>
      <c r="I567" t="s"/>
      <c r="J567" t="n">
        <v>0</v>
      </c>
      <c r="K567" t="n">
        <v>0</v>
      </c>
      <c r="L567" t="n">
        <v>1</v>
      </c>
      <c r="M567" t="n">
        <v>0</v>
      </c>
    </row>
    <row r="568" spans="1:13">
      <c r="A568" s="1">
        <f>HYPERLINK("http://www.twitter.com/NathanBLawrence/status/996518832670900224", "996518832670900224")</f>
        <v/>
      </c>
      <c r="B568" s="2" t="n">
        <v>43235.93956018519</v>
      </c>
      <c r="C568" t="n">
        <v>0</v>
      </c>
      <c r="D568" t="n">
        <v>11</v>
      </c>
      <c r="E568" t="s">
        <v>578</v>
      </c>
      <c r="F568">
        <f>HYPERLINK("http://pbs.twimg.com/media/DdRWXSFU0AApSYx.jpg", "http://pbs.twimg.com/media/DdRWXSFU0AApSYx.jpg")</f>
        <v/>
      </c>
      <c r="G568" t="s"/>
      <c r="H568" t="s"/>
      <c r="I568" t="s"/>
      <c r="J568" t="n">
        <v>0</v>
      </c>
      <c r="K568" t="n">
        <v>0</v>
      </c>
      <c r="L568" t="n">
        <v>1</v>
      </c>
      <c r="M568" t="n">
        <v>0</v>
      </c>
    </row>
    <row r="569" spans="1:13">
      <c r="A569" s="1">
        <f>HYPERLINK("http://www.twitter.com/NathanBLawrence/status/996518804078329856", "996518804078329856")</f>
        <v/>
      </c>
      <c r="B569" s="2" t="n">
        <v>43235.93947916666</v>
      </c>
      <c r="C569" t="n">
        <v>0</v>
      </c>
      <c r="D569" t="n">
        <v>2</v>
      </c>
      <c r="E569" t="s">
        <v>579</v>
      </c>
      <c r="F569" t="s"/>
      <c r="G569" t="s"/>
      <c r="H569" t="s"/>
      <c r="I569" t="s"/>
      <c r="J569" t="n">
        <v>0.4404</v>
      </c>
      <c r="K569" t="n">
        <v>0</v>
      </c>
      <c r="L569" t="n">
        <v>0.756</v>
      </c>
      <c r="M569" t="n">
        <v>0.244</v>
      </c>
    </row>
    <row r="570" spans="1:13">
      <c r="A570" s="1">
        <f>HYPERLINK("http://www.twitter.com/NathanBLawrence/status/996515028907053057", "996515028907053057")</f>
        <v/>
      </c>
      <c r="B570" s="2" t="n">
        <v>43235.9290625</v>
      </c>
      <c r="C570" t="n">
        <v>3</v>
      </c>
      <c r="D570" t="n">
        <v>2</v>
      </c>
      <c r="E570" t="s">
        <v>580</v>
      </c>
      <c r="F570" t="s"/>
      <c r="G570" t="s"/>
      <c r="H570" t="s"/>
      <c r="I570" t="s"/>
      <c r="J570" t="n">
        <v>0.0772</v>
      </c>
      <c r="K570" t="n">
        <v>0</v>
      </c>
      <c r="L570" t="n">
        <v>0.874</v>
      </c>
      <c r="M570" t="n">
        <v>0.126</v>
      </c>
    </row>
    <row r="571" spans="1:13">
      <c r="A571" s="1">
        <f>HYPERLINK("http://www.twitter.com/NathanBLawrence/status/996514772232400896", "996514772232400896")</f>
        <v/>
      </c>
      <c r="B571" s="2" t="n">
        <v>43235.92835648148</v>
      </c>
      <c r="C571" t="n">
        <v>0</v>
      </c>
      <c r="D571" t="n">
        <v>13497</v>
      </c>
      <c r="E571" t="s">
        <v>581</v>
      </c>
      <c r="F571" t="s"/>
      <c r="G571" t="s"/>
      <c r="H571" t="s"/>
      <c r="I571" t="s"/>
      <c r="J571" t="n">
        <v>0.3875</v>
      </c>
      <c r="K571" t="n">
        <v>0</v>
      </c>
      <c r="L571" t="n">
        <v>0.901</v>
      </c>
      <c r="M571" t="n">
        <v>0.099</v>
      </c>
    </row>
    <row r="572" spans="1:13">
      <c r="A572" s="1">
        <f>HYPERLINK("http://www.twitter.com/NathanBLawrence/status/996514682973368322", "996514682973368322")</f>
        <v/>
      </c>
      <c r="B572" s="2" t="n">
        <v>43235.92811342593</v>
      </c>
      <c r="C572" t="n">
        <v>0</v>
      </c>
      <c r="D572" t="n">
        <v>5</v>
      </c>
      <c r="E572" t="s">
        <v>582</v>
      </c>
      <c r="F572" t="s"/>
      <c r="G572" t="s"/>
      <c r="H572" t="s"/>
      <c r="I572" t="s"/>
      <c r="J572" t="n">
        <v>0</v>
      </c>
      <c r="K572" t="n">
        <v>0</v>
      </c>
      <c r="L572" t="n">
        <v>1</v>
      </c>
      <c r="M572" t="n">
        <v>0</v>
      </c>
    </row>
    <row r="573" spans="1:13">
      <c r="A573" s="1">
        <f>HYPERLINK("http://www.twitter.com/NathanBLawrence/status/996514660567396353", "996514660567396353")</f>
        <v/>
      </c>
      <c r="B573" s="2" t="n">
        <v>43235.92805555555</v>
      </c>
      <c r="C573" t="n">
        <v>5</v>
      </c>
      <c r="D573" t="n">
        <v>5</v>
      </c>
      <c r="E573" t="s">
        <v>583</v>
      </c>
      <c r="F573" t="s"/>
      <c r="G573" t="s"/>
      <c r="H573" t="s"/>
      <c r="I573" t="s"/>
      <c r="J573" t="n">
        <v>-0.6486</v>
      </c>
      <c r="K573" t="n">
        <v>0.238</v>
      </c>
      <c r="L573" t="n">
        <v>0.762</v>
      </c>
      <c r="M573" t="n">
        <v>0</v>
      </c>
    </row>
    <row r="574" spans="1:13">
      <c r="A574" s="1">
        <f>HYPERLINK("http://www.twitter.com/NathanBLawrence/status/996512263682043904", "996512263682043904")</f>
        <v/>
      </c>
      <c r="B574" s="2" t="n">
        <v>43235.92143518518</v>
      </c>
      <c r="C574" t="n">
        <v>0</v>
      </c>
      <c r="D574" t="n">
        <v>6</v>
      </c>
      <c r="E574" t="s">
        <v>584</v>
      </c>
      <c r="F574">
        <f>HYPERLINK("http://pbs.twimg.com/media/DdRMqAqWkAABbUb.jpg", "http://pbs.twimg.com/media/DdRMqAqWkAABbUb.jpg")</f>
        <v/>
      </c>
      <c r="G574" t="s"/>
      <c r="H574" t="s"/>
      <c r="I574" t="s"/>
      <c r="J574" t="n">
        <v>0.6739000000000001</v>
      </c>
      <c r="K574" t="n">
        <v>0</v>
      </c>
      <c r="L574" t="n">
        <v>0.822</v>
      </c>
      <c r="M574" t="n">
        <v>0.178</v>
      </c>
    </row>
    <row r="575" spans="1:13">
      <c r="A575" s="1">
        <f>HYPERLINK("http://www.twitter.com/NathanBLawrence/status/996511366591721473", "996511366591721473")</f>
        <v/>
      </c>
      <c r="B575" s="2" t="n">
        <v>43235.91895833334</v>
      </c>
      <c r="C575" t="n">
        <v>7</v>
      </c>
      <c r="D575" t="n">
        <v>5</v>
      </c>
      <c r="E575" t="s">
        <v>585</v>
      </c>
      <c r="F575">
        <f>HYPERLINK("http://pbs.twimg.com/media/DdRRzEgUwAABJWa.jpg", "http://pbs.twimg.com/media/DdRRzEgUwAABJWa.jpg")</f>
        <v/>
      </c>
      <c r="G575" t="s"/>
      <c r="H575" t="s"/>
      <c r="I575" t="s"/>
      <c r="J575" t="n">
        <v>0</v>
      </c>
      <c r="K575" t="n">
        <v>0</v>
      </c>
      <c r="L575" t="n">
        <v>1</v>
      </c>
      <c r="M575" t="n">
        <v>0</v>
      </c>
    </row>
    <row r="576" spans="1:13">
      <c r="A576" s="1">
        <f>HYPERLINK("http://www.twitter.com/NathanBLawrence/status/996511321310064642", "996511321310064642")</f>
        <v/>
      </c>
      <c r="B576" s="2" t="n">
        <v>43235.91883101852</v>
      </c>
      <c r="C576" t="n">
        <v>14</v>
      </c>
      <c r="D576" t="n">
        <v>14</v>
      </c>
      <c r="E576" t="s">
        <v>586</v>
      </c>
      <c r="F576" t="s"/>
      <c r="G576" t="s"/>
      <c r="H576" t="s"/>
      <c r="I576" t="s"/>
      <c r="J576" t="n">
        <v>-0.3254</v>
      </c>
      <c r="K576" t="n">
        <v>0.134</v>
      </c>
      <c r="L576" t="n">
        <v>0.792</v>
      </c>
      <c r="M576" t="n">
        <v>0.074</v>
      </c>
    </row>
    <row r="577" spans="1:13">
      <c r="A577" s="1">
        <f>HYPERLINK("http://www.twitter.com/NathanBLawrence/status/996504951001055232", "996504951001055232")</f>
        <v/>
      </c>
      <c r="B577" s="2" t="n">
        <v>43235.90126157407</v>
      </c>
      <c r="C577" t="n">
        <v>0</v>
      </c>
      <c r="D577" t="n">
        <v>1</v>
      </c>
      <c r="E577" t="s">
        <v>587</v>
      </c>
      <c r="F577" t="s"/>
      <c r="G577" t="s"/>
      <c r="H577" t="s"/>
      <c r="I577" t="s"/>
      <c r="J577" t="n">
        <v>0</v>
      </c>
      <c r="K577" t="n">
        <v>0</v>
      </c>
      <c r="L577" t="n">
        <v>1</v>
      </c>
      <c r="M577" t="n">
        <v>0</v>
      </c>
    </row>
    <row r="578" spans="1:13">
      <c r="A578" s="1">
        <f>HYPERLINK("http://www.twitter.com/NathanBLawrence/status/996476229388730368", "996476229388730368")</f>
        <v/>
      </c>
      <c r="B578" s="2" t="n">
        <v>43235.82200231482</v>
      </c>
      <c r="C578" t="n">
        <v>0</v>
      </c>
      <c r="D578" t="n">
        <v>6</v>
      </c>
      <c r="E578" t="s">
        <v>588</v>
      </c>
      <c r="F578">
        <f>HYPERLINK("http://pbs.twimg.com/media/DdOKOJ3V0AAWlC_.jpg", "http://pbs.twimg.com/media/DdOKOJ3V0AAWlC_.jpg")</f>
        <v/>
      </c>
      <c r="G578" t="s"/>
      <c r="H578" t="s"/>
      <c r="I578" t="s"/>
      <c r="J578" t="n">
        <v>0</v>
      </c>
      <c r="K578" t="n">
        <v>0</v>
      </c>
      <c r="L578" t="n">
        <v>1</v>
      </c>
      <c r="M578" t="n">
        <v>0</v>
      </c>
    </row>
    <row r="579" spans="1:13">
      <c r="A579" s="1">
        <f>HYPERLINK("http://www.twitter.com/NathanBLawrence/status/996475930607603713", "996475930607603713")</f>
        <v/>
      </c>
      <c r="B579" s="2" t="n">
        <v>43235.82118055555</v>
      </c>
      <c r="C579" t="n">
        <v>0</v>
      </c>
      <c r="D579" t="n">
        <v>2</v>
      </c>
      <c r="E579" t="s">
        <v>589</v>
      </c>
      <c r="F579">
        <f>HYPERLINK("http://pbs.twimg.com/media/DdOGDjvX4AAuAmv.jpg", "http://pbs.twimg.com/media/DdOGDjvX4AAuAmv.jpg")</f>
        <v/>
      </c>
      <c r="G579" t="s"/>
      <c r="H579" t="s"/>
      <c r="I579" t="s"/>
      <c r="J579" t="n">
        <v>0</v>
      </c>
      <c r="K579" t="n">
        <v>0</v>
      </c>
      <c r="L579" t="n">
        <v>1</v>
      </c>
      <c r="M579" t="n">
        <v>0</v>
      </c>
    </row>
    <row r="580" spans="1:13">
      <c r="A580" s="1">
        <f>HYPERLINK("http://www.twitter.com/NathanBLawrence/status/996475910474944512", "996475910474944512")</f>
        <v/>
      </c>
      <c r="B580" s="2" t="n">
        <v>43235.82112268519</v>
      </c>
      <c r="C580" t="n">
        <v>0</v>
      </c>
      <c r="D580" t="n">
        <v>15</v>
      </c>
      <c r="E580" t="s">
        <v>590</v>
      </c>
      <c r="F580">
        <f>HYPERLINK("http://pbs.twimg.com/media/DdOFcbfXkAEqbOM.jpg", "http://pbs.twimg.com/media/DdOFcbfXkAEqbOM.jpg")</f>
        <v/>
      </c>
      <c r="G580" t="s"/>
      <c r="H580" t="s"/>
      <c r="I580" t="s"/>
      <c r="J580" t="n">
        <v>0.2342</v>
      </c>
      <c r="K580" t="n">
        <v>0.144</v>
      </c>
      <c r="L580" t="n">
        <v>0.602</v>
      </c>
      <c r="M580" t="n">
        <v>0.254</v>
      </c>
    </row>
    <row r="581" spans="1:13">
      <c r="A581" s="1">
        <f>HYPERLINK("http://www.twitter.com/NathanBLawrence/status/996475396269932545", "996475396269932545")</f>
        <v/>
      </c>
      <c r="B581" s="2" t="n">
        <v>43235.81969907408</v>
      </c>
      <c r="C581" t="n">
        <v>0</v>
      </c>
      <c r="D581" t="n">
        <v>176</v>
      </c>
      <c r="E581" t="s">
        <v>591</v>
      </c>
      <c r="F581">
        <f>HYPERLINK("http://pbs.twimg.com/media/DdPxD7LV4AA2TFg.jpg", "http://pbs.twimg.com/media/DdPxD7LV4AA2TFg.jpg")</f>
        <v/>
      </c>
      <c r="G581" t="s"/>
      <c r="H581" t="s"/>
      <c r="I581" t="s"/>
      <c r="J581" t="n">
        <v>0</v>
      </c>
      <c r="K581" t="n">
        <v>0</v>
      </c>
      <c r="L581" t="n">
        <v>1</v>
      </c>
      <c r="M581" t="n">
        <v>0</v>
      </c>
    </row>
    <row r="582" spans="1:13">
      <c r="A582" s="1">
        <f>HYPERLINK("http://www.twitter.com/NathanBLawrence/status/996463105604571136", "996463105604571136")</f>
        <v/>
      </c>
      <c r="B582" s="2" t="n">
        <v>43235.78578703704</v>
      </c>
      <c r="C582" t="n">
        <v>0</v>
      </c>
      <c r="D582" t="n">
        <v>2</v>
      </c>
      <c r="E582" t="s">
        <v>592</v>
      </c>
      <c r="F582">
        <f>HYPERLINK("http://pbs.twimg.com/media/DdQg0QnX0AE2yvK.jpg", "http://pbs.twimg.com/media/DdQg0QnX0AE2yvK.jpg")</f>
        <v/>
      </c>
      <c r="G582" t="s"/>
      <c r="H582" t="s"/>
      <c r="I582" t="s"/>
      <c r="J582" t="n">
        <v>0</v>
      </c>
      <c r="K582" t="n">
        <v>0</v>
      </c>
      <c r="L582" t="n">
        <v>1</v>
      </c>
      <c r="M582" t="n">
        <v>0</v>
      </c>
    </row>
    <row r="583" spans="1:13">
      <c r="A583" s="1">
        <f>HYPERLINK("http://www.twitter.com/NathanBLawrence/status/996428034961018880", "996428034961018880")</f>
        <v/>
      </c>
      <c r="B583" s="2" t="n">
        <v>43235.68900462963</v>
      </c>
      <c r="C583" t="n">
        <v>0</v>
      </c>
      <c r="D583" t="n">
        <v>4406</v>
      </c>
      <c r="E583" t="s">
        <v>593</v>
      </c>
      <c r="F583" t="s"/>
      <c r="G583" t="s"/>
      <c r="H583" t="s"/>
      <c r="I583" t="s"/>
      <c r="J583" t="n">
        <v>0.4588</v>
      </c>
      <c r="K583" t="n">
        <v>0.075</v>
      </c>
      <c r="L583" t="n">
        <v>0.782</v>
      </c>
      <c r="M583" t="n">
        <v>0.143</v>
      </c>
    </row>
    <row r="584" spans="1:13">
      <c r="A584" s="1">
        <f>HYPERLINK("http://www.twitter.com/NathanBLawrence/status/996383254084190209", "996383254084190209")</f>
        <v/>
      </c>
      <c r="B584" s="2" t="n">
        <v>43235.56543981482</v>
      </c>
      <c r="C584" t="n">
        <v>0</v>
      </c>
      <c r="D584" t="n">
        <v>9</v>
      </c>
      <c r="E584" t="s">
        <v>594</v>
      </c>
      <c r="F584">
        <f>HYPERLINK("http://pbs.twimg.com/media/DdPZSiCVAAAjjwE.jpg", "http://pbs.twimg.com/media/DdPZSiCVAAAjjwE.jpg")</f>
        <v/>
      </c>
      <c r="G584" t="s"/>
      <c r="H584" t="s"/>
      <c r="I584" t="s"/>
      <c r="J584" t="n">
        <v>0</v>
      </c>
      <c r="K584" t="n">
        <v>0</v>
      </c>
      <c r="L584" t="n">
        <v>1</v>
      </c>
      <c r="M584" t="n">
        <v>0</v>
      </c>
    </row>
    <row r="585" spans="1:13">
      <c r="A585" s="1">
        <f>HYPERLINK("http://www.twitter.com/NathanBLawrence/status/996381480845824000", "996381480845824000")</f>
        <v/>
      </c>
      <c r="B585" s="2" t="n">
        <v>43235.56054398148</v>
      </c>
      <c r="C585" t="n">
        <v>13</v>
      </c>
      <c r="D585" t="n">
        <v>8</v>
      </c>
      <c r="E585" t="s">
        <v>595</v>
      </c>
      <c r="F585">
        <f>HYPERLINK("https://video.twimg.com/ext_tw_video/996381403934638081/pu/vid/240x240/wMZArqFU5_7FXccQ.mp4?tag=3", "https://video.twimg.com/ext_tw_video/996381403934638081/pu/vid/240x240/wMZArqFU5_7FXccQ.mp4?tag=3")</f>
        <v/>
      </c>
      <c r="G585" t="s"/>
      <c r="H585" t="s"/>
      <c r="I585" t="s"/>
      <c r="J585" t="n">
        <v>0.7717000000000001</v>
      </c>
      <c r="K585" t="n">
        <v>0</v>
      </c>
      <c r="L585" t="n">
        <v>0.835</v>
      </c>
      <c r="M585" t="n">
        <v>0.165</v>
      </c>
    </row>
    <row r="586" spans="1:13">
      <c r="A586" s="1">
        <f>HYPERLINK("http://www.twitter.com/NathanBLawrence/status/996376929942081541", "996376929942081541")</f>
        <v/>
      </c>
      <c r="B586" s="2" t="n">
        <v>43235.54798611111</v>
      </c>
      <c r="C586" t="n">
        <v>0</v>
      </c>
      <c r="D586" t="n">
        <v>10</v>
      </c>
      <c r="E586" t="s">
        <v>596</v>
      </c>
      <c r="F586" t="s"/>
      <c r="G586" t="s"/>
      <c r="H586" t="s"/>
      <c r="I586" t="s"/>
      <c r="J586" t="n">
        <v>0.7131</v>
      </c>
      <c r="K586" t="n">
        <v>0</v>
      </c>
      <c r="L586" t="n">
        <v>0.741</v>
      </c>
      <c r="M586" t="n">
        <v>0.259</v>
      </c>
    </row>
    <row r="587" spans="1:13">
      <c r="A587" s="1">
        <f>HYPERLINK("http://www.twitter.com/NathanBLawrence/status/996376552056205312", "996376552056205312")</f>
        <v/>
      </c>
      <c r="B587" s="2" t="n">
        <v>43235.54694444445</v>
      </c>
      <c r="C587" t="n">
        <v>10</v>
      </c>
      <c r="D587" t="n">
        <v>10</v>
      </c>
      <c r="E587" t="s">
        <v>597</v>
      </c>
      <c r="F587" t="s"/>
      <c r="G587" t="s"/>
      <c r="H587" t="s"/>
      <c r="I587" t="s"/>
      <c r="J587" t="n">
        <v>0.7131</v>
      </c>
      <c r="K587" t="n">
        <v>0</v>
      </c>
      <c r="L587" t="n">
        <v>0.716</v>
      </c>
      <c r="M587" t="n">
        <v>0.284</v>
      </c>
    </row>
    <row r="588" spans="1:13">
      <c r="A588" s="1">
        <f>HYPERLINK("http://www.twitter.com/NathanBLawrence/status/996375817872605184", "996375817872605184")</f>
        <v/>
      </c>
      <c r="B588" s="2" t="n">
        <v>43235.54491898148</v>
      </c>
      <c r="C588" t="n">
        <v>5</v>
      </c>
      <c r="D588" t="n">
        <v>0</v>
      </c>
      <c r="E588" t="s">
        <v>598</v>
      </c>
      <c r="F588" t="s"/>
      <c r="G588" t="s"/>
      <c r="H588" t="s"/>
      <c r="I588" t="s"/>
      <c r="J588" t="n">
        <v>0</v>
      </c>
      <c r="K588" t="n">
        <v>0</v>
      </c>
      <c r="L588" t="n">
        <v>1</v>
      </c>
      <c r="M588" t="n">
        <v>0</v>
      </c>
    </row>
    <row r="589" spans="1:13">
      <c r="A589" s="1">
        <f>HYPERLINK("http://www.twitter.com/NathanBLawrence/status/996257643781083136", "996257643781083136")</f>
        <v/>
      </c>
      <c r="B589" s="2" t="n">
        <v>43235.21881944445</v>
      </c>
      <c r="C589" t="n">
        <v>0</v>
      </c>
      <c r="D589" t="n">
        <v>1</v>
      </c>
      <c r="E589" t="s">
        <v>599</v>
      </c>
      <c r="F589">
        <f>HYPERLINK("http://pbs.twimg.com/media/Dc9AZxrWsAAoG8J.jpg", "http://pbs.twimg.com/media/Dc9AZxrWsAAoG8J.jpg")</f>
        <v/>
      </c>
      <c r="G589" t="s"/>
      <c r="H589" t="s"/>
      <c r="I589" t="s"/>
      <c r="J589" t="n">
        <v>-0.296</v>
      </c>
      <c r="K589" t="n">
        <v>0.145</v>
      </c>
      <c r="L589" t="n">
        <v>0.855</v>
      </c>
      <c r="M589" t="n">
        <v>0</v>
      </c>
    </row>
    <row r="590" spans="1:13">
      <c r="A590" s="1">
        <f>HYPERLINK("http://www.twitter.com/NathanBLawrence/status/996248903031943169", "996248903031943169")</f>
        <v/>
      </c>
      <c r="B590" s="2" t="n">
        <v>43235.19469907408</v>
      </c>
      <c r="C590" t="n">
        <v>0</v>
      </c>
      <c r="D590" t="n">
        <v>6</v>
      </c>
      <c r="E590" t="s">
        <v>600</v>
      </c>
      <c r="F590" t="s"/>
      <c r="G590" t="s"/>
      <c r="H590" t="s"/>
      <c r="I590" t="s"/>
      <c r="J590" t="n">
        <v>0</v>
      </c>
      <c r="K590" t="n">
        <v>0</v>
      </c>
      <c r="L590" t="n">
        <v>1</v>
      </c>
      <c r="M590" t="n">
        <v>0</v>
      </c>
    </row>
    <row r="591" spans="1:13">
      <c r="A591" s="1">
        <f>HYPERLINK("http://www.twitter.com/NathanBLawrence/status/996248462260932608", "996248462260932608")</f>
        <v/>
      </c>
      <c r="B591" s="2" t="n">
        <v>43235.1934837963</v>
      </c>
      <c r="C591" t="n">
        <v>0</v>
      </c>
      <c r="D591" t="n">
        <v>3</v>
      </c>
      <c r="E591" t="s">
        <v>601</v>
      </c>
      <c r="F591" t="s"/>
      <c r="G591" t="s"/>
      <c r="H591" t="s"/>
      <c r="I591" t="s"/>
      <c r="J591" t="n">
        <v>0</v>
      </c>
      <c r="K591" t="n">
        <v>0</v>
      </c>
      <c r="L591" t="n">
        <v>1</v>
      </c>
      <c r="M591" t="n">
        <v>0</v>
      </c>
    </row>
    <row r="592" spans="1:13">
      <c r="A592" s="1">
        <f>HYPERLINK("http://www.twitter.com/NathanBLawrence/status/996215597456388097", "996215597456388097")</f>
        <v/>
      </c>
      <c r="B592" s="2" t="n">
        <v>43235.10278935185</v>
      </c>
      <c r="C592" t="n">
        <v>0</v>
      </c>
      <c r="D592" t="n">
        <v>83</v>
      </c>
      <c r="E592" t="s">
        <v>602</v>
      </c>
      <c r="F592">
        <f>HYPERLINK("http://pbs.twimg.com/media/DY9Q934VAAAFADw.jpg", "http://pbs.twimg.com/media/DY9Q934VAAAFADw.jpg")</f>
        <v/>
      </c>
      <c r="G592" t="s"/>
      <c r="H592" t="s"/>
      <c r="I592" t="s"/>
      <c r="J592" t="n">
        <v>0</v>
      </c>
      <c r="K592" t="n">
        <v>0</v>
      </c>
      <c r="L592" t="n">
        <v>1</v>
      </c>
      <c r="M592" t="n">
        <v>0</v>
      </c>
    </row>
    <row r="593" spans="1:13">
      <c r="A593" s="1">
        <f>HYPERLINK("http://www.twitter.com/NathanBLawrence/status/996215578267471872", "996215578267471872")</f>
        <v/>
      </c>
      <c r="B593" s="2" t="n">
        <v>43235.10274305556</v>
      </c>
      <c r="C593" t="n">
        <v>0</v>
      </c>
      <c r="D593" t="n">
        <v>205</v>
      </c>
      <c r="E593" t="s">
        <v>603</v>
      </c>
      <c r="F593" t="s"/>
      <c r="G593" t="s"/>
      <c r="H593" t="s"/>
      <c r="I593" t="s"/>
      <c r="J593" t="n">
        <v>0</v>
      </c>
      <c r="K593" t="n">
        <v>0</v>
      </c>
      <c r="L593" t="n">
        <v>1</v>
      </c>
      <c r="M593" t="n">
        <v>0</v>
      </c>
    </row>
    <row r="594" spans="1:13">
      <c r="A594" s="1">
        <f>HYPERLINK("http://www.twitter.com/NathanBLawrence/status/996163422818570241", "996163422818570241")</f>
        <v/>
      </c>
      <c r="B594" s="2" t="n">
        <v>43234.95881944444</v>
      </c>
      <c r="C594" t="n">
        <v>2</v>
      </c>
      <c r="D594" t="n">
        <v>1</v>
      </c>
      <c r="E594" t="s">
        <v>604</v>
      </c>
      <c r="F594" t="s"/>
      <c r="G594" t="s"/>
      <c r="H594" t="s"/>
      <c r="I594" t="s"/>
      <c r="J594" t="n">
        <v>-0.2732</v>
      </c>
      <c r="K594" t="n">
        <v>0.344</v>
      </c>
      <c r="L594" t="n">
        <v>0.656</v>
      </c>
      <c r="M594" t="n">
        <v>0</v>
      </c>
    </row>
    <row r="595" spans="1:13">
      <c r="A595" s="1">
        <f>HYPERLINK("http://www.twitter.com/NathanBLawrence/status/996162745308459008", "996162745308459008")</f>
        <v/>
      </c>
      <c r="B595" s="2" t="n">
        <v>43234.95694444444</v>
      </c>
      <c r="C595" t="n">
        <v>0</v>
      </c>
      <c r="D595" t="n">
        <v>11611</v>
      </c>
      <c r="E595" t="s">
        <v>605</v>
      </c>
      <c r="F595">
        <f>HYPERLINK("https://video.twimg.com/ext_tw_video/996142725371228165/pu/vid/720x720/NadyLcRaSrYLcDos.mp4?tag=3", "https://video.twimg.com/ext_tw_video/996142725371228165/pu/vid/720x720/NadyLcRaSrYLcDos.mp4?tag=3")</f>
        <v/>
      </c>
      <c r="G595" t="s"/>
      <c r="H595" t="s"/>
      <c r="I595" t="s"/>
      <c r="J595" t="n">
        <v>-0.0258</v>
      </c>
      <c r="K595" t="n">
        <v>0.19</v>
      </c>
      <c r="L595" t="n">
        <v>0.623</v>
      </c>
      <c r="M595" t="n">
        <v>0.187</v>
      </c>
    </row>
    <row r="596" spans="1:13">
      <c r="A596" s="1">
        <f>HYPERLINK("http://www.twitter.com/NathanBLawrence/status/996096838917816320", "996096838917816320")</f>
        <v/>
      </c>
      <c r="B596" s="2" t="n">
        <v>43234.77508101852</v>
      </c>
      <c r="C596" t="n">
        <v>0</v>
      </c>
      <c r="D596" t="n">
        <v>824</v>
      </c>
      <c r="E596" t="s">
        <v>606</v>
      </c>
      <c r="F596">
        <f>HYPERLINK("https://video.twimg.com/ext_tw_video/996086405414633478/pu/vid/720x720/YGcDl1NrDq9ILZzt.mp4?tag=3", "https://video.twimg.com/ext_tw_video/996086405414633478/pu/vid/720x720/YGcDl1NrDq9ILZzt.mp4?tag=3")</f>
        <v/>
      </c>
      <c r="G596" t="s"/>
      <c r="H596" t="s"/>
      <c r="I596" t="s"/>
      <c r="J596" t="n">
        <v>0.5719</v>
      </c>
      <c r="K596" t="n">
        <v>0</v>
      </c>
      <c r="L596" t="n">
        <v>0.829</v>
      </c>
      <c r="M596" t="n">
        <v>0.171</v>
      </c>
    </row>
    <row r="597" spans="1:13">
      <c r="A597" s="1">
        <f>HYPERLINK("http://www.twitter.com/NathanBLawrence/status/996096748673224706", "996096748673224706")</f>
        <v/>
      </c>
      <c r="B597" s="2" t="n">
        <v>43234.77483796296</v>
      </c>
      <c r="C597" t="n">
        <v>0</v>
      </c>
      <c r="D597" t="n">
        <v>11001</v>
      </c>
      <c r="E597" t="s">
        <v>607</v>
      </c>
      <c r="F597">
        <f>HYPERLINK("https://video.twimg.com/ext_tw_video/996011243168137216/pu/vid/1280x720/dTrnPWv0HKhaiC_8.mp4?tag=3", "https://video.twimg.com/ext_tw_video/996011243168137216/pu/vid/1280x720/dTrnPWv0HKhaiC_8.mp4?tag=3")</f>
        <v/>
      </c>
      <c r="G597" t="s"/>
      <c r="H597" t="s"/>
      <c r="I597" t="s"/>
      <c r="J597" t="n">
        <v>0.6679</v>
      </c>
      <c r="K597" t="n">
        <v>0.098</v>
      </c>
      <c r="L597" t="n">
        <v>0.663</v>
      </c>
      <c r="M597" t="n">
        <v>0.239</v>
      </c>
    </row>
    <row r="598" spans="1:13">
      <c r="A598" s="1">
        <f>HYPERLINK("http://www.twitter.com/NathanBLawrence/status/996096083662114816", "996096083662114816")</f>
        <v/>
      </c>
      <c r="B598" s="2" t="n">
        <v>43234.77299768518</v>
      </c>
      <c r="C598" t="n">
        <v>5</v>
      </c>
      <c r="D598" t="n">
        <v>3</v>
      </c>
      <c r="E598" t="s">
        <v>608</v>
      </c>
      <c r="F598" t="s"/>
      <c r="G598" t="s"/>
      <c r="H598" t="s"/>
      <c r="I598" t="s"/>
      <c r="J598" t="n">
        <v>0</v>
      </c>
      <c r="K598" t="n">
        <v>0</v>
      </c>
      <c r="L598" t="n">
        <v>1</v>
      </c>
      <c r="M598" t="n">
        <v>0</v>
      </c>
    </row>
    <row r="599" spans="1:13">
      <c r="A599" s="1">
        <f>HYPERLINK("http://www.twitter.com/NathanBLawrence/status/996037606059233282", "996037606059233282")</f>
        <v/>
      </c>
      <c r="B599" s="2" t="n">
        <v>43234.61163194444</v>
      </c>
      <c r="C599" t="n">
        <v>1</v>
      </c>
      <c r="D599" t="n">
        <v>0</v>
      </c>
      <c r="E599" t="s">
        <v>609</v>
      </c>
      <c r="F599" t="s"/>
      <c r="G599" t="s"/>
      <c r="H599" t="s"/>
      <c r="I599" t="s"/>
      <c r="J599" t="n">
        <v>0</v>
      </c>
      <c r="K599" t="n">
        <v>0</v>
      </c>
      <c r="L599" t="n">
        <v>1</v>
      </c>
      <c r="M599" t="n">
        <v>0</v>
      </c>
    </row>
    <row r="600" spans="1:13">
      <c r="A600" s="1">
        <f>HYPERLINK("http://www.twitter.com/NathanBLawrence/status/996037317935673344", "996037317935673344")</f>
        <v/>
      </c>
      <c r="B600" s="2" t="n">
        <v>43234.61083333333</v>
      </c>
      <c r="C600" t="n">
        <v>0</v>
      </c>
      <c r="D600" t="n">
        <v>0</v>
      </c>
      <c r="E600" t="s">
        <v>610</v>
      </c>
      <c r="F600" t="s"/>
      <c r="G600" t="s"/>
      <c r="H600" t="s"/>
      <c r="I600" t="s"/>
      <c r="J600" t="n">
        <v>0</v>
      </c>
      <c r="K600" t="n">
        <v>0</v>
      </c>
      <c r="L600" t="n">
        <v>1</v>
      </c>
      <c r="M600" t="n">
        <v>0</v>
      </c>
    </row>
    <row r="601" spans="1:13">
      <c r="A601" s="1">
        <f>HYPERLINK("http://www.twitter.com/NathanBLawrence/status/996036378558451712", "996036378558451712")</f>
        <v/>
      </c>
      <c r="B601" s="2" t="n">
        <v>43234.60824074074</v>
      </c>
      <c r="C601" t="n">
        <v>1</v>
      </c>
      <c r="D601" t="n">
        <v>0</v>
      </c>
      <c r="E601" t="s">
        <v>611</v>
      </c>
      <c r="F601" t="s"/>
      <c r="G601" t="s"/>
      <c r="H601" t="s"/>
      <c r="I601" t="s"/>
      <c r="J601" t="n">
        <v>0</v>
      </c>
      <c r="K601" t="n">
        <v>0</v>
      </c>
      <c r="L601" t="n">
        <v>1</v>
      </c>
      <c r="M601" t="n">
        <v>0</v>
      </c>
    </row>
    <row r="602" spans="1:13">
      <c r="A602" s="1">
        <f>HYPERLINK("http://www.twitter.com/NathanBLawrence/status/996035935262396417", "996035935262396417")</f>
        <v/>
      </c>
      <c r="B602" s="2" t="n">
        <v>43234.60702546296</v>
      </c>
      <c r="C602" t="n">
        <v>4</v>
      </c>
      <c r="D602" t="n">
        <v>3</v>
      </c>
      <c r="E602" t="s">
        <v>612</v>
      </c>
      <c r="F602" t="s"/>
      <c r="G602" t="s"/>
      <c r="H602" t="s"/>
      <c r="I602" t="s"/>
      <c r="J602" t="n">
        <v>-0.4215</v>
      </c>
      <c r="K602" t="n">
        <v>0.5590000000000001</v>
      </c>
      <c r="L602" t="n">
        <v>0.441</v>
      </c>
      <c r="M602" t="n">
        <v>0</v>
      </c>
    </row>
    <row r="603" spans="1:13">
      <c r="A603" s="1">
        <f>HYPERLINK("http://www.twitter.com/NathanBLawrence/status/996035627379552256", "996035627379552256")</f>
        <v/>
      </c>
      <c r="B603" s="2" t="n">
        <v>43234.60616898148</v>
      </c>
      <c r="C603" t="n">
        <v>1</v>
      </c>
      <c r="D603" t="n">
        <v>0</v>
      </c>
      <c r="E603" t="s">
        <v>613</v>
      </c>
      <c r="F603" t="s"/>
      <c r="G603" t="s"/>
      <c r="H603" t="s"/>
      <c r="I603" t="s"/>
      <c r="J603" t="n">
        <v>-0.2211</v>
      </c>
      <c r="K603" t="n">
        <v>0.19</v>
      </c>
      <c r="L603" t="n">
        <v>0.8100000000000001</v>
      </c>
      <c r="M603" t="n">
        <v>0</v>
      </c>
    </row>
    <row r="604" spans="1:13">
      <c r="A604" s="1">
        <f>HYPERLINK("http://www.twitter.com/NathanBLawrence/status/996035268061908992", "996035268061908992")</f>
        <v/>
      </c>
      <c r="B604" s="2" t="n">
        <v>43234.60518518519</v>
      </c>
      <c r="C604" t="n">
        <v>4</v>
      </c>
      <c r="D604" t="n">
        <v>3</v>
      </c>
      <c r="E604" t="s">
        <v>614</v>
      </c>
      <c r="F604" t="s"/>
      <c r="G604" t="s"/>
      <c r="H604" t="s"/>
      <c r="I604" t="s"/>
      <c r="J604" t="n">
        <v>0</v>
      </c>
      <c r="K604" t="n">
        <v>0</v>
      </c>
      <c r="L604" t="n">
        <v>1</v>
      </c>
      <c r="M604" t="n">
        <v>0</v>
      </c>
    </row>
    <row r="605" spans="1:13">
      <c r="A605" s="1">
        <f>HYPERLINK("http://www.twitter.com/NathanBLawrence/status/996033251524468736", "996033251524468736")</f>
        <v/>
      </c>
      <c r="B605" s="2" t="n">
        <v>43234.59961805555</v>
      </c>
      <c r="C605" t="n">
        <v>18</v>
      </c>
      <c r="D605" t="n">
        <v>2</v>
      </c>
      <c r="E605" t="s">
        <v>615</v>
      </c>
      <c r="F605" t="s"/>
      <c r="G605" t="s"/>
      <c r="H605" t="s"/>
      <c r="I605" t="s"/>
      <c r="J605" t="n">
        <v>-0.0258</v>
      </c>
      <c r="K605" t="n">
        <v>0.128</v>
      </c>
      <c r="L605" t="n">
        <v>0.749</v>
      </c>
      <c r="M605" t="n">
        <v>0.123</v>
      </c>
    </row>
    <row r="606" spans="1:13">
      <c r="A606" s="1">
        <f>HYPERLINK("http://www.twitter.com/NathanBLawrence/status/996008544515297280", "996008544515297280")</f>
        <v/>
      </c>
      <c r="B606" s="2" t="n">
        <v>43234.53143518518</v>
      </c>
      <c r="C606" t="n">
        <v>0</v>
      </c>
      <c r="D606" t="n">
        <v>4149</v>
      </c>
      <c r="E606" t="s">
        <v>616</v>
      </c>
      <c r="F606" t="s"/>
      <c r="G606" t="s"/>
      <c r="H606" t="s"/>
      <c r="I606" t="s"/>
      <c r="J606" t="n">
        <v>0.7717000000000001</v>
      </c>
      <c r="K606" t="n">
        <v>0.095</v>
      </c>
      <c r="L606" t="n">
        <v>0.536</v>
      </c>
      <c r="M606" t="n">
        <v>0.369</v>
      </c>
    </row>
    <row r="607" spans="1:13">
      <c r="A607" s="1">
        <f>HYPERLINK("http://www.twitter.com/NathanBLawrence/status/996007526016671744", "996007526016671744")</f>
        <v/>
      </c>
      <c r="B607" s="2" t="n">
        <v>43234.52862268518</v>
      </c>
      <c r="C607" t="n">
        <v>0</v>
      </c>
      <c r="D607" t="n">
        <v>37</v>
      </c>
      <c r="E607" t="s">
        <v>617</v>
      </c>
      <c r="F607" t="s"/>
      <c r="G607" t="s"/>
      <c r="H607" t="s"/>
      <c r="I607" t="s"/>
      <c r="J607" t="n">
        <v>0.1593</v>
      </c>
      <c r="K607" t="n">
        <v>0.05</v>
      </c>
      <c r="L607" t="n">
        <v>0.877</v>
      </c>
      <c r="M607" t="n">
        <v>0.073</v>
      </c>
    </row>
    <row r="608" spans="1:13">
      <c r="A608" s="1">
        <f>HYPERLINK("http://www.twitter.com/NathanBLawrence/status/996007377970388992", "996007377970388992")</f>
        <v/>
      </c>
      <c r="B608" s="2" t="n">
        <v>43234.52821759259</v>
      </c>
      <c r="C608" t="n">
        <v>0</v>
      </c>
      <c r="D608" t="n">
        <v>14697</v>
      </c>
      <c r="E608" t="s">
        <v>618</v>
      </c>
      <c r="F608">
        <f>HYPERLINK("http://pbs.twimg.com/media/DdKFu_MUQAAmvu6.jpg", "http://pbs.twimg.com/media/DdKFu_MUQAAmvu6.jpg")</f>
        <v/>
      </c>
      <c r="G608" t="s"/>
      <c r="H608" t="s"/>
      <c r="I608" t="s"/>
      <c r="J608" t="n">
        <v>0.5719</v>
      </c>
      <c r="K608" t="n">
        <v>0</v>
      </c>
      <c r="L608" t="n">
        <v>0.837</v>
      </c>
      <c r="M608" t="n">
        <v>0.163</v>
      </c>
    </row>
    <row r="609" spans="1:13">
      <c r="A609" s="1">
        <f>HYPERLINK("http://www.twitter.com/NathanBLawrence/status/996003096651337728", "996003096651337728")</f>
        <v/>
      </c>
      <c r="B609" s="2" t="n">
        <v>43234.51640046296</v>
      </c>
      <c r="C609" t="n">
        <v>0</v>
      </c>
      <c r="D609" t="n">
        <v>33</v>
      </c>
      <c r="E609" t="s">
        <v>619</v>
      </c>
      <c r="F609">
        <f>HYPERLINK("http://pbs.twimg.com/media/DdJlxz7VwAAUYKr.jpg", "http://pbs.twimg.com/media/DdJlxz7VwAAUYKr.jpg")</f>
        <v/>
      </c>
      <c r="G609" t="s"/>
      <c r="H609" t="s"/>
      <c r="I609" t="s"/>
      <c r="J609" t="n">
        <v>-0.5622</v>
      </c>
      <c r="K609" t="n">
        <v>0.206</v>
      </c>
      <c r="L609" t="n">
        <v>0.794</v>
      </c>
      <c r="M609" t="n">
        <v>0</v>
      </c>
    </row>
    <row r="610" spans="1:13">
      <c r="A610" s="1">
        <f>HYPERLINK("http://www.twitter.com/NathanBLawrence/status/996002861053087744", "996002861053087744")</f>
        <v/>
      </c>
      <c r="B610" s="2" t="n">
        <v>43234.51575231482</v>
      </c>
      <c r="C610" t="n">
        <v>0</v>
      </c>
      <c r="D610" t="n">
        <v>47</v>
      </c>
      <c r="E610" t="s">
        <v>620</v>
      </c>
      <c r="F610" t="s"/>
      <c r="G610" t="s"/>
      <c r="H610" t="s"/>
      <c r="I610" t="s"/>
      <c r="J610" t="n">
        <v>0</v>
      </c>
      <c r="K610" t="n">
        <v>0</v>
      </c>
      <c r="L610" t="n">
        <v>1</v>
      </c>
      <c r="M610" t="n">
        <v>0</v>
      </c>
    </row>
    <row r="611" spans="1:13">
      <c r="A611" s="1">
        <f>HYPERLINK("http://www.twitter.com/NathanBLawrence/status/996002376120262657", "996002376120262657")</f>
        <v/>
      </c>
      <c r="B611" s="2" t="n">
        <v>43234.51440972222</v>
      </c>
      <c r="C611" t="n">
        <v>0</v>
      </c>
      <c r="D611" t="n">
        <v>39</v>
      </c>
      <c r="E611" t="s">
        <v>621</v>
      </c>
      <c r="F611" t="s"/>
      <c r="G611" t="s"/>
      <c r="H611" t="s"/>
      <c r="I611" t="s"/>
      <c r="J611" t="n">
        <v>0</v>
      </c>
      <c r="K611" t="n">
        <v>0</v>
      </c>
      <c r="L611" t="n">
        <v>1</v>
      </c>
      <c r="M611" t="n">
        <v>0</v>
      </c>
    </row>
    <row r="612" spans="1:13">
      <c r="A612" s="1">
        <f>HYPERLINK("http://www.twitter.com/NathanBLawrence/status/995996911667736576", "995996911667736576")</f>
        <v/>
      </c>
      <c r="B612" s="2" t="n">
        <v>43234.49934027778</v>
      </c>
      <c r="C612" t="n">
        <v>0</v>
      </c>
      <c r="D612" t="n">
        <v>25</v>
      </c>
      <c r="E612" t="s">
        <v>622</v>
      </c>
      <c r="F612">
        <f>HYPERLINK("http://pbs.twimg.com/media/DdIIzUjX4AAHoMa.jpg", "http://pbs.twimg.com/media/DdIIzUjX4AAHoMa.jpg")</f>
        <v/>
      </c>
      <c r="G612" t="s"/>
      <c r="H612" t="s"/>
      <c r="I612" t="s"/>
      <c r="J612" t="n">
        <v>-0.3595</v>
      </c>
      <c r="K612" t="n">
        <v>0.161</v>
      </c>
      <c r="L612" t="n">
        <v>0.839</v>
      </c>
      <c r="M612" t="n">
        <v>0</v>
      </c>
    </row>
    <row r="613" spans="1:13">
      <c r="A613" s="1">
        <f>HYPERLINK("http://www.twitter.com/NathanBLawrence/status/995989893817028608", "995989893817028608")</f>
        <v/>
      </c>
      <c r="B613" s="2" t="n">
        <v>43234.47996527778</v>
      </c>
      <c r="C613" t="n">
        <v>0</v>
      </c>
      <c r="D613" t="n">
        <v>22</v>
      </c>
      <c r="E613" t="s">
        <v>623</v>
      </c>
      <c r="F613" t="s"/>
      <c r="G613" t="s"/>
      <c r="H613" t="s"/>
      <c r="I613" t="s"/>
      <c r="J613" t="n">
        <v>0</v>
      </c>
      <c r="K613" t="n">
        <v>0</v>
      </c>
      <c r="L613" t="n">
        <v>1</v>
      </c>
      <c r="M613" t="n">
        <v>0</v>
      </c>
    </row>
    <row r="614" spans="1:13">
      <c r="A614" s="1">
        <f>HYPERLINK("http://www.twitter.com/NathanBLawrence/status/995853591725445125", "995853591725445125")</f>
        <v/>
      </c>
      <c r="B614" s="2" t="n">
        <v>43234.10384259259</v>
      </c>
      <c r="C614" t="n">
        <v>0</v>
      </c>
      <c r="D614" t="n">
        <v>3</v>
      </c>
      <c r="E614" t="s">
        <v>624</v>
      </c>
      <c r="F614" t="s"/>
      <c r="G614" t="s"/>
      <c r="H614" t="s"/>
      <c r="I614" t="s"/>
      <c r="J614" t="n">
        <v>0</v>
      </c>
      <c r="K614" t="n">
        <v>0</v>
      </c>
      <c r="L614" t="n">
        <v>1</v>
      </c>
      <c r="M614" t="n">
        <v>0</v>
      </c>
    </row>
    <row r="615" spans="1:13">
      <c r="A615" s="1">
        <f>HYPERLINK("http://www.twitter.com/NathanBLawrence/status/995853525170221056", "995853525170221056")</f>
        <v/>
      </c>
      <c r="B615" s="2" t="n">
        <v>43234.10366898148</v>
      </c>
      <c r="C615" t="n">
        <v>0</v>
      </c>
      <c r="D615" t="n">
        <v>4</v>
      </c>
      <c r="E615" t="s">
        <v>625</v>
      </c>
      <c r="F615" t="s"/>
      <c r="G615" t="s"/>
      <c r="H615" t="s"/>
      <c r="I615" t="s"/>
      <c r="J615" t="n">
        <v>0</v>
      </c>
      <c r="K615" t="n">
        <v>0</v>
      </c>
      <c r="L615" t="n">
        <v>1</v>
      </c>
      <c r="M615" t="n">
        <v>0</v>
      </c>
    </row>
    <row r="616" spans="1:13">
      <c r="A616" s="1">
        <f>HYPERLINK("http://www.twitter.com/NathanBLawrence/status/995830410566356993", "995830410566356993")</f>
        <v/>
      </c>
      <c r="B616" s="2" t="n">
        <v>43234.03988425926</v>
      </c>
      <c r="C616" t="n">
        <v>0</v>
      </c>
      <c r="D616" t="n">
        <v>10</v>
      </c>
      <c r="E616" t="s">
        <v>626</v>
      </c>
      <c r="F616" t="s"/>
      <c r="G616" t="s"/>
      <c r="H616" t="s"/>
      <c r="I616" t="s"/>
      <c r="J616" t="n">
        <v>-0.1531</v>
      </c>
      <c r="K616" t="n">
        <v>0.148</v>
      </c>
      <c r="L616" t="n">
        <v>0.852</v>
      </c>
      <c r="M616" t="n">
        <v>0</v>
      </c>
    </row>
    <row r="617" spans="1:13">
      <c r="A617" s="1">
        <f>HYPERLINK("http://www.twitter.com/NathanBLawrence/status/995830342383755264", "995830342383755264")</f>
        <v/>
      </c>
      <c r="B617" s="2" t="n">
        <v>43234.0396875</v>
      </c>
      <c r="C617" t="n">
        <v>0</v>
      </c>
      <c r="D617" t="n">
        <v>25</v>
      </c>
      <c r="E617" t="s">
        <v>627</v>
      </c>
      <c r="F617">
        <f>HYPERLINK("http://pbs.twimg.com/media/DbyufcVVQAIATaE.jpg", "http://pbs.twimg.com/media/DbyufcVVQAIATaE.jpg")</f>
        <v/>
      </c>
      <c r="G617" t="s"/>
      <c r="H617" t="s"/>
      <c r="I617" t="s"/>
      <c r="J617" t="n">
        <v>0</v>
      </c>
      <c r="K617" t="n">
        <v>0</v>
      </c>
      <c r="L617" t="n">
        <v>1</v>
      </c>
      <c r="M617" t="n">
        <v>0</v>
      </c>
    </row>
    <row r="618" spans="1:13">
      <c r="A618" s="1">
        <f>HYPERLINK("http://www.twitter.com/NathanBLawrence/status/995830292781977606", "995830292781977606")</f>
        <v/>
      </c>
      <c r="B618" s="2" t="n">
        <v>43234.03956018519</v>
      </c>
      <c r="C618" t="n">
        <v>0</v>
      </c>
      <c r="D618" t="n">
        <v>20</v>
      </c>
      <c r="E618" t="s">
        <v>628</v>
      </c>
      <c r="F618">
        <f>HYPERLINK("http://pbs.twimg.com/media/DarKmaEVwAEdTmj.jpg", "http://pbs.twimg.com/media/DarKmaEVwAEdTmj.jpg")</f>
        <v/>
      </c>
      <c r="G618" t="s"/>
      <c r="H618" t="s"/>
      <c r="I618" t="s"/>
      <c r="J618" t="n">
        <v>0</v>
      </c>
      <c r="K618" t="n">
        <v>0</v>
      </c>
      <c r="L618" t="n">
        <v>1</v>
      </c>
      <c r="M618" t="n">
        <v>0</v>
      </c>
    </row>
    <row r="619" spans="1:13">
      <c r="A619" s="1">
        <f>HYPERLINK("http://www.twitter.com/NathanBLawrence/status/995809189711826944", "995809189711826944")</f>
        <v/>
      </c>
      <c r="B619" s="2" t="n">
        <v>43233.98131944444</v>
      </c>
      <c r="C619" t="n">
        <v>0</v>
      </c>
      <c r="D619" t="n">
        <v>19</v>
      </c>
      <c r="E619" t="s">
        <v>629</v>
      </c>
      <c r="F619">
        <f>HYPERLINK("https://video.twimg.com/ext_tw_video/995768104494903296/pu/vid/240x240/N56Lo3E2EWAKVDBb.mp4?tag=3", "https://video.twimg.com/ext_tw_video/995768104494903296/pu/vid/240x240/N56Lo3E2EWAKVDBb.mp4?tag=3")</f>
        <v/>
      </c>
      <c r="G619" t="s"/>
      <c r="H619" t="s"/>
      <c r="I619" t="s"/>
      <c r="J619" t="n">
        <v>-0.4588</v>
      </c>
      <c r="K619" t="n">
        <v>0.132</v>
      </c>
      <c r="L619" t="n">
        <v>0.8139999999999999</v>
      </c>
      <c r="M619" t="n">
        <v>0.054</v>
      </c>
    </row>
    <row r="620" spans="1:13">
      <c r="A620" s="1">
        <f>HYPERLINK("http://www.twitter.com/NathanBLawrence/status/995809156589412352", "995809156589412352")</f>
        <v/>
      </c>
      <c r="B620" s="2" t="n">
        <v>43233.98122685185</v>
      </c>
      <c r="C620" t="n">
        <v>0</v>
      </c>
      <c r="D620" t="n">
        <v>21</v>
      </c>
      <c r="E620" t="s">
        <v>630</v>
      </c>
      <c r="F620" t="s"/>
      <c r="G620" t="s"/>
      <c r="H620" t="s"/>
      <c r="I620" t="s"/>
      <c r="J620" t="n">
        <v>0.2732</v>
      </c>
      <c r="K620" t="n">
        <v>0.103</v>
      </c>
      <c r="L620" t="n">
        <v>0.672</v>
      </c>
      <c r="M620" t="n">
        <v>0.225</v>
      </c>
    </row>
    <row r="621" spans="1:13">
      <c r="A621" s="1">
        <f>HYPERLINK("http://www.twitter.com/NathanBLawrence/status/995794594511183872", "995794594511183872")</f>
        <v/>
      </c>
      <c r="B621" s="2" t="n">
        <v>43233.94104166667</v>
      </c>
      <c r="C621" t="n">
        <v>0</v>
      </c>
      <c r="D621" t="n">
        <v>1706</v>
      </c>
      <c r="E621" t="s">
        <v>631</v>
      </c>
      <c r="F621" t="s"/>
      <c r="G621" t="s"/>
      <c r="H621" t="s"/>
      <c r="I621" t="s"/>
      <c r="J621" t="n">
        <v>-0.5423</v>
      </c>
      <c r="K621" t="n">
        <v>0.143</v>
      </c>
      <c r="L621" t="n">
        <v>0.857</v>
      </c>
      <c r="M621" t="n">
        <v>0</v>
      </c>
    </row>
    <row r="622" spans="1:13">
      <c r="A622" s="1">
        <f>HYPERLINK("http://www.twitter.com/NathanBLawrence/status/995794576509145089", "995794576509145089")</f>
        <v/>
      </c>
      <c r="B622" s="2" t="n">
        <v>43233.94099537037</v>
      </c>
      <c r="C622" t="n">
        <v>2</v>
      </c>
      <c r="D622" t="n">
        <v>0</v>
      </c>
      <c r="E622" t="s">
        <v>632</v>
      </c>
      <c r="F622" t="s"/>
      <c r="G622" t="s"/>
      <c r="H622" t="s"/>
      <c r="I622" t="s"/>
      <c r="J622" t="n">
        <v>0.1494</v>
      </c>
      <c r="K622" t="n">
        <v>0.325</v>
      </c>
      <c r="L622" t="n">
        <v>0.381</v>
      </c>
      <c r="M622" t="n">
        <v>0.294</v>
      </c>
    </row>
    <row r="623" spans="1:13">
      <c r="A623" s="1">
        <f>HYPERLINK("http://www.twitter.com/NathanBLawrence/status/995777909850767360", "995777909850767360")</f>
        <v/>
      </c>
      <c r="B623" s="2" t="n">
        <v>43233.89501157407</v>
      </c>
      <c r="C623" t="n">
        <v>3</v>
      </c>
      <c r="D623" t="n">
        <v>0</v>
      </c>
      <c r="E623" t="s">
        <v>633</v>
      </c>
      <c r="F623" t="s"/>
      <c r="G623" t="s"/>
      <c r="H623" t="s"/>
      <c r="I623" t="s"/>
      <c r="J623" t="n">
        <v>0.3612</v>
      </c>
      <c r="K623" t="n">
        <v>0</v>
      </c>
      <c r="L623" t="n">
        <v>0.545</v>
      </c>
      <c r="M623" t="n">
        <v>0.455</v>
      </c>
    </row>
    <row r="624" spans="1:13">
      <c r="A624" s="1">
        <f>HYPERLINK("http://www.twitter.com/NathanBLawrence/status/995777865768726528", "995777865768726528")</f>
        <v/>
      </c>
      <c r="B624" s="2" t="n">
        <v>43233.89488425926</v>
      </c>
      <c r="C624" t="n">
        <v>0</v>
      </c>
      <c r="D624" t="n">
        <v>5</v>
      </c>
      <c r="E624" t="s">
        <v>634</v>
      </c>
      <c r="F624" t="s"/>
      <c r="G624" t="s"/>
      <c r="H624" t="s"/>
      <c r="I624" t="s"/>
      <c r="J624" t="n">
        <v>0.4745</v>
      </c>
      <c r="K624" t="n">
        <v>0</v>
      </c>
      <c r="L624" t="n">
        <v>0.823</v>
      </c>
      <c r="M624" t="n">
        <v>0.177</v>
      </c>
    </row>
    <row r="625" spans="1:13">
      <c r="A625" s="1">
        <f>HYPERLINK("http://www.twitter.com/NathanBLawrence/status/995777663095787522", "995777663095787522")</f>
        <v/>
      </c>
      <c r="B625" s="2" t="n">
        <v>43233.8943287037</v>
      </c>
      <c r="C625" t="n">
        <v>0</v>
      </c>
      <c r="D625" t="n">
        <v>3</v>
      </c>
      <c r="E625" t="s">
        <v>635</v>
      </c>
      <c r="F625" t="s"/>
      <c r="G625" t="s"/>
      <c r="H625" t="s"/>
      <c r="I625" t="s"/>
      <c r="J625" t="n">
        <v>-0.7579</v>
      </c>
      <c r="K625" t="n">
        <v>0.245</v>
      </c>
      <c r="L625" t="n">
        <v>0.755</v>
      </c>
      <c r="M625" t="n">
        <v>0</v>
      </c>
    </row>
    <row r="626" spans="1:13">
      <c r="A626" s="1">
        <f>HYPERLINK("http://www.twitter.com/NathanBLawrence/status/995777477288054784", "995777477288054784")</f>
        <v/>
      </c>
      <c r="B626" s="2" t="n">
        <v>43233.89380787037</v>
      </c>
      <c r="C626" t="n">
        <v>0</v>
      </c>
      <c r="D626" t="n">
        <v>5</v>
      </c>
      <c r="E626" t="s">
        <v>636</v>
      </c>
      <c r="F626" t="s"/>
      <c r="G626" t="s"/>
      <c r="H626" t="s"/>
      <c r="I626" t="s"/>
      <c r="J626" t="n">
        <v>0.0772</v>
      </c>
      <c r="K626" t="n">
        <v>0.08599999999999999</v>
      </c>
      <c r="L626" t="n">
        <v>0.8159999999999999</v>
      </c>
      <c r="M626" t="n">
        <v>0.098</v>
      </c>
    </row>
    <row r="627" spans="1:13">
      <c r="A627" s="1">
        <f>HYPERLINK("http://www.twitter.com/NathanBLawrence/status/995777004694921218", "995777004694921218")</f>
        <v/>
      </c>
      <c r="B627" s="2" t="n">
        <v>43233.89251157407</v>
      </c>
      <c r="C627" t="n">
        <v>0</v>
      </c>
      <c r="D627" t="n">
        <v>2</v>
      </c>
      <c r="E627" t="s">
        <v>637</v>
      </c>
      <c r="F627" t="s"/>
      <c r="G627" t="s"/>
      <c r="H627" t="s"/>
      <c r="I627" t="s"/>
      <c r="J627" t="n">
        <v>0</v>
      </c>
      <c r="K627" t="n">
        <v>0</v>
      </c>
      <c r="L627" t="n">
        <v>1</v>
      </c>
      <c r="M627" t="n">
        <v>0</v>
      </c>
    </row>
    <row r="628" spans="1:13">
      <c r="A628" s="1">
        <f>HYPERLINK("http://www.twitter.com/NathanBLawrence/status/995776761916022790", "995776761916022790")</f>
        <v/>
      </c>
      <c r="B628" s="2" t="n">
        <v>43233.89184027778</v>
      </c>
      <c r="C628" t="n">
        <v>0</v>
      </c>
      <c r="D628" t="n">
        <v>6</v>
      </c>
      <c r="E628" t="s">
        <v>638</v>
      </c>
      <c r="F628" t="s"/>
      <c r="G628" t="s"/>
      <c r="H628" t="s"/>
      <c r="I628" t="s"/>
      <c r="J628" t="n">
        <v>0</v>
      </c>
      <c r="K628" t="n">
        <v>0</v>
      </c>
      <c r="L628" t="n">
        <v>1</v>
      </c>
      <c r="M628" t="n">
        <v>0</v>
      </c>
    </row>
    <row r="629" spans="1:13">
      <c r="A629" s="1">
        <f>HYPERLINK("http://www.twitter.com/NathanBLawrence/status/995774232494780427", "995774232494780427")</f>
        <v/>
      </c>
      <c r="B629" s="2" t="n">
        <v>43233.88486111111</v>
      </c>
      <c r="C629" t="n">
        <v>0</v>
      </c>
      <c r="D629" t="n">
        <v>393</v>
      </c>
      <c r="E629" t="s">
        <v>639</v>
      </c>
      <c r="F629" t="s"/>
      <c r="G629" t="s"/>
      <c r="H629" t="s"/>
      <c r="I629" t="s"/>
      <c r="J629" t="n">
        <v>-0.2263</v>
      </c>
      <c r="K629" t="n">
        <v>0.091</v>
      </c>
      <c r="L629" t="n">
        <v>0.909</v>
      </c>
      <c r="M629" t="n">
        <v>0</v>
      </c>
    </row>
    <row r="630" spans="1:13">
      <c r="A630" s="1">
        <f>HYPERLINK("http://www.twitter.com/NathanBLawrence/status/995771512236990464", "995771512236990464")</f>
        <v/>
      </c>
      <c r="B630" s="2" t="n">
        <v>43233.87734953704</v>
      </c>
      <c r="C630" t="n">
        <v>0</v>
      </c>
      <c r="D630" t="n">
        <v>0</v>
      </c>
      <c r="E630" t="s">
        <v>640</v>
      </c>
      <c r="F630" t="s"/>
      <c r="G630" t="s"/>
      <c r="H630" t="s"/>
      <c r="I630" t="s"/>
      <c r="J630" t="n">
        <v>0.4404</v>
      </c>
      <c r="K630" t="n">
        <v>0</v>
      </c>
      <c r="L630" t="n">
        <v>0.805</v>
      </c>
      <c r="M630" t="n">
        <v>0.195</v>
      </c>
    </row>
    <row r="631" spans="1:13">
      <c r="A631" s="1">
        <f>HYPERLINK("http://www.twitter.com/NathanBLawrence/status/995771322474094594", "995771322474094594")</f>
        <v/>
      </c>
      <c r="B631" s="2" t="n">
        <v>43233.8768287037</v>
      </c>
      <c r="C631" t="n">
        <v>0</v>
      </c>
      <c r="D631" t="n">
        <v>19</v>
      </c>
      <c r="E631" t="s">
        <v>641</v>
      </c>
      <c r="F631">
        <f>HYPERLINK("http://pbs.twimg.com/media/Dc3ehLqU8AAimlp.jpg", "http://pbs.twimg.com/media/Dc3ehLqU8AAimlp.jpg")</f>
        <v/>
      </c>
      <c r="G631">
        <f>HYPERLINK("http://pbs.twimg.com/media/Dc3ejVoVAAAg6om.jpg", "http://pbs.twimg.com/media/Dc3ejVoVAAAg6om.jpg")</f>
        <v/>
      </c>
      <c r="H631" t="s"/>
      <c r="I631" t="s"/>
      <c r="J631" t="n">
        <v>0.4588</v>
      </c>
      <c r="K631" t="n">
        <v>0</v>
      </c>
      <c r="L631" t="n">
        <v>0.864</v>
      </c>
      <c r="M631" t="n">
        <v>0.136</v>
      </c>
    </row>
    <row r="632" spans="1:13">
      <c r="A632" s="1">
        <f>HYPERLINK("http://www.twitter.com/NathanBLawrence/status/995771146166468608", "995771146166468608")</f>
        <v/>
      </c>
      <c r="B632" s="2" t="n">
        <v>43233.87634259259</v>
      </c>
      <c r="C632" t="n">
        <v>0</v>
      </c>
      <c r="D632" t="n">
        <v>114</v>
      </c>
      <c r="E632" t="s">
        <v>642</v>
      </c>
      <c r="F632" t="s"/>
      <c r="G632" t="s"/>
      <c r="H632" t="s"/>
      <c r="I632" t="s"/>
      <c r="J632" t="n">
        <v>-0.7906</v>
      </c>
      <c r="K632" t="n">
        <v>0.296</v>
      </c>
      <c r="L632" t="n">
        <v>0.704</v>
      </c>
      <c r="M632" t="n">
        <v>0</v>
      </c>
    </row>
    <row r="633" spans="1:13">
      <c r="A633" s="1">
        <f>HYPERLINK("http://www.twitter.com/NathanBLawrence/status/995768850821107712", "995768850821107712")</f>
        <v/>
      </c>
      <c r="B633" s="2" t="n">
        <v>43233.87001157407</v>
      </c>
      <c r="C633" t="n">
        <v>0</v>
      </c>
      <c r="D633" t="n">
        <v>9</v>
      </c>
      <c r="E633" t="s">
        <v>643</v>
      </c>
      <c r="F633" t="s"/>
      <c r="G633" t="s"/>
      <c r="H633" t="s"/>
      <c r="I633" t="s"/>
      <c r="J633" t="n">
        <v>0</v>
      </c>
      <c r="K633" t="n">
        <v>0</v>
      </c>
      <c r="L633" t="n">
        <v>1</v>
      </c>
      <c r="M633" t="n">
        <v>0</v>
      </c>
    </row>
    <row r="634" spans="1:13">
      <c r="A634" s="1">
        <f>HYPERLINK("http://www.twitter.com/NathanBLawrence/status/995768221298020353", "995768221298020353")</f>
        <v/>
      </c>
      <c r="B634" s="2" t="n">
        <v>43233.86827546296</v>
      </c>
      <c r="C634" t="n">
        <v>19</v>
      </c>
      <c r="D634" t="n">
        <v>21</v>
      </c>
      <c r="E634" t="s">
        <v>644</v>
      </c>
      <c r="F634" t="s"/>
      <c r="G634" t="s"/>
      <c r="H634" t="s"/>
      <c r="I634" t="s"/>
      <c r="J634" t="n">
        <v>0.0165</v>
      </c>
      <c r="K634" t="n">
        <v>0.153</v>
      </c>
      <c r="L634" t="n">
        <v>0.659</v>
      </c>
      <c r="M634" t="n">
        <v>0.188</v>
      </c>
    </row>
    <row r="635" spans="1:13">
      <c r="A635" s="1">
        <f>HYPERLINK("http://www.twitter.com/NathanBLawrence/status/995768217393082368", "995768217393082368")</f>
        <v/>
      </c>
      <c r="B635" s="2" t="n">
        <v>43233.86826388889</v>
      </c>
      <c r="C635" t="n">
        <v>27</v>
      </c>
      <c r="D635" t="n">
        <v>19</v>
      </c>
      <c r="E635" t="s">
        <v>645</v>
      </c>
      <c r="F635">
        <f>HYPERLINK("https://video.twimg.com/ext_tw_video/995768104494903296/pu/vid/240x240/N56Lo3E2EWAKVDBb.mp4?tag=3", "https://video.twimg.com/ext_tw_video/995768104494903296/pu/vid/240x240/N56Lo3E2EWAKVDBb.mp4?tag=3")</f>
        <v/>
      </c>
      <c r="G635" t="s"/>
      <c r="H635" t="s"/>
      <c r="I635" t="s"/>
      <c r="J635" t="n">
        <v>-0.4588</v>
      </c>
      <c r="K635" t="n">
        <v>0.137</v>
      </c>
      <c r="L635" t="n">
        <v>0.806</v>
      </c>
      <c r="M635" t="n">
        <v>0.056</v>
      </c>
    </row>
    <row r="636" spans="1:13">
      <c r="A636" s="1">
        <f>HYPERLINK("http://www.twitter.com/NathanBLawrence/status/995768056197640192", "995768056197640192")</f>
        <v/>
      </c>
      <c r="B636" s="2" t="n">
        <v>43233.8678125</v>
      </c>
      <c r="C636" t="n">
        <v>12</v>
      </c>
      <c r="D636" t="n">
        <v>9</v>
      </c>
      <c r="E636" t="s">
        <v>646</v>
      </c>
      <c r="F636">
        <f>HYPERLINK("https://video.twimg.com/ext_tw_video/995767647173136384/pu/vid/240x240/_a8SBOJ0g98CJvwe.mp4?tag=3", "https://video.twimg.com/ext_tw_video/995767647173136384/pu/vid/240x240/_a8SBOJ0g98CJvwe.mp4?tag=3")</f>
        <v/>
      </c>
      <c r="G636" t="s"/>
      <c r="H636" t="s"/>
      <c r="I636" t="s"/>
      <c r="J636" t="n">
        <v>0.0772</v>
      </c>
      <c r="K636" t="n">
        <v>0</v>
      </c>
      <c r="L636" t="n">
        <v>0.86</v>
      </c>
      <c r="M636" t="n">
        <v>0.14</v>
      </c>
    </row>
    <row r="637" spans="1:13">
      <c r="A637" s="1">
        <f>HYPERLINK("http://www.twitter.com/NathanBLawrence/status/995767992838475776", "995767992838475776")</f>
        <v/>
      </c>
      <c r="B637" s="2" t="n">
        <v>43233.86763888889</v>
      </c>
      <c r="C637" t="n">
        <v>0</v>
      </c>
      <c r="D637" t="n">
        <v>1</v>
      </c>
      <c r="E637" t="s">
        <v>647</v>
      </c>
      <c r="F637" t="s"/>
      <c r="G637" t="s"/>
      <c r="H637" t="s"/>
      <c r="I637" t="s"/>
      <c r="J637" t="n">
        <v>0</v>
      </c>
      <c r="K637" t="n">
        <v>0</v>
      </c>
      <c r="L637" t="n">
        <v>1</v>
      </c>
      <c r="M637" t="n">
        <v>0</v>
      </c>
    </row>
    <row r="638" spans="1:13">
      <c r="A638" s="1">
        <f>HYPERLINK("http://www.twitter.com/NathanBLawrence/status/995767356143087616", "995767356143087616")</f>
        <v/>
      </c>
      <c r="B638" s="2" t="n">
        <v>43233.86587962963</v>
      </c>
      <c r="C638" t="n">
        <v>17</v>
      </c>
      <c r="D638" t="n">
        <v>17</v>
      </c>
      <c r="E638" t="s">
        <v>648</v>
      </c>
      <c r="F638">
        <f>HYPERLINK("https://video.twimg.com/ext_tw_video/995767122524426240/pu/vid/240x240/3Np8zRXQszwphUea.mp4?tag=3", "https://video.twimg.com/ext_tw_video/995767122524426240/pu/vid/240x240/3Np8zRXQszwphUea.mp4?tag=3")</f>
        <v/>
      </c>
      <c r="G638" t="s"/>
      <c r="H638" t="s"/>
      <c r="I638" t="s"/>
      <c r="J638" t="n">
        <v>0.6705</v>
      </c>
      <c r="K638" t="n">
        <v>0</v>
      </c>
      <c r="L638" t="n">
        <v>0.851</v>
      </c>
      <c r="M638" t="n">
        <v>0.149</v>
      </c>
    </row>
    <row r="639" spans="1:13">
      <c r="A639" s="1">
        <f>HYPERLINK("http://www.twitter.com/NathanBLawrence/status/995729242045472769", "995729242045472769")</f>
        <v/>
      </c>
      <c r="B639" s="2" t="n">
        <v>43233.76070601852</v>
      </c>
      <c r="C639" t="n">
        <v>0</v>
      </c>
      <c r="D639" t="n">
        <v>1</v>
      </c>
      <c r="E639" t="s">
        <v>649</v>
      </c>
      <c r="F639" t="s"/>
      <c r="G639" t="s"/>
      <c r="H639" t="s"/>
      <c r="I639" t="s"/>
      <c r="J639" t="n">
        <v>0</v>
      </c>
      <c r="K639" t="n">
        <v>0</v>
      </c>
      <c r="L639" t="n">
        <v>1</v>
      </c>
      <c r="M639" t="n">
        <v>0</v>
      </c>
    </row>
    <row r="640" spans="1:13">
      <c r="A640" s="1">
        <f>HYPERLINK("http://www.twitter.com/NathanBLawrence/status/995729177868423173", "995729177868423173")</f>
        <v/>
      </c>
      <c r="B640" s="2" t="n">
        <v>43233.76053240741</v>
      </c>
      <c r="C640" t="n">
        <v>0</v>
      </c>
      <c r="D640" t="n">
        <v>39</v>
      </c>
      <c r="E640" t="s">
        <v>650</v>
      </c>
      <c r="F640">
        <f>HYPERLINK("http://pbs.twimg.com/media/DdGJ2ECUwAAkNu_.jpg", "http://pbs.twimg.com/media/DdGJ2ECUwAAkNu_.jpg")</f>
        <v/>
      </c>
      <c r="G640">
        <f>HYPERLINK("http://pbs.twimg.com/media/DdGJ2D_UwAAZtI7.jpg", "http://pbs.twimg.com/media/DdGJ2D_UwAAZtI7.jpg")</f>
        <v/>
      </c>
      <c r="H640">
        <f>HYPERLINK("http://pbs.twimg.com/media/DdGJ2EDUwAEbx0f.jpg", "http://pbs.twimg.com/media/DdGJ2EDUwAEbx0f.jpg")</f>
        <v/>
      </c>
      <c r="I640">
        <f>HYPERLINK("http://pbs.twimg.com/media/DdGJ2EDV4AA6jIo.jpg", "http://pbs.twimg.com/media/DdGJ2EDV4AA6jIo.jpg")</f>
        <v/>
      </c>
      <c r="J640" t="n">
        <v>0</v>
      </c>
      <c r="K640" t="n">
        <v>0</v>
      </c>
      <c r="L640" t="n">
        <v>1</v>
      </c>
      <c r="M640" t="n">
        <v>0</v>
      </c>
    </row>
    <row r="641" spans="1:13">
      <c r="A641" s="1">
        <f>HYPERLINK("http://www.twitter.com/NathanBLawrence/status/995720240695783426", "995720240695783426")</f>
        <v/>
      </c>
      <c r="B641" s="2" t="n">
        <v>43233.73586805556</v>
      </c>
      <c r="C641" t="n">
        <v>0</v>
      </c>
      <c r="D641" t="n">
        <v>1633</v>
      </c>
      <c r="E641" t="s">
        <v>651</v>
      </c>
      <c r="F641">
        <f>HYPERLINK("https://video.twimg.com/amplify_video/993908662078001152/vid/1280x720/P5kjp4TLz68F3jOW.mp4?tag=2", "https://video.twimg.com/amplify_video/993908662078001152/vid/1280x720/P5kjp4TLz68F3jOW.mp4?tag=2")</f>
        <v/>
      </c>
      <c r="G641" t="s"/>
      <c r="H641" t="s"/>
      <c r="I641" t="s"/>
      <c r="J641" t="n">
        <v>0.4019</v>
      </c>
      <c r="K641" t="n">
        <v>0</v>
      </c>
      <c r="L641" t="n">
        <v>0.847</v>
      </c>
      <c r="M641" t="n">
        <v>0.153</v>
      </c>
    </row>
    <row r="642" spans="1:13">
      <c r="A642" s="1">
        <f>HYPERLINK("http://www.twitter.com/NathanBLawrence/status/995719801191501826", "995719801191501826")</f>
        <v/>
      </c>
      <c r="B642" s="2" t="n">
        <v>43233.73465277778</v>
      </c>
      <c r="C642" t="n">
        <v>0</v>
      </c>
      <c r="D642" t="n">
        <v>2</v>
      </c>
      <c r="E642" t="s">
        <v>652</v>
      </c>
      <c r="F642" t="s"/>
      <c r="G642" t="s"/>
      <c r="H642" t="s"/>
      <c r="I642" t="s"/>
      <c r="J642" t="n">
        <v>0.296</v>
      </c>
      <c r="K642" t="n">
        <v>0</v>
      </c>
      <c r="L642" t="n">
        <v>0.901</v>
      </c>
      <c r="M642" t="n">
        <v>0.099</v>
      </c>
    </row>
    <row r="643" spans="1:13">
      <c r="A643" s="1">
        <f>HYPERLINK("http://www.twitter.com/NathanBLawrence/status/995719708770005000", "995719708770005000")</f>
        <v/>
      </c>
      <c r="B643" s="2" t="n">
        <v>43233.73439814815</v>
      </c>
      <c r="C643" t="n">
        <v>1</v>
      </c>
      <c r="D643" t="n">
        <v>0</v>
      </c>
      <c r="E643" t="s">
        <v>653</v>
      </c>
      <c r="F643" t="s"/>
      <c r="G643" t="s"/>
      <c r="H643" t="s"/>
      <c r="I643" t="s"/>
      <c r="J643" t="n">
        <v>0.6486</v>
      </c>
      <c r="K643" t="n">
        <v>0.082</v>
      </c>
      <c r="L643" t="n">
        <v>0.5659999999999999</v>
      </c>
      <c r="M643" t="n">
        <v>0.352</v>
      </c>
    </row>
    <row r="644" spans="1:13">
      <c r="A644" s="1">
        <f>HYPERLINK("http://www.twitter.com/NathanBLawrence/status/995718077378637824", "995718077378637824")</f>
        <v/>
      </c>
      <c r="B644" s="2" t="n">
        <v>43233.72989583333</v>
      </c>
      <c r="C644" t="n">
        <v>0</v>
      </c>
      <c r="D644" t="n">
        <v>1068</v>
      </c>
      <c r="E644" t="s">
        <v>654</v>
      </c>
      <c r="F644" t="s"/>
      <c r="G644" t="s"/>
      <c r="H644" t="s"/>
      <c r="I644" t="s"/>
      <c r="J644" t="n">
        <v>0.5719</v>
      </c>
      <c r="K644" t="n">
        <v>0</v>
      </c>
      <c r="L644" t="n">
        <v>0.824</v>
      </c>
      <c r="M644" t="n">
        <v>0.176</v>
      </c>
    </row>
    <row r="645" spans="1:13">
      <c r="A645" s="1">
        <f>HYPERLINK("http://www.twitter.com/NathanBLawrence/status/995717931186126854", "995717931186126854")</f>
        <v/>
      </c>
      <c r="B645" s="2" t="n">
        <v>43233.72949074074</v>
      </c>
      <c r="C645" t="n">
        <v>0</v>
      </c>
      <c r="D645" t="n">
        <v>18</v>
      </c>
      <c r="E645" t="s">
        <v>655</v>
      </c>
      <c r="F645">
        <f>HYPERLINK("http://pbs.twimg.com/media/DdF_2ikV0AAvpwd.jpg", "http://pbs.twimg.com/media/DdF_2ikV0AAvpwd.jpg")</f>
        <v/>
      </c>
      <c r="G645" t="s"/>
      <c r="H645" t="s"/>
      <c r="I645" t="s"/>
      <c r="J645" t="n">
        <v>0.5574</v>
      </c>
      <c r="K645" t="n">
        <v>0</v>
      </c>
      <c r="L645" t="n">
        <v>0.82</v>
      </c>
      <c r="M645" t="n">
        <v>0.18</v>
      </c>
    </row>
    <row r="646" spans="1:13">
      <c r="A646" s="1">
        <f>HYPERLINK("http://www.twitter.com/NathanBLawrence/status/995717197954772992", "995717197954772992")</f>
        <v/>
      </c>
      <c r="B646" s="2" t="n">
        <v>43233.72747685185</v>
      </c>
      <c r="C646" t="n">
        <v>5</v>
      </c>
      <c r="D646" t="n">
        <v>2</v>
      </c>
      <c r="E646" t="s">
        <v>656</v>
      </c>
      <c r="F646" t="s"/>
      <c r="G646" t="s"/>
      <c r="H646" t="s"/>
      <c r="I646" t="s"/>
      <c r="J646" t="n">
        <v>0</v>
      </c>
      <c r="K646" t="n">
        <v>0</v>
      </c>
      <c r="L646" t="n">
        <v>1</v>
      </c>
      <c r="M646" t="n">
        <v>0</v>
      </c>
    </row>
    <row r="647" spans="1:13">
      <c r="A647" s="1">
        <f>HYPERLINK("http://www.twitter.com/NathanBLawrence/status/995717113221386240", "995717113221386240")</f>
        <v/>
      </c>
      <c r="B647" s="2" t="n">
        <v>43233.72723379629</v>
      </c>
      <c r="C647" t="n">
        <v>0</v>
      </c>
      <c r="D647" t="n">
        <v>2</v>
      </c>
      <c r="E647" t="s">
        <v>657</v>
      </c>
      <c r="F647" t="s"/>
      <c r="G647" t="s"/>
      <c r="H647" t="s"/>
      <c r="I647" t="s"/>
      <c r="J647" t="n">
        <v>0</v>
      </c>
      <c r="K647" t="n">
        <v>0</v>
      </c>
      <c r="L647" t="n">
        <v>1</v>
      </c>
      <c r="M647" t="n">
        <v>0</v>
      </c>
    </row>
    <row r="648" spans="1:13">
      <c r="A648" s="1">
        <f>HYPERLINK("http://www.twitter.com/NathanBLawrence/status/995717024197332992", "995717024197332992")</f>
        <v/>
      </c>
      <c r="B648" s="2" t="n">
        <v>43233.72699074074</v>
      </c>
      <c r="C648" t="n">
        <v>3</v>
      </c>
      <c r="D648" t="n">
        <v>2</v>
      </c>
      <c r="E648" t="s">
        <v>658</v>
      </c>
      <c r="F648" t="s"/>
      <c r="G648" t="s"/>
      <c r="H648" t="s"/>
      <c r="I648" t="s"/>
      <c r="J648" t="n">
        <v>0.4767</v>
      </c>
      <c r="K648" t="n">
        <v>0</v>
      </c>
      <c r="L648" t="n">
        <v>0.8139999999999999</v>
      </c>
      <c r="M648" t="n">
        <v>0.186</v>
      </c>
    </row>
    <row r="649" spans="1:13">
      <c r="A649" s="1">
        <f>HYPERLINK("http://www.twitter.com/NathanBLawrence/status/995716545472057344", "995716545472057344")</f>
        <v/>
      </c>
      <c r="B649" s="2" t="n">
        <v>43233.7256712963</v>
      </c>
      <c r="C649" t="n">
        <v>1</v>
      </c>
      <c r="D649" t="n">
        <v>0</v>
      </c>
      <c r="E649" t="s">
        <v>659</v>
      </c>
      <c r="F649" t="s"/>
      <c r="G649" t="s"/>
      <c r="H649" t="s"/>
      <c r="I649" t="s"/>
      <c r="J649" t="n">
        <v>0</v>
      </c>
      <c r="K649" t="n">
        <v>0</v>
      </c>
      <c r="L649" t="n">
        <v>1</v>
      </c>
      <c r="M649" t="n">
        <v>0</v>
      </c>
    </row>
    <row r="650" spans="1:13">
      <c r="A650" s="1">
        <f>HYPERLINK("http://www.twitter.com/NathanBLawrence/status/995716252940333056", "995716252940333056")</f>
        <v/>
      </c>
      <c r="B650" s="2" t="n">
        <v>43233.72486111111</v>
      </c>
      <c r="C650" t="n">
        <v>0</v>
      </c>
      <c r="D650" t="n">
        <v>2</v>
      </c>
      <c r="E650" t="s">
        <v>660</v>
      </c>
      <c r="F650" t="s"/>
      <c r="G650" t="s"/>
      <c r="H650" t="s"/>
      <c r="I650" t="s"/>
      <c r="J650" t="n">
        <v>0.4574</v>
      </c>
      <c r="K650" t="n">
        <v>0</v>
      </c>
      <c r="L650" t="n">
        <v>0.8</v>
      </c>
      <c r="M650" t="n">
        <v>0.2</v>
      </c>
    </row>
    <row r="651" spans="1:13">
      <c r="A651" s="1">
        <f>HYPERLINK("http://www.twitter.com/NathanBLawrence/status/995716237308190720", "995716237308190720")</f>
        <v/>
      </c>
      <c r="B651" s="2" t="n">
        <v>43233.72482638889</v>
      </c>
      <c r="C651" t="n">
        <v>0</v>
      </c>
      <c r="D651" t="n">
        <v>0</v>
      </c>
      <c r="E651" t="s">
        <v>661</v>
      </c>
      <c r="F651" t="s"/>
      <c r="G651" t="s"/>
      <c r="H651" t="s"/>
      <c r="I651" t="s"/>
      <c r="J651" t="n">
        <v>0</v>
      </c>
      <c r="K651" t="n">
        <v>0</v>
      </c>
      <c r="L651" t="n">
        <v>1</v>
      </c>
      <c r="M651" t="n">
        <v>0</v>
      </c>
    </row>
    <row r="652" spans="1:13">
      <c r="A652" s="1">
        <f>HYPERLINK("http://www.twitter.com/NathanBLawrence/status/995715390159376385", "995715390159376385")</f>
        <v/>
      </c>
      <c r="B652" s="2" t="n">
        <v>43233.72248842593</v>
      </c>
      <c r="C652" t="n">
        <v>0</v>
      </c>
      <c r="D652" t="n">
        <v>201</v>
      </c>
      <c r="E652" t="s">
        <v>662</v>
      </c>
      <c r="F652">
        <f>HYPERLINK("http://pbs.twimg.com/media/DZDinZtU0AAFw1N.jpg", "http://pbs.twimg.com/media/DZDinZtU0AAFw1N.jpg")</f>
        <v/>
      </c>
      <c r="G652" t="s"/>
      <c r="H652" t="s"/>
      <c r="I652" t="s"/>
      <c r="J652" t="n">
        <v>0</v>
      </c>
      <c r="K652" t="n">
        <v>0</v>
      </c>
      <c r="L652" t="n">
        <v>1</v>
      </c>
      <c r="M652" t="n">
        <v>0</v>
      </c>
    </row>
    <row r="653" spans="1:13">
      <c r="A653" s="1">
        <f>HYPERLINK("http://www.twitter.com/NathanBLawrence/status/995714194128416769", "995714194128416769")</f>
        <v/>
      </c>
      <c r="B653" s="2" t="n">
        <v>43233.71918981482</v>
      </c>
      <c r="C653" t="n">
        <v>1</v>
      </c>
      <c r="D653" t="n">
        <v>0</v>
      </c>
      <c r="E653" t="s">
        <v>663</v>
      </c>
      <c r="F653" t="s"/>
      <c r="G653" t="s"/>
      <c r="H653" t="s"/>
      <c r="I653" t="s"/>
      <c r="J653" t="n">
        <v>0</v>
      </c>
      <c r="K653" t="n">
        <v>0</v>
      </c>
      <c r="L653" t="n">
        <v>1</v>
      </c>
      <c r="M653" t="n">
        <v>0</v>
      </c>
    </row>
    <row r="654" spans="1:13">
      <c r="A654" s="1">
        <f>HYPERLINK("http://www.twitter.com/NathanBLawrence/status/995712837736652800", "995712837736652800")</f>
        <v/>
      </c>
      <c r="B654" s="2" t="n">
        <v>43233.71543981481</v>
      </c>
      <c r="C654" t="n">
        <v>0</v>
      </c>
      <c r="D654" t="n">
        <v>2</v>
      </c>
      <c r="E654" t="s">
        <v>664</v>
      </c>
      <c r="F654" t="s"/>
      <c r="G654" t="s"/>
      <c r="H654" t="s"/>
      <c r="I654" t="s"/>
      <c r="J654" t="n">
        <v>0</v>
      </c>
      <c r="K654" t="n">
        <v>0</v>
      </c>
      <c r="L654" t="n">
        <v>1</v>
      </c>
      <c r="M654" t="n">
        <v>0</v>
      </c>
    </row>
    <row r="655" spans="1:13">
      <c r="A655" s="1">
        <f>HYPERLINK("http://www.twitter.com/NathanBLawrence/status/995709224029179905", "995709224029179905")</f>
        <v/>
      </c>
      <c r="B655" s="2" t="n">
        <v>43233.70547453704</v>
      </c>
      <c r="C655" t="n">
        <v>0</v>
      </c>
      <c r="D655" t="n">
        <v>2</v>
      </c>
      <c r="E655" t="s">
        <v>665</v>
      </c>
      <c r="F655" t="s"/>
      <c r="G655" t="s"/>
      <c r="H655" t="s"/>
      <c r="I655" t="s"/>
      <c r="J655" t="n">
        <v>-0.6449</v>
      </c>
      <c r="K655" t="n">
        <v>0.153</v>
      </c>
      <c r="L655" t="n">
        <v>0.804</v>
      </c>
      <c r="M655" t="n">
        <v>0.044</v>
      </c>
    </row>
    <row r="656" spans="1:13">
      <c r="A656" s="1">
        <f>HYPERLINK("http://www.twitter.com/NathanBLawrence/status/995707509238312961", "995707509238312961")</f>
        <v/>
      </c>
      <c r="B656" s="2" t="n">
        <v>43233.70074074074</v>
      </c>
      <c r="C656" t="n">
        <v>0</v>
      </c>
      <c r="D656" t="n">
        <v>192</v>
      </c>
      <c r="E656" t="s">
        <v>666</v>
      </c>
      <c r="F656">
        <f>HYPERLINK("https://video.twimg.com/ext_tw_video/995695884120686593/pu/vid/1280x720/c2JPE_Cksisut5j1.mp4?tag=3", "https://video.twimg.com/ext_tw_video/995695884120686593/pu/vid/1280x720/c2JPE_Cksisut5j1.mp4?tag=3")</f>
        <v/>
      </c>
      <c r="G656" t="s"/>
      <c r="H656" t="s"/>
      <c r="I656" t="s"/>
      <c r="J656" t="n">
        <v>-0.5983000000000001</v>
      </c>
      <c r="K656" t="n">
        <v>0.327</v>
      </c>
      <c r="L656" t="n">
        <v>0.673</v>
      </c>
      <c r="M656" t="n">
        <v>0</v>
      </c>
    </row>
    <row r="657" spans="1:13">
      <c r="A657" s="1">
        <f>HYPERLINK("http://www.twitter.com/NathanBLawrence/status/995706867757277185", "995706867757277185")</f>
        <v/>
      </c>
      <c r="B657" s="2" t="n">
        <v>43233.6989699074</v>
      </c>
      <c r="C657" t="n">
        <v>0</v>
      </c>
      <c r="D657" t="n">
        <v>0</v>
      </c>
      <c r="E657" t="s">
        <v>667</v>
      </c>
      <c r="F657" t="s"/>
      <c r="G657" t="s"/>
      <c r="H657" t="s"/>
      <c r="I657" t="s"/>
      <c r="J657" t="n">
        <v>0.3612</v>
      </c>
      <c r="K657" t="n">
        <v>0</v>
      </c>
      <c r="L657" t="n">
        <v>0.783</v>
      </c>
      <c r="M657" t="n">
        <v>0.217</v>
      </c>
    </row>
    <row r="658" spans="1:13">
      <c r="A658" s="1">
        <f>HYPERLINK("http://www.twitter.com/NathanBLawrence/status/995706455482355712", "995706455482355712")</f>
        <v/>
      </c>
      <c r="B658" s="2" t="n">
        <v>43233.69782407407</v>
      </c>
      <c r="C658" t="n">
        <v>2</v>
      </c>
      <c r="D658" t="n">
        <v>1</v>
      </c>
      <c r="E658" t="s">
        <v>668</v>
      </c>
      <c r="F658" t="s"/>
      <c r="G658" t="s"/>
      <c r="H658" t="s"/>
      <c r="I658" t="s"/>
      <c r="J658" t="n">
        <v>0.3612</v>
      </c>
      <c r="K658" t="n">
        <v>0</v>
      </c>
      <c r="L658" t="n">
        <v>0.667</v>
      </c>
      <c r="M658" t="n">
        <v>0.333</v>
      </c>
    </row>
    <row r="659" spans="1:13">
      <c r="A659" s="1">
        <f>HYPERLINK("http://www.twitter.com/NathanBLawrence/status/995706366097547265", "995706366097547265")</f>
        <v/>
      </c>
      <c r="B659" s="2" t="n">
        <v>43233.69758101852</v>
      </c>
      <c r="C659" t="n">
        <v>0</v>
      </c>
      <c r="D659" t="n">
        <v>2</v>
      </c>
      <c r="E659" t="s">
        <v>669</v>
      </c>
      <c r="F659" t="s"/>
      <c r="G659" t="s"/>
      <c r="H659" t="s"/>
      <c r="I659" t="s"/>
      <c r="J659" t="n">
        <v>0.5994</v>
      </c>
      <c r="K659" t="n">
        <v>0</v>
      </c>
      <c r="L659" t="n">
        <v>0.588</v>
      </c>
      <c r="M659" t="n">
        <v>0.412</v>
      </c>
    </row>
    <row r="660" spans="1:13">
      <c r="A660" s="1">
        <f>HYPERLINK("http://www.twitter.com/NathanBLawrence/status/995706333063274497", "995706333063274497")</f>
        <v/>
      </c>
      <c r="B660" s="2" t="n">
        <v>43233.69748842593</v>
      </c>
      <c r="C660" t="n">
        <v>4</v>
      </c>
      <c r="D660" t="n">
        <v>1</v>
      </c>
      <c r="E660" t="s">
        <v>670</v>
      </c>
      <c r="F660" t="s"/>
      <c r="G660" t="s"/>
      <c r="H660" t="s"/>
      <c r="I660" t="s"/>
      <c r="J660" t="n">
        <v>0.8316</v>
      </c>
      <c r="K660" t="n">
        <v>0</v>
      </c>
      <c r="L660" t="n">
        <v>0.254</v>
      </c>
      <c r="M660" t="n">
        <v>0.746</v>
      </c>
    </row>
    <row r="661" spans="1:13">
      <c r="A661" s="1">
        <f>HYPERLINK("http://www.twitter.com/NathanBLawrence/status/995705655355944963", "995705655355944963")</f>
        <v/>
      </c>
      <c r="B661" s="2" t="n">
        <v>43233.695625</v>
      </c>
      <c r="C661" t="n">
        <v>3</v>
      </c>
      <c r="D661" t="n">
        <v>1</v>
      </c>
      <c r="E661" t="s">
        <v>671</v>
      </c>
      <c r="F661" t="s"/>
      <c r="G661" t="s"/>
      <c r="H661" t="s"/>
      <c r="I661" t="s"/>
      <c r="J661" t="n">
        <v>0.8115</v>
      </c>
      <c r="K661" t="n">
        <v>0</v>
      </c>
      <c r="L661" t="n">
        <v>0.709</v>
      </c>
      <c r="M661" t="n">
        <v>0.291</v>
      </c>
    </row>
    <row r="662" spans="1:13">
      <c r="A662" s="1">
        <f>HYPERLINK("http://www.twitter.com/NathanBLawrence/status/995705352380444672", "995705352380444672")</f>
        <v/>
      </c>
      <c r="B662" s="2" t="n">
        <v>43233.69478009259</v>
      </c>
      <c r="C662" t="n">
        <v>0</v>
      </c>
      <c r="D662" t="n">
        <v>2689</v>
      </c>
      <c r="E662" t="s">
        <v>672</v>
      </c>
      <c r="F662">
        <f>HYPERLINK("http://pbs.twimg.com/media/DdFh4AkV0AAbxV6.jpg", "http://pbs.twimg.com/media/DdFh4AkV0AAbxV6.jpg")</f>
        <v/>
      </c>
      <c r="G662" t="s"/>
      <c r="H662" t="s"/>
      <c r="I662" t="s"/>
      <c r="J662" t="n">
        <v>0.8439</v>
      </c>
      <c r="K662" t="n">
        <v>0</v>
      </c>
      <c r="L662" t="n">
        <v>0.701</v>
      </c>
      <c r="M662" t="n">
        <v>0.299</v>
      </c>
    </row>
    <row r="663" spans="1:13">
      <c r="A663" s="1">
        <f>HYPERLINK("http://www.twitter.com/NathanBLawrence/status/995705220721233921", "995705220721233921")</f>
        <v/>
      </c>
      <c r="B663" s="2" t="n">
        <v>43233.6944212963</v>
      </c>
      <c r="C663" t="n">
        <v>5</v>
      </c>
      <c r="D663" t="n">
        <v>1</v>
      </c>
      <c r="E663" t="s">
        <v>673</v>
      </c>
      <c r="F663" t="s"/>
      <c r="G663" t="s"/>
      <c r="H663" t="s"/>
      <c r="I663" t="s"/>
      <c r="J663" t="n">
        <v>0</v>
      </c>
      <c r="K663" t="n">
        <v>0</v>
      </c>
      <c r="L663" t="n">
        <v>1</v>
      </c>
      <c r="M663" t="n">
        <v>0</v>
      </c>
    </row>
    <row r="664" spans="1:13">
      <c r="A664" s="1">
        <f>HYPERLINK("http://www.twitter.com/NathanBLawrence/status/995705097379336193", "995705097379336193")</f>
        <v/>
      </c>
      <c r="B664" s="2" t="n">
        <v>43233.69408564815</v>
      </c>
      <c r="C664" t="n">
        <v>0</v>
      </c>
      <c r="D664" t="n">
        <v>3</v>
      </c>
      <c r="E664" t="s">
        <v>674</v>
      </c>
      <c r="F664" t="s"/>
      <c r="G664" t="s"/>
      <c r="H664" t="s"/>
      <c r="I664" t="s"/>
      <c r="J664" t="n">
        <v>0.6988</v>
      </c>
      <c r="K664" t="n">
        <v>0</v>
      </c>
      <c r="L664" t="n">
        <v>0.78</v>
      </c>
      <c r="M664" t="n">
        <v>0.22</v>
      </c>
    </row>
    <row r="665" spans="1:13">
      <c r="A665" s="1">
        <f>HYPERLINK("http://www.twitter.com/NathanBLawrence/status/995705061073473538", "995705061073473538")</f>
        <v/>
      </c>
      <c r="B665" s="2" t="n">
        <v>43233.69398148148</v>
      </c>
      <c r="C665" t="n">
        <v>0</v>
      </c>
      <c r="D665" t="n">
        <v>4</v>
      </c>
      <c r="E665" t="s">
        <v>675</v>
      </c>
      <c r="F665">
        <f>HYPERLINK("http://pbs.twimg.com/media/DdFz_SVWsAA9x2I.jpg", "http://pbs.twimg.com/media/DdFz_SVWsAA9x2I.jpg")</f>
        <v/>
      </c>
      <c r="G665" t="s"/>
      <c r="H665" t="s"/>
      <c r="I665" t="s"/>
      <c r="J665" t="n">
        <v>0</v>
      </c>
      <c r="K665" t="n">
        <v>0</v>
      </c>
      <c r="L665" t="n">
        <v>1</v>
      </c>
      <c r="M665" t="n">
        <v>0</v>
      </c>
    </row>
    <row r="666" spans="1:13">
      <c r="A666" s="1">
        <f>HYPERLINK("http://www.twitter.com/NathanBLawrence/status/995704054209794048", "995704054209794048")</f>
        <v/>
      </c>
      <c r="B666" s="2" t="n">
        <v>43233.6912037037</v>
      </c>
      <c r="C666" t="n">
        <v>0</v>
      </c>
      <c r="D666" t="n">
        <v>4</v>
      </c>
      <c r="E666" t="s">
        <v>676</v>
      </c>
      <c r="F666" t="s"/>
      <c r="G666" t="s"/>
      <c r="H666" t="s"/>
      <c r="I666" t="s"/>
      <c r="J666" t="n">
        <v>0</v>
      </c>
      <c r="K666" t="n">
        <v>0</v>
      </c>
      <c r="L666" t="n">
        <v>1</v>
      </c>
      <c r="M666" t="n">
        <v>0</v>
      </c>
    </row>
    <row r="667" spans="1:13">
      <c r="A667" s="1">
        <f>HYPERLINK("http://www.twitter.com/NathanBLawrence/status/995704039789744128", "995704039789744128")</f>
        <v/>
      </c>
      <c r="B667" s="2" t="n">
        <v>43233.69116898148</v>
      </c>
      <c r="C667" t="n">
        <v>0</v>
      </c>
      <c r="D667" t="n">
        <v>4</v>
      </c>
      <c r="E667" t="s">
        <v>677</v>
      </c>
      <c r="F667" t="s"/>
      <c r="G667" t="s"/>
      <c r="H667" t="s"/>
      <c r="I667" t="s"/>
      <c r="J667" t="n">
        <v>-0.453</v>
      </c>
      <c r="K667" t="n">
        <v>0.2</v>
      </c>
      <c r="L667" t="n">
        <v>0.705</v>
      </c>
      <c r="M667" t="n">
        <v>0.095</v>
      </c>
    </row>
    <row r="668" spans="1:13">
      <c r="A668" s="1">
        <f>HYPERLINK("http://www.twitter.com/NathanBLawrence/status/995704028569972736", "995704028569972736")</f>
        <v/>
      </c>
      <c r="B668" s="2" t="n">
        <v>43233.69113425926</v>
      </c>
      <c r="C668" t="n">
        <v>0</v>
      </c>
      <c r="D668" t="n">
        <v>12</v>
      </c>
      <c r="E668" t="s">
        <v>678</v>
      </c>
      <c r="F668" t="s"/>
      <c r="G668" t="s"/>
      <c r="H668" t="s"/>
      <c r="I668" t="s"/>
      <c r="J668" t="n">
        <v>-0.7226</v>
      </c>
      <c r="K668" t="n">
        <v>0.281</v>
      </c>
      <c r="L668" t="n">
        <v>0.719</v>
      </c>
      <c r="M668" t="n">
        <v>0</v>
      </c>
    </row>
    <row r="669" spans="1:13">
      <c r="A669" s="1">
        <f>HYPERLINK("http://www.twitter.com/NathanBLawrence/status/995703988090736640", "995703988090736640")</f>
        <v/>
      </c>
      <c r="B669" s="2" t="n">
        <v>43233.69101851852</v>
      </c>
      <c r="C669" t="n">
        <v>0</v>
      </c>
      <c r="D669" t="n">
        <v>7</v>
      </c>
      <c r="E669" t="s">
        <v>679</v>
      </c>
      <c r="F669" t="s"/>
      <c r="G669" t="s"/>
      <c r="H669" t="s"/>
      <c r="I669" t="s"/>
      <c r="J669" t="n">
        <v>0.4199</v>
      </c>
      <c r="K669" t="n">
        <v>0</v>
      </c>
      <c r="L669" t="n">
        <v>0.763</v>
      </c>
      <c r="M669" t="n">
        <v>0.237</v>
      </c>
    </row>
    <row r="670" spans="1:13">
      <c r="A670" s="1">
        <f>HYPERLINK("http://www.twitter.com/NathanBLawrence/status/995703962908200961", "995703962908200961")</f>
        <v/>
      </c>
      <c r="B670" s="2" t="n">
        <v>43233.69094907407</v>
      </c>
      <c r="C670" t="n">
        <v>0</v>
      </c>
      <c r="D670" t="n">
        <v>11</v>
      </c>
      <c r="E670" t="s">
        <v>680</v>
      </c>
      <c r="F670">
        <f>HYPERLINK("http://pbs.twimg.com/media/DdE-s-RX0AAgss8.jpg", "http://pbs.twimg.com/media/DdE-s-RX0AAgss8.jpg")</f>
        <v/>
      </c>
      <c r="G670" t="s"/>
      <c r="H670" t="s"/>
      <c r="I670" t="s"/>
      <c r="J670" t="n">
        <v>0</v>
      </c>
      <c r="K670" t="n">
        <v>0</v>
      </c>
      <c r="L670" t="n">
        <v>1</v>
      </c>
      <c r="M670" t="n">
        <v>0</v>
      </c>
    </row>
    <row r="671" spans="1:13">
      <c r="A671" s="1">
        <f>HYPERLINK("http://www.twitter.com/NathanBLawrence/status/995703882666962944", "995703882666962944")</f>
        <v/>
      </c>
      <c r="B671" s="2" t="n">
        <v>43233.69072916666</v>
      </c>
      <c r="C671" t="n">
        <v>6</v>
      </c>
      <c r="D671" t="n">
        <v>1</v>
      </c>
      <c r="E671" t="s">
        <v>681</v>
      </c>
      <c r="F671" t="s"/>
      <c r="G671" t="s"/>
      <c r="H671" t="s"/>
      <c r="I671" t="s"/>
      <c r="J671" t="n">
        <v>0.802</v>
      </c>
      <c r="K671" t="n">
        <v>0</v>
      </c>
      <c r="L671" t="n">
        <v>0.644</v>
      </c>
      <c r="M671" t="n">
        <v>0.356</v>
      </c>
    </row>
    <row r="672" spans="1:13">
      <c r="A672" s="1">
        <f>HYPERLINK("http://www.twitter.com/NathanBLawrence/status/995703596611194883", "995703596611194883")</f>
        <v/>
      </c>
      <c r="B672" s="2" t="n">
        <v>43233.68994212963</v>
      </c>
      <c r="C672" t="n">
        <v>0</v>
      </c>
      <c r="D672" t="n">
        <v>2</v>
      </c>
      <c r="E672" t="s">
        <v>682</v>
      </c>
      <c r="F672" t="s"/>
      <c r="G672" t="s"/>
      <c r="H672" t="s"/>
      <c r="I672" t="s"/>
      <c r="J672" t="n">
        <v>0.4215</v>
      </c>
      <c r="K672" t="n">
        <v>0</v>
      </c>
      <c r="L672" t="n">
        <v>0.741</v>
      </c>
      <c r="M672" t="n">
        <v>0.259</v>
      </c>
    </row>
    <row r="673" spans="1:13">
      <c r="A673" s="1">
        <f>HYPERLINK("http://www.twitter.com/NathanBLawrence/status/995703543515484160", "995703543515484160")</f>
        <v/>
      </c>
      <c r="B673" s="2" t="n">
        <v>43233.68979166666</v>
      </c>
      <c r="C673" t="n">
        <v>0</v>
      </c>
      <c r="D673" t="n">
        <v>18</v>
      </c>
      <c r="E673" t="s">
        <v>683</v>
      </c>
      <c r="F673" t="s"/>
      <c r="G673" t="s"/>
      <c r="H673" t="s"/>
      <c r="I673" t="s"/>
      <c r="J673" t="n">
        <v>0.0516</v>
      </c>
      <c r="K673" t="n">
        <v>0.097</v>
      </c>
      <c r="L673" t="n">
        <v>0.798</v>
      </c>
      <c r="M673" t="n">
        <v>0.105</v>
      </c>
    </row>
    <row r="674" spans="1:13">
      <c r="A674" s="1">
        <f>HYPERLINK("http://www.twitter.com/NathanBLawrence/status/995703488935063552", "995703488935063552")</f>
        <v/>
      </c>
      <c r="B674" s="2" t="n">
        <v>43233.6896412037</v>
      </c>
      <c r="C674" t="n">
        <v>0</v>
      </c>
      <c r="D674" t="n">
        <v>12</v>
      </c>
      <c r="E674" t="s">
        <v>684</v>
      </c>
      <c r="F674" t="s"/>
      <c r="G674" t="s"/>
      <c r="H674" t="s"/>
      <c r="I674" t="s"/>
      <c r="J674" t="n">
        <v>-0.652</v>
      </c>
      <c r="K674" t="n">
        <v>0.276</v>
      </c>
      <c r="L674" t="n">
        <v>0.724</v>
      </c>
      <c r="M674" t="n">
        <v>0</v>
      </c>
    </row>
    <row r="675" spans="1:13">
      <c r="A675" s="1">
        <f>HYPERLINK("http://www.twitter.com/NathanBLawrence/status/995703431754059776", "995703431754059776")</f>
        <v/>
      </c>
      <c r="B675" s="2" t="n">
        <v>43233.68949074074</v>
      </c>
      <c r="C675" t="n">
        <v>0</v>
      </c>
      <c r="D675" t="n">
        <v>17</v>
      </c>
      <c r="E675" t="s">
        <v>685</v>
      </c>
      <c r="F675" t="s"/>
      <c r="G675" t="s"/>
      <c r="H675" t="s"/>
      <c r="I675" t="s"/>
      <c r="J675" t="n">
        <v>0.3182</v>
      </c>
      <c r="K675" t="n">
        <v>0.079</v>
      </c>
      <c r="L675" t="n">
        <v>0.758</v>
      </c>
      <c r="M675" t="n">
        <v>0.162</v>
      </c>
    </row>
    <row r="676" spans="1:13">
      <c r="A676" s="1">
        <f>HYPERLINK("http://www.twitter.com/NathanBLawrence/status/995703398862344195", "995703398862344195")</f>
        <v/>
      </c>
      <c r="B676" s="2" t="n">
        <v>43233.68939814815</v>
      </c>
      <c r="C676" t="n">
        <v>0</v>
      </c>
      <c r="D676" t="n">
        <v>59</v>
      </c>
      <c r="E676" t="s">
        <v>686</v>
      </c>
      <c r="F676" t="s"/>
      <c r="G676" t="s"/>
      <c r="H676" t="s"/>
      <c r="I676" t="s"/>
      <c r="J676" t="n">
        <v>0.623</v>
      </c>
      <c r="K676" t="n">
        <v>0</v>
      </c>
      <c r="L676" t="n">
        <v>0.8149999999999999</v>
      </c>
      <c r="M676" t="n">
        <v>0.185</v>
      </c>
    </row>
    <row r="677" spans="1:13">
      <c r="A677" s="1">
        <f>HYPERLINK("http://www.twitter.com/NathanBLawrence/status/995702331307151366", "995702331307151366")</f>
        <v/>
      </c>
      <c r="B677" s="2" t="n">
        <v>43233.68644675926</v>
      </c>
      <c r="C677" t="n">
        <v>18</v>
      </c>
      <c r="D677" t="n">
        <v>16</v>
      </c>
      <c r="E677" t="s">
        <v>687</v>
      </c>
      <c r="F677">
        <f>HYPERLINK("http://pbs.twimg.com/media/DdFx_KWV0AEmCRT.jpg", "http://pbs.twimg.com/media/DdFx_KWV0AEmCRT.jpg")</f>
        <v/>
      </c>
      <c r="G677" t="s"/>
      <c r="H677" t="s"/>
      <c r="I677" t="s"/>
      <c r="J677" t="n">
        <v>-0.296</v>
      </c>
      <c r="K677" t="n">
        <v>0.074</v>
      </c>
      <c r="L677" t="n">
        <v>0.888</v>
      </c>
      <c r="M677" t="n">
        <v>0.038</v>
      </c>
    </row>
    <row r="678" spans="1:13">
      <c r="A678" s="1">
        <f>HYPERLINK("http://www.twitter.com/NathanBLawrence/status/995702308632780800", "995702308632780800")</f>
        <v/>
      </c>
      <c r="B678" s="2" t="n">
        <v>43233.68638888889</v>
      </c>
      <c r="C678" t="n">
        <v>8</v>
      </c>
      <c r="D678" t="n">
        <v>9</v>
      </c>
      <c r="E678" t="s">
        <v>688</v>
      </c>
      <c r="F678" t="s"/>
      <c r="G678" t="s"/>
      <c r="H678" t="s"/>
      <c r="I678" t="s"/>
      <c r="J678" t="n">
        <v>-0.606</v>
      </c>
      <c r="K678" t="n">
        <v>0.142</v>
      </c>
      <c r="L678" t="n">
        <v>0.827</v>
      </c>
      <c r="M678" t="n">
        <v>0.031</v>
      </c>
    </row>
    <row r="679" spans="1:13">
      <c r="A679" s="1">
        <f>HYPERLINK("http://www.twitter.com/NathanBLawrence/status/995702299359137795", "995702299359137795")</f>
        <v/>
      </c>
      <c r="B679" s="2" t="n">
        <v>43233.68636574074</v>
      </c>
      <c r="C679" t="n">
        <v>16</v>
      </c>
      <c r="D679" t="n">
        <v>16</v>
      </c>
      <c r="E679" t="s">
        <v>689</v>
      </c>
      <c r="F679" t="s"/>
      <c r="G679" t="s"/>
      <c r="H679" t="s"/>
      <c r="I679" t="s"/>
      <c r="J679" t="n">
        <v>0.5106000000000001</v>
      </c>
      <c r="K679" t="n">
        <v>0</v>
      </c>
      <c r="L679" t="n">
        <v>0.888</v>
      </c>
      <c r="M679" t="n">
        <v>0.112</v>
      </c>
    </row>
    <row r="680" spans="1:13">
      <c r="A680" s="1">
        <f>HYPERLINK("http://www.twitter.com/NathanBLawrence/status/995510352711503872", "995510352711503872")</f>
        <v/>
      </c>
      <c r="B680" s="2" t="n">
        <v>43233.15668981482</v>
      </c>
      <c r="C680" t="n">
        <v>0</v>
      </c>
      <c r="D680" t="n">
        <v>6954</v>
      </c>
      <c r="E680" t="s">
        <v>690</v>
      </c>
      <c r="F680">
        <f>HYPERLINK("https://video.twimg.com/ext_tw_video/994954924197859328/pu/vid/720x720/ETWCPZSr0vqNHaen.mp4?tag=3", "https://video.twimg.com/ext_tw_video/994954924197859328/pu/vid/720x720/ETWCPZSr0vqNHaen.mp4?tag=3")</f>
        <v/>
      </c>
      <c r="G680" t="s"/>
      <c r="H680" t="s"/>
      <c r="I680" t="s"/>
      <c r="J680" t="n">
        <v>0</v>
      </c>
      <c r="K680" t="n">
        <v>0</v>
      </c>
      <c r="L680" t="n">
        <v>1</v>
      </c>
      <c r="M680" t="n">
        <v>0</v>
      </c>
    </row>
    <row r="681" spans="1:13">
      <c r="A681" s="1">
        <f>HYPERLINK("http://www.twitter.com/NathanBLawrence/status/995510305223512064", "995510305223512064")</f>
        <v/>
      </c>
      <c r="B681" s="2" t="n">
        <v>43233.1565625</v>
      </c>
      <c r="C681" t="n">
        <v>0</v>
      </c>
      <c r="D681" t="n">
        <v>236</v>
      </c>
      <c r="E681" t="s">
        <v>691</v>
      </c>
      <c r="F681">
        <f>HYPERLINK("http://pbs.twimg.com/media/DdCt3hjXkAAznZu.jpg", "http://pbs.twimg.com/media/DdCt3hjXkAAznZu.jpg")</f>
        <v/>
      </c>
      <c r="G681" t="s"/>
      <c r="H681" t="s"/>
      <c r="I681" t="s"/>
      <c r="J681" t="n">
        <v>0.743</v>
      </c>
      <c r="K681" t="n">
        <v>0</v>
      </c>
      <c r="L681" t="n">
        <v>0.76</v>
      </c>
      <c r="M681" t="n">
        <v>0.24</v>
      </c>
    </row>
    <row r="682" spans="1:13">
      <c r="A682" s="1">
        <f>HYPERLINK("http://www.twitter.com/NathanBLawrence/status/995476711084118017", "995476711084118017")</f>
        <v/>
      </c>
      <c r="B682" s="2" t="n">
        <v>43233.06385416666</v>
      </c>
      <c r="C682" t="n">
        <v>0</v>
      </c>
      <c r="D682" t="n">
        <v>22</v>
      </c>
      <c r="E682" t="s">
        <v>692</v>
      </c>
      <c r="F682" t="s"/>
      <c r="G682" t="s"/>
      <c r="H682" t="s"/>
      <c r="I682" t="s"/>
      <c r="J682" t="n">
        <v>-0.4588</v>
      </c>
      <c r="K682" t="n">
        <v>0.136</v>
      </c>
      <c r="L682" t="n">
        <v>0.864</v>
      </c>
      <c r="M682" t="n">
        <v>0</v>
      </c>
    </row>
    <row r="683" spans="1:13">
      <c r="A683" s="1">
        <f>HYPERLINK("http://www.twitter.com/NathanBLawrence/status/995476521149222912", "995476521149222912")</f>
        <v/>
      </c>
      <c r="B683" s="2" t="n">
        <v>43233.06333333333</v>
      </c>
      <c r="C683" t="n">
        <v>74</v>
      </c>
      <c r="D683" t="n">
        <v>22</v>
      </c>
      <c r="E683" t="s">
        <v>693</v>
      </c>
      <c r="F683" t="s"/>
      <c r="G683" t="s"/>
      <c r="H683" t="s"/>
      <c r="I683" t="s"/>
      <c r="J683" t="n">
        <v>-0.5574</v>
      </c>
      <c r="K683" t="n">
        <v>0.173</v>
      </c>
      <c r="L683" t="n">
        <v>0.827</v>
      </c>
      <c r="M683" t="n">
        <v>0</v>
      </c>
    </row>
    <row r="684" spans="1:13">
      <c r="A684" s="1">
        <f>HYPERLINK("http://www.twitter.com/NathanBLawrence/status/995473543952588800", "995473543952588800")</f>
        <v/>
      </c>
      <c r="B684" s="2" t="n">
        <v>43233.05511574074</v>
      </c>
      <c r="C684" t="n">
        <v>0</v>
      </c>
      <c r="D684" t="n">
        <v>11888</v>
      </c>
      <c r="E684" t="s">
        <v>694</v>
      </c>
      <c r="F684" t="s"/>
      <c r="G684" t="s"/>
      <c r="H684" t="s"/>
      <c r="I684" t="s"/>
      <c r="J684" t="n">
        <v>0.6705</v>
      </c>
      <c r="K684" t="n">
        <v>0.07099999999999999</v>
      </c>
      <c r="L684" t="n">
        <v>0.68</v>
      </c>
      <c r="M684" t="n">
        <v>0.249</v>
      </c>
    </row>
    <row r="685" spans="1:13">
      <c r="A685" s="1">
        <f>HYPERLINK("http://www.twitter.com/NathanBLawrence/status/995453518541713408", "995453518541713408")</f>
        <v/>
      </c>
      <c r="B685" s="2" t="n">
        <v>43232.99986111111</v>
      </c>
      <c r="C685" t="n">
        <v>0</v>
      </c>
      <c r="D685" t="n">
        <v>7</v>
      </c>
      <c r="E685" t="s">
        <v>695</v>
      </c>
      <c r="F685">
        <f>HYPERLINK("http://pbs.twimg.com/media/DdCHU4eVQAAKery.jpg", "http://pbs.twimg.com/media/DdCHU4eVQAAKery.jpg")</f>
        <v/>
      </c>
      <c r="G685" t="s"/>
      <c r="H685" t="s"/>
      <c r="I685" t="s"/>
      <c r="J685" t="n">
        <v>0</v>
      </c>
      <c r="K685" t="n">
        <v>0</v>
      </c>
      <c r="L685" t="n">
        <v>1</v>
      </c>
      <c r="M685" t="n">
        <v>0</v>
      </c>
    </row>
    <row r="686" spans="1:13">
      <c r="A686" s="1">
        <f>HYPERLINK("http://www.twitter.com/NathanBLawrence/status/995376236296843264", "995376236296843264")</f>
        <v/>
      </c>
      <c r="B686" s="2" t="n">
        <v>43232.78659722222</v>
      </c>
      <c r="C686" t="n">
        <v>0</v>
      </c>
      <c r="D686" t="n">
        <v>4684</v>
      </c>
      <c r="E686" t="s">
        <v>696</v>
      </c>
      <c r="F686" t="s"/>
      <c r="G686" t="s"/>
      <c r="H686" t="s"/>
      <c r="I686" t="s"/>
      <c r="J686" t="n">
        <v>0</v>
      </c>
      <c r="K686" t="n">
        <v>0</v>
      </c>
      <c r="L686" t="n">
        <v>1</v>
      </c>
      <c r="M686" t="n">
        <v>0</v>
      </c>
    </row>
    <row r="687" spans="1:13">
      <c r="A687" s="1">
        <f>HYPERLINK("http://www.twitter.com/NathanBLawrence/status/995367140382380032", "995367140382380032")</f>
        <v/>
      </c>
      <c r="B687" s="2" t="n">
        <v>43232.76149305556</v>
      </c>
      <c r="C687" t="n">
        <v>0</v>
      </c>
      <c r="D687" t="n">
        <v>7</v>
      </c>
      <c r="E687" t="s">
        <v>697</v>
      </c>
      <c r="F687" t="s"/>
      <c r="G687" t="s"/>
      <c r="H687" t="s"/>
      <c r="I687" t="s"/>
      <c r="J687" t="n">
        <v>0.1406</v>
      </c>
      <c r="K687" t="n">
        <v>0.06900000000000001</v>
      </c>
      <c r="L687" t="n">
        <v>0.841</v>
      </c>
      <c r="M687" t="n">
        <v>0.09</v>
      </c>
    </row>
    <row r="688" spans="1:13">
      <c r="A688" s="1">
        <f>HYPERLINK("http://www.twitter.com/NathanBLawrence/status/995367101153054726", "995367101153054726")</f>
        <v/>
      </c>
      <c r="B688" s="2" t="n">
        <v>43232.76138888889</v>
      </c>
      <c r="C688" t="n">
        <v>0</v>
      </c>
      <c r="D688" t="n">
        <v>3</v>
      </c>
      <c r="E688" t="s">
        <v>698</v>
      </c>
      <c r="F688" t="s"/>
      <c r="G688" t="s"/>
      <c r="H688" t="s"/>
      <c r="I688" t="s"/>
      <c r="J688" t="n">
        <v>0.1531</v>
      </c>
      <c r="K688" t="n">
        <v>0.091</v>
      </c>
      <c r="L688" t="n">
        <v>0.794</v>
      </c>
      <c r="M688" t="n">
        <v>0.115</v>
      </c>
    </row>
    <row r="689" spans="1:13">
      <c r="A689" s="1">
        <f>HYPERLINK("http://www.twitter.com/NathanBLawrence/status/995367015778062338", "995367015778062338")</f>
        <v/>
      </c>
      <c r="B689" s="2" t="n">
        <v>43232.76115740741</v>
      </c>
      <c r="C689" t="n">
        <v>0</v>
      </c>
      <c r="D689" t="n">
        <v>5</v>
      </c>
      <c r="E689" t="s">
        <v>699</v>
      </c>
      <c r="F689" t="s"/>
      <c r="G689" t="s"/>
      <c r="H689" t="s"/>
      <c r="I689" t="s"/>
      <c r="J689" t="n">
        <v>0</v>
      </c>
      <c r="K689" t="n">
        <v>0</v>
      </c>
      <c r="L689" t="n">
        <v>1</v>
      </c>
      <c r="M689" t="n">
        <v>0</v>
      </c>
    </row>
    <row r="690" spans="1:13">
      <c r="A690" s="1">
        <f>HYPERLINK("http://www.twitter.com/NathanBLawrence/status/995351421175455745", "995351421175455745")</f>
        <v/>
      </c>
      <c r="B690" s="2" t="n">
        <v>43232.718125</v>
      </c>
      <c r="C690" t="n">
        <v>4</v>
      </c>
      <c r="D690" t="n">
        <v>3</v>
      </c>
      <c r="E690" t="s">
        <v>700</v>
      </c>
      <c r="F690" t="s"/>
      <c r="G690" t="s"/>
      <c r="H690" t="s"/>
      <c r="I690" t="s"/>
      <c r="J690" t="n">
        <v>0</v>
      </c>
      <c r="K690" t="n">
        <v>0</v>
      </c>
      <c r="L690" t="n">
        <v>1</v>
      </c>
      <c r="M690" t="n">
        <v>0</v>
      </c>
    </row>
    <row r="691" spans="1:13">
      <c r="A691" s="1">
        <f>HYPERLINK("http://www.twitter.com/NathanBLawrence/status/995350370191896577", "995350370191896577")</f>
        <v/>
      </c>
      <c r="B691" s="2" t="n">
        <v>43232.7152199074</v>
      </c>
      <c r="C691" t="n">
        <v>0</v>
      </c>
      <c r="D691" t="n">
        <v>20</v>
      </c>
      <c r="E691" t="s">
        <v>701</v>
      </c>
      <c r="F691" t="s"/>
      <c r="G691" t="s"/>
      <c r="H691" t="s"/>
      <c r="I691" t="s"/>
      <c r="J691" t="n">
        <v>-0.5994</v>
      </c>
      <c r="K691" t="n">
        <v>0.163</v>
      </c>
      <c r="L691" t="n">
        <v>0.837</v>
      </c>
      <c r="M691" t="n">
        <v>0</v>
      </c>
    </row>
    <row r="692" spans="1:13">
      <c r="A692" s="1">
        <f>HYPERLINK("http://www.twitter.com/NathanBLawrence/status/995349823468523520", "995349823468523520")</f>
        <v/>
      </c>
      <c r="B692" s="2" t="n">
        <v>43232.71371527778</v>
      </c>
      <c r="C692" t="n">
        <v>0</v>
      </c>
      <c r="D692" t="n">
        <v>1</v>
      </c>
      <c r="E692" t="s">
        <v>702</v>
      </c>
      <c r="F692" t="s"/>
      <c r="G692" t="s"/>
      <c r="H692" t="s"/>
      <c r="I692" t="s"/>
      <c r="J692" t="n">
        <v>0</v>
      </c>
      <c r="K692" t="n">
        <v>0</v>
      </c>
      <c r="L692" t="n">
        <v>1</v>
      </c>
      <c r="M692" t="n">
        <v>0</v>
      </c>
    </row>
    <row r="693" spans="1:13">
      <c r="A693" s="1">
        <f>HYPERLINK("http://www.twitter.com/NathanBLawrence/status/995349789167546368", "995349789167546368")</f>
        <v/>
      </c>
      <c r="B693" s="2" t="n">
        <v>43232.71362268519</v>
      </c>
      <c r="C693" t="n">
        <v>0</v>
      </c>
      <c r="D693" t="n">
        <v>1</v>
      </c>
      <c r="E693" t="s">
        <v>703</v>
      </c>
      <c r="F693" t="s"/>
      <c r="G693" t="s"/>
      <c r="H693" t="s"/>
      <c r="I693" t="s"/>
      <c r="J693" t="n">
        <v>0</v>
      </c>
      <c r="K693" t="n">
        <v>0</v>
      </c>
      <c r="L693" t="n">
        <v>1</v>
      </c>
      <c r="M693" t="n">
        <v>0</v>
      </c>
    </row>
    <row r="694" spans="1:13">
      <c r="A694" s="1">
        <f>HYPERLINK("http://www.twitter.com/NathanBLawrence/status/995348489222656000", "995348489222656000")</f>
        <v/>
      </c>
      <c r="B694" s="2" t="n">
        <v>43232.71003472222</v>
      </c>
      <c r="C694" t="n">
        <v>0</v>
      </c>
      <c r="D694" t="n">
        <v>2</v>
      </c>
      <c r="E694" t="s">
        <v>704</v>
      </c>
      <c r="F694" t="s"/>
      <c r="G694" t="s"/>
      <c r="H694" t="s"/>
      <c r="I694" t="s"/>
      <c r="J694" t="n">
        <v>0</v>
      </c>
      <c r="K694" t="n">
        <v>0</v>
      </c>
      <c r="L694" t="n">
        <v>1</v>
      </c>
      <c r="M694" t="n">
        <v>0</v>
      </c>
    </row>
    <row r="695" spans="1:13">
      <c r="A695" s="1">
        <f>HYPERLINK("http://www.twitter.com/NathanBLawrence/status/995348465235513345", "995348465235513345")</f>
        <v/>
      </c>
      <c r="B695" s="2" t="n">
        <v>43232.70996527778</v>
      </c>
      <c r="C695" t="n">
        <v>3</v>
      </c>
      <c r="D695" t="n">
        <v>2</v>
      </c>
      <c r="E695" t="s">
        <v>705</v>
      </c>
      <c r="F695" t="s"/>
      <c r="G695" t="s"/>
      <c r="H695" t="s"/>
      <c r="I695" t="s"/>
      <c r="J695" t="n">
        <v>0</v>
      </c>
      <c r="K695" t="n">
        <v>0</v>
      </c>
      <c r="L695" t="n">
        <v>1</v>
      </c>
      <c r="M695" t="n">
        <v>0</v>
      </c>
    </row>
    <row r="696" spans="1:13">
      <c r="A696" s="1">
        <f>HYPERLINK("http://www.twitter.com/NathanBLawrence/status/995348090273107968", "995348090273107968")</f>
        <v/>
      </c>
      <c r="B696" s="2" t="n">
        <v>43232.70893518518</v>
      </c>
      <c r="C696" t="n">
        <v>5</v>
      </c>
      <c r="D696" t="n">
        <v>5</v>
      </c>
      <c r="E696" t="s">
        <v>706</v>
      </c>
      <c r="F696" t="s"/>
      <c r="G696" t="s"/>
      <c r="H696" t="s"/>
      <c r="I696" t="s"/>
      <c r="J696" t="n">
        <v>0.3182</v>
      </c>
      <c r="K696" t="n">
        <v>0</v>
      </c>
      <c r="L696" t="n">
        <v>0.777</v>
      </c>
      <c r="M696" t="n">
        <v>0.223</v>
      </c>
    </row>
    <row r="697" spans="1:13">
      <c r="A697" s="1">
        <f>HYPERLINK("http://www.twitter.com/NathanBLawrence/status/995347402327515137", "995347402327515137")</f>
        <v/>
      </c>
      <c r="B697" s="2" t="n">
        <v>43232.70703703703</v>
      </c>
      <c r="C697" t="n">
        <v>0</v>
      </c>
      <c r="D697" t="n">
        <v>3</v>
      </c>
      <c r="E697" t="s">
        <v>707</v>
      </c>
      <c r="F697">
        <f>HYPERLINK("http://pbs.twimg.com/media/DdAtznNWAAAiOVb.jpg", "http://pbs.twimg.com/media/DdAtznNWAAAiOVb.jpg")</f>
        <v/>
      </c>
      <c r="G697" t="s"/>
      <c r="H697" t="s"/>
      <c r="I697" t="s"/>
      <c r="J697" t="n">
        <v>0.5904</v>
      </c>
      <c r="K697" t="n">
        <v>0</v>
      </c>
      <c r="L697" t="n">
        <v>0.796</v>
      </c>
      <c r="M697" t="n">
        <v>0.204</v>
      </c>
    </row>
    <row r="698" spans="1:13">
      <c r="A698" s="1">
        <f>HYPERLINK("http://www.twitter.com/NathanBLawrence/status/995346761249181697", "995346761249181697")</f>
        <v/>
      </c>
      <c r="B698" s="2" t="n">
        <v>43232.7052662037</v>
      </c>
      <c r="C698" t="n">
        <v>0</v>
      </c>
      <c r="D698" t="n">
        <v>0</v>
      </c>
      <c r="E698" t="s">
        <v>708</v>
      </c>
      <c r="F698" t="s"/>
      <c r="G698" t="s"/>
      <c r="H698" t="s"/>
      <c r="I698" t="s"/>
      <c r="J698" t="n">
        <v>0.4404</v>
      </c>
      <c r="K698" t="n">
        <v>0</v>
      </c>
      <c r="L698" t="n">
        <v>0.805</v>
      </c>
      <c r="M698" t="n">
        <v>0.195</v>
      </c>
    </row>
    <row r="699" spans="1:13">
      <c r="A699" s="1">
        <f>HYPERLINK("http://www.twitter.com/NathanBLawrence/status/995345179195400193", "995345179195400193")</f>
        <v/>
      </c>
      <c r="B699" s="2" t="n">
        <v>43232.70089120371</v>
      </c>
      <c r="C699" t="n">
        <v>0</v>
      </c>
      <c r="D699" t="n">
        <v>0</v>
      </c>
      <c r="E699" t="s">
        <v>709</v>
      </c>
      <c r="F699" t="s"/>
      <c r="G699" t="s"/>
      <c r="H699" t="s"/>
      <c r="I699" t="s"/>
      <c r="J699" t="n">
        <v>0.7579</v>
      </c>
      <c r="K699" t="n">
        <v>0.081</v>
      </c>
      <c r="L699" t="n">
        <v>0.5590000000000001</v>
      </c>
      <c r="M699" t="n">
        <v>0.36</v>
      </c>
    </row>
    <row r="700" spans="1:13">
      <c r="A700" s="1">
        <f>HYPERLINK("http://www.twitter.com/NathanBLawrence/status/995345007828766723", "995345007828766723")</f>
        <v/>
      </c>
      <c r="B700" s="2" t="n">
        <v>43232.70042824074</v>
      </c>
      <c r="C700" t="n">
        <v>0</v>
      </c>
      <c r="D700" t="n">
        <v>49</v>
      </c>
      <c r="E700" t="s">
        <v>710</v>
      </c>
      <c r="F700" t="s"/>
      <c r="G700" t="s"/>
      <c r="H700" t="s"/>
      <c r="I700" t="s"/>
      <c r="J700" t="n">
        <v>0.4588</v>
      </c>
      <c r="K700" t="n">
        <v>0.093</v>
      </c>
      <c r="L700" t="n">
        <v>0.659</v>
      </c>
      <c r="M700" t="n">
        <v>0.248</v>
      </c>
    </row>
    <row r="701" spans="1:13">
      <c r="A701" s="1">
        <f>HYPERLINK("http://www.twitter.com/NathanBLawrence/status/995344966695178240", "995344966695178240")</f>
        <v/>
      </c>
      <c r="B701" s="2" t="n">
        <v>43232.7003125</v>
      </c>
      <c r="C701" t="n">
        <v>0</v>
      </c>
      <c r="D701" t="n">
        <v>133</v>
      </c>
      <c r="E701" t="s">
        <v>711</v>
      </c>
      <c r="F701">
        <f>HYPERLINK("https://video.twimg.com/ext_tw_video/994951938390347782/pu/vid/720x1280/ZbQ2frwu2oMdI_Ww.mp4?tag=3", "https://video.twimg.com/ext_tw_video/994951938390347782/pu/vid/720x1280/ZbQ2frwu2oMdI_Ww.mp4?tag=3")</f>
        <v/>
      </c>
      <c r="G701" t="s"/>
      <c r="H701" t="s"/>
      <c r="I701" t="s"/>
      <c r="J701" t="n">
        <v>-0.2942</v>
      </c>
      <c r="K701" t="n">
        <v>0.095</v>
      </c>
      <c r="L701" t="n">
        <v>0.905</v>
      </c>
      <c r="M701" t="n">
        <v>0</v>
      </c>
    </row>
    <row r="702" spans="1:13">
      <c r="A702" s="1">
        <f>HYPERLINK("http://www.twitter.com/NathanBLawrence/status/995344779687989249", "995344779687989249")</f>
        <v/>
      </c>
      <c r="B702" s="2" t="n">
        <v>43232.69979166667</v>
      </c>
      <c r="C702" t="n">
        <v>1</v>
      </c>
      <c r="D702" t="n">
        <v>1</v>
      </c>
      <c r="E702" t="s">
        <v>712</v>
      </c>
      <c r="F702" t="s"/>
      <c r="G702" t="s"/>
      <c r="H702" t="s"/>
      <c r="I702" t="s"/>
      <c r="J702" t="n">
        <v>0</v>
      </c>
      <c r="K702" t="n">
        <v>0</v>
      </c>
      <c r="L702" t="n">
        <v>1</v>
      </c>
      <c r="M702" t="n">
        <v>0</v>
      </c>
    </row>
    <row r="703" spans="1:13">
      <c r="A703" s="1">
        <f>HYPERLINK("http://www.twitter.com/NathanBLawrence/status/995344514222051333", "995344514222051333")</f>
        <v/>
      </c>
      <c r="B703" s="2" t="n">
        <v>43232.6990625</v>
      </c>
      <c r="C703" t="n">
        <v>3</v>
      </c>
      <c r="D703" t="n">
        <v>0</v>
      </c>
      <c r="E703" t="s">
        <v>713</v>
      </c>
      <c r="F703" t="s"/>
      <c r="G703" t="s"/>
      <c r="H703" t="s"/>
      <c r="I703" t="s"/>
      <c r="J703" t="n">
        <v>0</v>
      </c>
      <c r="K703" t="n">
        <v>0</v>
      </c>
      <c r="L703" t="n">
        <v>1</v>
      </c>
      <c r="M703" t="n">
        <v>0</v>
      </c>
    </row>
    <row r="704" spans="1:13">
      <c r="A704" s="1">
        <f>HYPERLINK("http://www.twitter.com/NathanBLawrence/status/995344062931701760", "995344062931701760")</f>
        <v/>
      </c>
      <c r="B704" s="2" t="n">
        <v>43232.6978125</v>
      </c>
      <c r="C704" t="n">
        <v>2</v>
      </c>
      <c r="D704" t="n">
        <v>1</v>
      </c>
      <c r="E704" t="s">
        <v>714</v>
      </c>
      <c r="F704" t="s"/>
      <c r="G704" t="s"/>
      <c r="H704" t="s"/>
      <c r="I704" t="s"/>
      <c r="J704" t="n">
        <v>0.6249</v>
      </c>
      <c r="K704" t="n">
        <v>0</v>
      </c>
      <c r="L704" t="n">
        <v>0.631</v>
      </c>
      <c r="M704" t="n">
        <v>0.369</v>
      </c>
    </row>
    <row r="705" spans="1:13">
      <c r="A705" s="1">
        <f>HYPERLINK("http://www.twitter.com/NathanBLawrence/status/995343932190949376", "995343932190949376")</f>
        <v/>
      </c>
      <c r="B705" s="2" t="n">
        <v>43232.6974537037</v>
      </c>
      <c r="C705" t="n">
        <v>0</v>
      </c>
      <c r="D705" t="n">
        <v>4</v>
      </c>
      <c r="E705" t="s">
        <v>715</v>
      </c>
      <c r="F705">
        <f>HYPERLINK("http://pbs.twimg.com/media/DdAr9e0WsAADezr.jpg", "http://pbs.twimg.com/media/DdAr9e0WsAADezr.jpg")</f>
        <v/>
      </c>
      <c r="G705" t="s"/>
      <c r="H705" t="s"/>
      <c r="I705" t="s"/>
      <c r="J705" t="n">
        <v>0</v>
      </c>
      <c r="K705" t="n">
        <v>0</v>
      </c>
      <c r="L705" t="n">
        <v>1</v>
      </c>
      <c r="M705" t="n">
        <v>0</v>
      </c>
    </row>
    <row r="706" spans="1:13">
      <c r="A706" s="1">
        <f>HYPERLINK("http://www.twitter.com/NathanBLawrence/status/995343855531765760", "995343855531765760")</f>
        <v/>
      </c>
      <c r="B706" s="2" t="n">
        <v>43232.69724537037</v>
      </c>
      <c r="C706" t="n">
        <v>0</v>
      </c>
      <c r="D706" t="n">
        <v>2</v>
      </c>
      <c r="E706" t="s">
        <v>716</v>
      </c>
      <c r="F706" t="s"/>
      <c r="G706" t="s"/>
      <c r="H706" t="s"/>
      <c r="I706" t="s"/>
      <c r="J706" t="n">
        <v>0</v>
      </c>
      <c r="K706" t="n">
        <v>0</v>
      </c>
      <c r="L706" t="n">
        <v>1</v>
      </c>
      <c r="M706" t="n">
        <v>0</v>
      </c>
    </row>
    <row r="707" spans="1:13">
      <c r="A707" s="1">
        <f>HYPERLINK("http://www.twitter.com/NathanBLawrence/status/995343634898804736", "995343634898804736")</f>
        <v/>
      </c>
      <c r="B707" s="2" t="n">
        <v>43232.69663194445</v>
      </c>
      <c r="C707" t="n">
        <v>2</v>
      </c>
      <c r="D707" t="n">
        <v>1</v>
      </c>
      <c r="E707" t="s">
        <v>717</v>
      </c>
      <c r="F707" t="s"/>
      <c r="G707" t="s"/>
      <c r="H707" t="s"/>
      <c r="I707" t="s"/>
      <c r="J707" t="n">
        <v>0</v>
      </c>
      <c r="K707" t="n">
        <v>0</v>
      </c>
      <c r="L707" t="n">
        <v>1</v>
      </c>
      <c r="M707" t="n">
        <v>0</v>
      </c>
    </row>
    <row r="708" spans="1:13">
      <c r="A708" s="1">
        <f>HYPERLINK("http://www.twitter.com/NathanBLawrence/status/995343327850651650", "995343327850651650")</f>
        <v/>
      </c>
      <c r="B708" s="2" t="n">
        <v>43232.69578703704</v>
      </c>
      <c r="C708" t="n">
        <v>0</v>
      </c>
      <c r="D708" t="n">
        <v>2</v>
      </c>
      <c r="E708" t="s">
        <v>718</v>
      </c>
      <c r="F708" t="s"/>
      <c r="G708" t="s"/>
      <c r="H708" t="s"/>
      <c r="I708" t="s"/>
      <c r="J708" t="n">
        <v>0.6597</v>
      </c>
      <c r="K708" t="n">
        <v>0</v>
      </c>
      <c r="L708" t="n">
        <v>0.6899999999999999</v>
      </c>
      <c r="M708" t="n">
        <v>0.31</v>
      </c>
    </row>
    <row r="709" spans="1:13">
      <c r="A709" s="1">
        <f>HYPERLINK("http://www.twitter.com/NathanBLawrence/status/995343131091591168", "995343131091591168")</f>
        <v/>
      </c>
      <c r="B709" s="2" t="n">
        <v>43232.69524305555</v>
      </c>
      <c r="C709" t="n">
        <v>0</v>
      </c>
      <c r="D709" t="n">
        <v>12</v>
      </c>
      <c r="E709" t="s">
        <v>719</v>
      </c>
      <c r="F709" t="s"/>
      <c r="G709" t="s"/>
      <c r="H709" t="s"/>
      <c r="I709" t="s"/>
      <c r="J709" t="n">
        <v>0.3612</v>
      </c>
      <c r="K709" t="n">
        <v>0</v>
      </c>
      <c r="L709" t="n">
        <v>0.878</v>
      </c>
      <c r="M709" t="n">
        <v>0.122</v>
      </c>
    </row>
    <row r="710" spans="1:13">
      <c r="A710" s="1">
        <f>HYPERLINK("http://www.twitter.com/NathanBLawrence/status/995342890271477762", "995342890271477762")</f>
        <v/>
      </c>
      <c r="B710" s="2" t="n">
        <v>43232.69458333333</v>
      </c>
      <c r="C710" t="n">
        <v>1</v>
      </c>
      <c r="D710" t="n">
        <v>0</v>
      </c>
      <c r="E710" t="s">
        <v>720</v>
      </c>
      <c r="F710" t="s"/>
      <c r="G710" t="s"/>
      <c r="H710" t="s"/>
      <c r="I710" t="s"/>
      <c r="J710" t="n">
        <v>0</v>
      </c>
      <c r="K710" t="n">
        <v>0</v>
      </c>
      <c r="L710" t="n">
        <v>1</v>
      </c>
      <c r="M710" t="n">
        <v>0</v>
      </c>
    </row>
    <row r="711" spans="1:13">
      <c r="A711" s="1">
        <f>HYPERLINK("http://www.twitter.com/NathanBLawrence/status/995342856092045312", "995342856092045312")</f>
        <v/>
      </c>
      <c r="B711" s="2" t="n">
        <v>43232.69449074074</v>
      </c>
      <c r="C711" t="n">
        <v>0</v>
      </c>
      <c r="D711" t="n">
        <v>2</v>
      </c>
      <c r="E711" t="s">
        <v>721</v>
      </c>
      <c r="F711" t="s"/>
      <c r="G711" t="s"/>
      <c r="H711" t="s"/>
      <c r="I711" t="s"/>
      <c r="J711" t="n">
        <v>0</v>
      </c>
      <c r="K711" t="n">
        <v>0</v>
      </c>
      <c r="L711" t="n">
        <v>1</v>
      </c>
      <c r="M711" t="n">
        <v>0</v>
      </c>
    </row>
    <row r="712" spans="1:13">
      <c r="A712" s="1">
        <f>HYPERLINK("http://www.twitter.com/NathanBLawrence/status/995342682489843713", "995342682489843713")</f>
        <v/>
      </c>
      <c r="B712" s="2" t="n">
        <v>43232.69400462963</v>
      </c>
      <c r="C712" t="n">
        <v>1</v>
      </c>
      <c r="D712" t="n">
        <v>0</v>
      </c>
      <c r="E712" t="s">
        <v>722</v>
      </c>
      <c r="F712" t="s"/>
      <c r="G712" t="s"/>
      <c r="H712" t="s"/>
      <c r="I712" t="s"/>
      <c r="J712" t="n">
        <v>0.5719</v>
      </c>
      <c r="K712" t="n">
        <v>0</v>
      </c>
      <c r="L712" t="n">
        <v>0.575</v>
      </c>
      <c r="M712" t="n">
        <v>0.425</v>
      </c>
    </row>
    <row r="713" spans="1:13">
      <c r="A713" s="1">
        <f>HYPERLINK("http://www.twitter.com/NathanBLawrence/status/995342345980792832", "995342345980792832")</f>
        <v/>
      </c>
      <c r="B713" s="2" t="n">
        <v>43232.69307870371</v>
      </c>
      <c r="C713" t="n">
        <v>13</v>
      </c>
      <c r="D713" t="n">
        <v>12</v>
      </c>
      <c r="E713" t="s">
        <v>723</v>
      </c>
      <c r="F713" t="s"/>
      <c r="G713" t="s"/>
      <c r="H713" t="s"/>
      <c r="I713" t="s"/>
      <c r="J713" t="n">
        <v>0.3612</v>
      </c>
      <c r="K713" t="n">
        <v>0</v>
      </c>
      <c r="L713" t="n">
        <v>0.909</v>
      </c>
      <c r="M713" t="n">
        <v>0.091</v>
      </c>
    </row>
    <row r="714" spans="1:13">
      <c r="A714" s="1">
        <f>HYPERLINK("http://www.twitter.com/NathanBLawrence/status/995341987657199616", "995341987657199616")</f>
        <v/>
      </c>
      <c r="B714" s="2" t="n">
        <v>43232.6920949074</v>
      </c>
      <c r="C714" t="n">
        <v>0</v>
      </c>
      <c r="D714" t="n">
        <v>12</v>
      </c>
      <c r="E714" t="s">
        <v>724</v>
      </c>
      <c r="F714">
        <f>HYPERLINK("http://pbs.twimg.com/media/DdAp-SKXUAgldta.jpg", "http://pbs.twimg.com/media/DdAp-SKXUAgldta.jpg")</f>
        <v/>
      </c>
      <c r="G714" t="s"/>
      <c r="H714" t="s"/>
      <c r="I714" t="s"/>
      <c r="J714" t="n">
        <v>0.6808</v>
      </c>
      <c r="K714" t="n">
        <v>0</v>
      </c>
      <c r="L714" t="n">
        <v>0.741</v>
      </c>
      <c r="M714" t="n">
        <v>0.259</v>
      </c>
    </row>
    <row r="715" spans="1:13">
      <c r="A715" s="1">
        <f>HYPERLINK("http://www.twitter.com/NathanBLawrence/status/995341878399852544", "995341878399852544")</f>
        <v/>
      </c>
      <c r="B715" s="2" t="n">
        <v>43232.69179398148</v>
      </c>
      <c r="C715" t="n">
        <v>2</v>
      </c>
      <c r="D715" t="n">
        <v>2</v>
      </c>
      <c r="E715" t="s">
        <v>725</v>
      </c>
      <c r="F715" t="s"/>
      <c r="G715" t="s"/>
      <c r="H715" t="s"/>
      <c r="I715" t="s"/>
      <c r="J715" t="n">
        <v>0</v>
      </c>
      <c r="K715" t="n">
        <v>0</v>
      </c>
      <c r="L715" t="n">
        <v>1</v>
      </c>
      <c r="M715" t="n">
        <v>0</v>
      </c>
    </row>
    <row r="716" spans="1:13">
      <c r="A716" s="1">
        <f>HYPERLINK("http://www.twitter.com/NathanBLawrence/status/995341626292822016", "995341626292822016")</f>
        <v/>
      </c>
      <c r="B716" s="2" t="n">
        <v>43232.69108796296</v>
      </c>
      <c r="C716" t="n">
        <v>0</v>
      </c>
      <c r="D716" t="n">
        <v>401</v>
      </c>
      <c r="E716" t="s">
        <v>726</v>
      </c>
      <c r="F716" t="s"/>
      <c r="G716" t="s"/>
      <c r="H716" t="s"/>
      <c r="I716" t="s"/>
      <c r="J716" t="n">
        <v>0.8475</v>
      </c>
      <c r="K716" t="n">
        <v>0</v>
      </c>
      <c r="L716" t="n">
        <v>0.729</v>
      </c>
      <c r="M716" t="n">
        <v>0.271</v>
      </c>
    </row>
    <row r="717" spans="1:13">
      <c r="A717" s="1">
        <f>HYPERLINK("http://www.twitter.com/NathanBLawrence/status/995340888976117760", "995340888976117760")</f>
        <v/>
      </c>
      <c r="B717" s="2" t="n">
        <v>43232.6890625</v>
      </c>
      <c r="C717" t="n">
        <v>8</v>
      </c>
      <c r="D717" t="n">
        <v>9</v>
      </c>
      <c r="E717" t="s">
        <v>727</v>
      </c>
      <c r="F717" t="s"/>
      <c r="G717" t="s"/>
      <c r="H717" t="s"/>
      <c r="I717" t="s"/>
      <c r="J717" t="n">
        <v>0.4329</v>
      </c>
      <c r="K717" t="n">
        <v>0</v>
      </c>
      <c r="L717" t="n">
        <v>0.848</v>
      </c>
      <c r="M717" t="n">
        <v>0.152</v>
      </c>
    </row>
    <row r="718" spans="1:13">
      <c r="A718" s="1">
        <f>HYPERLINK("http://www.twitter.com/NathanBLawrence/status/995339817742462976", "995339817742462976")</f>
        <v/>
      </c>
      <c r="B718" s="2" t="n">
        <v>43232.68609953704</v>
      </c>
      <c r="C718" t="n">
        <v>0</v>
      </c>
      <c r="D718" t="n">
        <v>1</v>
      </c>
      <c r="E718" t="s">
        <v>728</v>
      </c>
      <c r="F718" t="s"/>
      <c r="G718" t="s"/>
      <c r="H718" t="s"/>
      <c r="I718" t="s"/>
      <c r="J718" t="n">
        <v>0</v>
      </c>
      <c r="K718" t="n">
        <v>0</v>
      </c>
      <c r="L718" t="n">
        <v>1</v>
      </c>
      <c r="M718" t="n">
        <v>0</v>
      </c>
    </row>
    <row r="719" spans="1:13">
      <c r="A719" s="1">
        <f>HYPERLINK("http://www.twitter.com/NathanBLawrence/status/995339723228008448", "995339723228008448")</f>
        <v/>
      </c>
      <c r="B719" s="2" t="n">
        <v>43232.68584490741</v>
      </c>
      <c r="C719" t="n">
        <v>0</v>
      </c>
      <c r="D719" t="n">
        <v>0</v>
      </c>
      <c r="E719" t="s">
        <v>729</v>
      </c>
      <c r="F719" t="s"/>
      <c r="G719" t="s"/>
      <c r="H719" t="s"/>
      <c r="I719" t="s"/>
      <c r="J719" t="n">
        <v>0</v>
      </c>
      <c r="K719" t="n">
        <v>0</v>
      </c>
      <c r="L719" t="n">
        <v>1</v>
      </c>
      <c r="M719" t="n">
        <v>0</v>
      </c>
    </row>
    <row r="720" spans="1:13">
      <c r="A720" s="1">
        <f>HYPERLINK("http://www.twitter.com/NathanBLawrence/status/995339503417090048", "995339503417090048")</f>
        <v/>
      </c>
      <c r="B720" s="2" t="n">
        <v>43232.68523148148</v>
      </c>
      <c r="C720" t="n">
        <v>0</v>
      </c>
      <c r="D720" t="n">
        <v>2</v>
      </c>
      <c r="E720" t="s">
        <v>730</v>
      </c>
      <c r="F720" t="s"/>
      <c r="G720" t="s"/>
      <c r="H720" t="s"/>
      <c r="I720" t="s"/>
      <c r="J720" t="n">
        <v>0</v>
      </c>
      <c r="K720" t="n">
        <v>0</v>
      </c>
      <c r="L720" t="n">
        <v>1</v>
      </c>
      <c r="M720" t="n">
        <v>0</v>
      </c>
    </row>
    <row r="721" spans="1:13">
      <c r="A721" s="1">
        <f>HYPERLINK("http://www.twitter.com/NathanBLawrence/status/995339382969204737", "995339382969204737")</f>
        <v/>
      </c>
      <c r="B721" s="2" t="n">
        <v>43232.68490740741</v>
      </c>
      <c r="C721" t="n">
        <v>0</v>
      </c>
      <c r="D721" t="n">
        <v>1</v>
      </c>
      <c r="E721" t="s">
        <v>731</v>
      </c>
      <c r="F721" t="s"/>
      <c r="G721" t="s"/>
      <c r="H721" t="s"/>
      <c r="I721" t="s"/>
      <c r="J721" t="n">
        <v>0.34</v>
      </c>
      <c r="K721" t="n">
        <v>0</v>
      </c>
      <c r="L721" t="n">
        <v>0.745</v>
      </c>
      <c r="M721" t="n">
        <v>0.255</v>
      </c>
    </row>
    <row r="722" spans="1:13">
      <c r="A722" s="1">
        <f>HYPERLINK("http://www.twitter.com/NathanBLawrence/status/995339329844244480", "995339329844244480")</f>
        <v/>
      </c>
      <c r="B722" s="2" t="n">
        <v>43232.68475694444</v>
      </c>
      <c r="C722" t="n">
        <v>2</v>
      </c>
      <c r="D722" t="n">
        <v>2</v>
      </c>
      <c r="E722" t="s">
        <v>732</v>
      </c>
      <c r="F722" t="s"/>
      <c r="G722" t="s"/>
      <c r="H722" t="s"/>
      <c r="I722" t="s"/>
      <c r="J722" t="n">
        <v>0</v>
      </c>
      <c r="K722" t="n">
        <v>0</v>
      </c>
      <c r="L722" t="n">
        <v>1</v>
      </c>
      <c r="M722" t="n">
        <v>0</v>
      </c>
    </row>
    <row r="723" spans="1:13">
      <c r="A723" s="1">
        <f>HYPERLINK("http://www.twitter.com/NathanBLawrence/status/995339014126342145", "995339014126342145")</f>
        <v/>
      </c>
      <c r="B723" s="2" t="n">
        <v>43232.68388888889</v>
      </c>
      <c r="C723" t="n">
        <v>0</v>
      </c>
      <c r="D723" t="n">
        <v>6555</v>
      </c>
      <c r="E723" t="s">
        <v>733</v>
      </c>
      <c r="F723">
        <f>HYPERLINK("https://video.twimg.com/ext_tw_video/880429031488970752/pu/vid/180x320/wGVMhWlfNLejkl1t.mp4", "https://video.twimg.com/ext_tw_video/880429031488970752/pu/vid/180x320/wGVMhWlfNLejkl1t.mp4")</f>
        <v/>
      </c>
      <c r="G723" t="s"/>
      <c r="H723" t="s"/>
      <c r="I723" t="s"/>
      <c r="J723" t="n">
        <v>-0.628</v>
      </c>
      <c r="K723" t="n">
        <v>0.152</v>
      </c>
      <c r="L723" t="n">
        <v>0.848</v>
      </c>
      <c r="M723" t="n">
        <v>0</v>
      </c>
    </row>
    <row r="724" spans="1:13">
      <c r="A724" s="1">
        <f>HYPERLINK("http://www.twitter.com/NathanBLawrence/status/995338344983859201", "995338344983859201")</f>
        <v/>
      </c>
      <c r="B724" s="2" t="n">
        <v>43232.68203703704</v>
      </c>
      <c r="C724" t="n">
        <v>0</v>
      </c>
      <c r="D724" t="n">
        <v>1</v>
      </c>
      <c r="E724" t="s">
        <v>734</v>
      </c>
      <c r="F724" t="s"/>
      <c r="G724" t="s"/>
      <c r="H724" t="s"/>
      <c r="I724" t="s"/>
      <c r="J724" t="n">
        <v>0.5093</v>
      </c>
      <c r="K724" t="n">
        <v>0</v>
      </c>
      <c r="L724" t="n">
        <v>0.798</v>
      </c>
      <c r="M724" t="n">
        <v>0.202</v>
      </c>
    </row>
    <row r="725" spans="1:13">
      <c r="A725" s="1">
        <f>HYPERLINK("http://www.twitter.com/NathanBLawrence/status/995338142528999429", "995338142528999429")</f>
        <v/>
      </c>
      <c r="B725" s="2" t="n">
        <v>43232.68148148148</v>
      </c>
      <c r="C725" t="n">
        <v>6</v>
      </c>
      <c r="D725" t="n">
        <v>5</v>
      </c>
      <c r="E725" t="s">
        <v>735</v>
      </c>
      <c r="F725" t="s"/>
      <c r="G725" t="s"/>
      <c r="H725" t="s"/>
      <c r="I725" t="s"/>
      <c r="J725" t="n">
        <v>0</v>
      </c>
      <c r="K725" t="n">
        <v>0</v>
      </c>
      <c r="L725" t="n">
        <v>1</v>
      </c>
      <c r="M725" t="n">
        <v>0</v>
      </c>
    </row>
    <row r="726" spans="1:13">
      <c r="A726" s="1">
        <f>HYPERLINK("http://www.twitter.com/NathanBLawrence/status/995336483056898048", "995336483056898048")</f>
        <v/>
      </c>
      <c r="B726" s="2" t="n">
        <v>43232.67689814815</v>
      </c>
      <c r="C726" t="n">
        <v>1</v>
      </c>
      <c r="D726" t="n">
        <v>0</v>
      </c>
      <c r="E726" t="s">
        <v>736</v>
      </c>
      <c r="F726" t="s"/>
      <c r="G726" t="s"/>
      <c r="H726" t="s"/>
      <c r="I726" t="s"/>
      <c r="J726" t="n">
        <v>-0.5266999999999999</v>
      </c>
      <c r="K726" t="n">
        <v>0.362</v>
      </c>
      <c r="L726" t="n">
        <v>0.638</v>
      </c>
      <c r="M726" t="n">
        <v>0</v>
      </c>
    </row>
    <row r="727" spans="1:13">
      <c r="A727" s="1">
        <f>HYPERLINK("http://www.twitter.com/NathanBLawrence/status/995336163610255360", "995336163610255360")</f>
        <v/>
      </c>
      <c r="B727" s="2" t="n">
        <v>43232.67601851852</v>
      </c>
      <c r="C727" t="n">
        <v>0</v>
      </c>
      <c r="D727" t="n">
        <v>7</v>
      </c>
      <c r="E727" t="s">
        <v>737</v>
      </c>
      <c r="F727">
        <f>HYPERLINK("https://video.twimg.com/ext_tw_video/995335919057055744/pu/vid/1280x720/fe7_pCnS1pt94aVs.mp4?tag=3", "https://video.twimg.com/ext_tw_video/995335919057055744/pu/vid/1280x720/fe7_pCnS1pt94aVs.mp4?tag=3")</f>
        <v/>
      </c>
      <c r="G727" t="s"/>
      <c r="H727" t="s"/>
      <c r="I727" t="s"/>
      <c r="J727" t="n">
        <v>0.3089</v>
      </c>
      <c r="K727" t="n">
        <v>0</v>
      </c>
      <c r="L727" t="n">
        <v>0.869</v>
      </c>
      <c r="M727" t="n">
        <v>0.131</v>
      </c>
    </row>
    <row r="728" spans="1:13">
      <c r="A728" s="1">
        <f>HYPERLINK("http://www.twitter.com/NathanBLawrence/status/995335986707038208", "995335986707038208")</f>
        <v/>
      </c>
      <c r="B728" s="2" t="n">
        <v>43232.6755324074</v>
      </c>
      <c r="C728" t="n">
        <v>6</v>
      </c>
      <c r="D728" t="n">
        <v>7</v>
      </c>
      <c r="E728" t="s">
        <v>738</v>
      </c>
      <c r="F728">
        <f>HYPERLINK("https://video.twimg.com/ext_tw_video/995335919057055744/pu/vid/1280x720/fe7_pCnS1pt94aVs.mp4?tag=3", "https://video.twimg.com/ext_tw_video/995335919057055744/pu/vid/1280x720/fe7_pCnS1pt94aVs.mp4?tag=3")</f>
        <v/>
      </c>
      <c r="G728" t="s"/>
      <c r="H728" t="s"/>
      <c r="I728" t="s"/>
      <c r="J728" t="n">
        <v>0.3089</v>
      </c>
      <c r="K728" t="n">
        <v>0</v>
      </c>
      <c r="L728" t="n">
        <v>0.852</v>
      </c>
      <c r="M728" t="n">
        <v>0.148</v>
      </c>
    </row>
    <row r="729" spans="1:13">
      <c r="A729" s="1">
        <f>HYPERLINK("http://www.twitter.com/NathanBLawrence/status/995334152416317440", "995334152416317440")</f>
        <v/>
      </c>
      <c r="B729" s="2" t="n">
        <v>43232.67047453704</v>
      </c>
      <c r="C729" t="n">
        <v>0</v>
      </c>
      <c r="D729" t="n">
        <v>2</v>
      </c>
      <c r="E729" t="s">
        <v>739</v>
      </c>
      <c r="F729" t="s"/>
      <c r="G729" t="s"/>
      <c r="H729" t="s"/>
      <c r="I729" t="s"/>
      <c r="J729" t="n">
        <v>0.8016</v>
      </c>
      <c r="K729" t="n">
        <v>0</v>
      </c>
      <c r="L729" t="n">
        <v>0.644</v>
      </c>
      <c r="M729" t="n">
        <v>0.356</v>
      </c>
    </row>
    <row r="730" spans="1:13">
      <c r="A730" s="1">
        <f>HYPERLINK("http://www.twitter.com/NathanBLawrence/status/995334115124809729", "995334115124809729")</f>
        <v/>
      </c>
      <c r="B730" s="2" t="n">
        <v>43232.67037037037</v>
      </c>
      <c r="C730" t="n">
        <v>0</v>
      </c>
      <c r="D730" t="n">
        <v>4</v>
      </c>
      <c r="E730" t="s">
        <v>740</v>
      </c>
      <c r="F730">
        <f>HYPERLINK("http://pbs.twimg.com/media/Dc-tloxXcAA1XIy.jpg", "http://pbs.twimg.com/media/Dc-tloxXcAA1XIy.jpg")</f>
        <v/>
      </c>
      <c r="G730" t="s"/>
      <c r="H730" t="s"/>
      <c r="I730" t="s"/>
      <c r="J730" t="n">
        <v>0.2732</v>
      </c>
      <c r="K730" t="n">
        <v>0</v>
      </c>
      <c r="L730" t="n">
        <v>0.846</v>
      </c>
      <c r="M730" t="n">
        <v>0.154</v>
      </c>
    </row>
    <row r="731" spans="1:13">
      <c r="A731" s="1">
        <f>HYPERLINK("http://www.twitter.com/NathanBLawrence/status/995334078621765632", "995334078621765632")</f>
        <v/>
      </c>
      <c r="B731" s="2" t="n">
        <v>43232.67026620371</v>
      </c>
      <c r="C731" t="n">
        <v>0</v>
      </c>
      <c r="D731" t="n">
        <v>2</v>
      </c>
      <c r="E731" t="s">
        <v>741</v>
      </c>
      <c r="F731" t="s"/>
      <c r="G731" t="s"/>
      <c r="H731" t="s"/>
      <c r="I731" t="s"/>
      <c r="J731" t="n">
        <v>-0.7351</v>
      </c>
      <c r="K731" t="n">
        <v>0.228</v>
      </c>
      <c r="L731" t="n">
        <v>0.772</v>
      </c>
      <c r="M731" t="n">
        <v>0</v>
      </c>
    </row>
    <row r="732" spans="1:13">
      <c r="A732" s="1">
        <f>HYPERLINK("http://www.twitter.com/NathanBLawrence/status/995333953505677312", "995333953505677312")</f>
        <v/>
      </c>
      <c r="B732" s="2" t="n">
        <v>43232.66991898148</v>
      </c>
      <c r="C732" t="n">
        <v>0</v>
      </c>
      <c r="D732" t="n">
        <v>2</v>
      </c>
      <c r="E732" t="s">
        <v>742</v>
      </c>
      <c r="F732" t="s"/>
      <c r="G732" t="s"/>
      <c r="H732" t="s"/>
      <c r="I732" t="s"/>
      <c r="J732" t="n">
        <v>0.4404</v>
      </c>
      <c r="K732" t="n">
        <v>0</v>
      </c>
      <c r="L732" t="n">
        <v>0.805</v>
      </c>
      <c r="M732" t="n">
        <v>0.195</v>
      </c>
    </row>
    <row r="733" spans="1:13">
      <c r="A733" s="1">
        <f>HYPERLINK("http://www.twitter.com/NathanBLawrence/status/995333931485540353", "995333931485540353")</f>
        <v/>
      </c>
      <c r="B733" s="2" t="n">
        <v>43232.66986111111</v>
      </c>
      <c r="C733" t="n">
        <v>0</v>
      </c>
      <c r="D733" t="n">
        <v>1</v>
      </c>
      <c r="E733" t="s">
        <v>743</v>
      </c>
      <c r="F733" t="s"/>
      <c r="G733" t="s"/>
      <c r="H733" t="s"/>
      <c r="I733" t="s"/>
      <c r="J733" t="n">
        <v>-0.8118</v>
      </c>
      <c r="K733" t="n">
        <v>0.381</v>
      </c>
      <c r="L733" t="n">
        <v>0.619</v>
      </c>
      <c r="M733" t="n">
        <v>0</v>
      </c>
    </row>
    <row r="734" spans="1:13">
      <c r="A734" s="1">
        <f>HYPERLINK("http://www.twitter.com/NathanBLawrence/status/995333361903251456", "995333361903251456")</f>
        <v/>
      </c>
      <c r="B734" s="2" t="n">
        <v>43232.66828703704</v>
      </c>
      <c r="C734" t="n">
        <v>2</v>
      </c>
      <c r="D734" t="n">
        <v>0</v>
      </c>
      <c r="E734" t="s">
        <v>744</v>
      </c>
      <c r="F734" t="s"/>
      <c r="G734" t="s"/>
      <c r="H734" t="s"/>
      <c r="I734" t="s"/>
      <c r="J734" t="n">
        <v>0</v>
      </c>
      <c r="K734" t="n">
        <v>0</v>
      </c>
      <c r="L734" t="n">
        <v>1</v>
      </c>
      <c r="M734" t="n">
        <v>0</v>
      </c>
    </row>
    <row r="735" spans="1:13">
      <c r="A735" s="1">
        <f>HYPERLINK("http://www.twitter.com/NathanBLawrence/status/995332940468023296", "995332940468023296")</f>
        <v/>
      </c>
      <c r="B735" s="2" t="n">
        <v>43232.66712962963</v>
      </c>
      <c r="C735" t="n">
        <v>2</v>
      </c>
      <c r="D735" t="n">
        <v>1</v>
      </c>
      <c r="E735" t="s">
        <v>745</v>
      </c>
      <c r="F735" t="s"/>
      <c r="G735" t="s"/>
      <c r="H735" t="s"/>
      <c r="I735" t="s"/>
      <c r="J735" t="n">
        <v>0</v>
      </c>
      <c r="K735" t="n">
        <v>0</v>
      </c>
      <c r="L735" t="n">
        <v>1</v>
      </c>
      <c r="M735" t="n">
        <v>0</v>
      </c>
    </row>
    <row r="736" spans="1:13">
      <c r="A736" s="1">
        <f>HYPERLINK("http://www.twitter.com/NathanBLawrence/status/995332553082011649", "995332553082011649")</f>
        <v/>
      </c>
      <c r="B736" s="2" t="n">
        <v>43232.66605324074</v>
      </c>
      <c r="C736" t="n">
        <v>1</v>
      </c>
      <c r="D736" t="n">
        <v>0</v>
      </c>
      <c r="E736" t="s">
        <v>746</v>
      </c>
      <c r="F736" t="s"/>
      <c r="G736" t="s"/>
      <c r="H736" t="s"/>
      <c r="I736" t="s"/>
      <c r="J736" t="n">
        <v>0</v>
      </c>
      <c r="K736" t="n">
        <v>0</v>
      </c>
      <c r="L736" t="n">
        <v>1</v>
      </c>
      <c r="M736" t="n">
        <v>0</v>
      </c>
    </row>
    <row r="737" spans="1:13">
      <c r="A737" s="1">
        <f>HYPERLINK("http://www.twitter.com/NathanBLawrence/status/995332224361881600", "995332224361881600")</f>
        <v/>
      </c>
      <c r="B737" s="2" t="n">
        <v>43232.66515046296</v>
      </c>
      <c r="C737" t="n">
        <v>0</v>
      </c>
      <c r="D737" t="n">
        <v>0</v>
      </c>
      <c r="E737" t="s">
        <v>747</v>
      </c>
      <c r="F737" t="s"/>
      <c r="G737" t="s"/>
      <c r="H737" t="s"/>
      <c r="I737" t="s"/>
      <c r="J737" t="n">
        <v>0</v>
      </c>
      <c r="K737" t="n">
        <v>0</v>
      </c>
      <c r="L737" t="n">
        <v>1</v>
      </c>
      <c r="M737" t="n">
        <v>0</v>
      </c>
    </row>
    <row r="738" spans="1:13">
      <c r="A738" s="1">
        <f>HYPERLINK("http://www.twitter.com/NathanBLawrence/status/995331589482729474", "995331589482729474")</f>
        <v/>
      </c>
      <c r="B738" s="2" t="n">
        <v>43232.66339120371</v>
      </c>
      <c r="C738" t="n">
        <v>0</v>
      </c>
      <c r="D738" t="n">
        <v>0</v>
      </c>
      <c r="E738" t="s">
        <v>748</v>
      </c>
      <c r="F738" t="s"/>
      <c r="G738" t="s"/>
      <c r="H738" t="s"/>
      <c r="I738" t="s"/>
      <c r="J738" t="n">
        <v>0.3182</v>
      </c>
      <c r="K738" t="n">
        <v>0</v>
      </c>
      <c r="L738" t="n">
        <v>0.723</v>
      </c>
      <c r="M738" t="n">
        <v>0.277</v>
      </c>
    </row>
    <row r="739" spans="1:13">
      <c r="A739" s="1">
        <f>HYPERLINK("http://www.twitter.com/NathanBLawrence/status/995331069753864192", "995331069753864192")</f>
        <v/>
      </c>
      <c r="B739" s="2" t="n">
        <v>43232.66196759259</v>
      </c>
      <c r="C739" t="n">
        <v>1</v>
      </c>
      <c r="D739" t="n">
        <v>0</v>
      </c>
      <c r="E739" t="s">
        <v>749</v>
      </c>
      <c r="F739" t="s"/>
      <c r="G739" t="s"/>
      <c r="H739" t="s"/>
      <c r="I739" t="s"/>
      <c r="J739" t="n">
        <v>0.5574</v>
      </c>
      <c r="K739" t="n">
        <v>0</v>
      </c>
      <c r="L739" t="n">
        <v>0.6850000000000001</v>
      </c>
      <c r="M739" t="n">
        <v>0.315</v>
      </c>
    </row>
    <row r="740" spans="1:13">
      <c r="A740" s="1">
        <f>HYPERLINK("http://www.twitter.com/NathanBLawrence/status/995330819421081601", "995330819421081601")</f>
        <v/>
      </c>
      <c r="B740" s="2" t="n">
        <v>43232.66127314815</v>
      </c>
      <c r="C740" t="n">
        <v>3</v>
      </c>
      <c r="D740" t="n">
        <v>2</v>
      </c>
      <c r="E740" t="s">
        <v>750</v>
      </c>
      <c r="F740" t="s"/>
      <c r="G740" t="s"/>
      <c r="H740" t="s"/>
      <c r="I740" t="s"/>
      <c r="J740" t="n">
        <v>0</v>
      </c>
      <c r="K740" t="n">
        <v>0</v>
      </c>
      <c r="L740" t="n">
        <v>1</v>
      </c>
      <c r="M740" t="n">
        <v>0</v>
      </c>
    </row>
    <row r="741" spans="1:13">
      <c r="A741" s="1">
        <f>HYPERLINK("http://www.twitter.com/NathanBLawrence/status/995330408626769920", "995330408626769920")</f>
        <v/>
      </c>
      <c r="B741" s="2" t="n">
        <v>43232.66013888889</v>
      </c>
      <c r="C741" t="n">
        <v>0</v>
      </c>
      <c r="D741" t="n">
        <v>0</v>
      </c>
      <c r="E741" t="s">
        <v>751</v>
      </c>
      <c r="F741" t="s"/>
      <c r="G741" t="s"/>
      <c r="H741" t="s"/>
      <c r="I741" t="s"/>
      <c r="J741" t="n">
        <v>0</v>
      </c>
      <c r="K741" t="n">
        <v>0</v>
      </c>
      <c r="L741" t="n">
        <v>1</v>
      </c>
      <c r="M741" t="n">
        <v>0</v>
      </c>
    </row>
    <row r="742" spans="1:13">
      <c r="A742" s="1">
        <f>HYPERLINK("http://www.twitter.com/NathanBLawrence/status/995330099334565895", "995330099334565895")</f>
        <v/>
      </c>
      <c r="B742" s="2" t="n">
        <v>43232.65928240741</v>
      </c>
      <c r="C742" t="n">
        <v>13</v>
      </c>
      <c r="D742" t="n">
        <v>0</v>
      </c>
      <c r="E742" t="s">
        <v>752</v>
      </c>
      <c r="F742" t="s"/>
      <c r="G742" t="s"/>
      <c r="H742" t="s"/>
      <c r="I742" t="s"/>
      <c r="J742" t="n">
        <v>0</v>
      </c>
      <c r="K742" t="n">
        <v>0</v>
      </c>
      <c r="L742" t="n">
        <v>1</v>
      </c>
      <c r="M742" t="n">
        <v>0</v>
      </c>
    </row>
    <row r="743" spans="1:13">
      <c r="A743" s="1">
        <f>HYPERLINK("http://www.twitter.com/NathanBLawrence/status/995329821344456704", "995329821344456704")</f>
        <v/>
      </c>
      <c r="B743" s="2" t="n">
        <v>43232.65851851852</v>
      </c>
      <c r="C743" t="n">
        <v>0</v>
      </c>
      <c r="D743" t="n">
        <v>1286</v>
      </c>
      <c r="E743" t="s">
        <v>753</v>
      </c>
      <c r="F743" t="s"/>
      <c r="G743" t="s"/>
      <c r="H743" t="s"/>
      <c r="I743" t="s"/>
      <c r="J743" t="n">
        <v>0.3612</v>
      </c>
      <c r="K743" t="n">
        <v>0</v>
      </c>
      <c r="L743" t="n">
        <v>0.894</v>
      </c>
      <c r="M743" t="n">
        <v>0.106</v>
      </c>
    </row>
    <row r="744" spans="1:13">
      <c r="A744" s="1">
        <f>HYPERLINK("http://www.twitter.com/NathanBLawrence/status/995329250659053573", "995329250659053573")</f>
        <v/>
      </c>
      <c r="B744" s="2" t="n">
        <v>43232.65694444445</v>
      </c>
      <c r="C744" t="n">
        <v>0</v>
      </c>
      <c r="D744" t="n">
        <v>0</v>
      </c>
      <c r="E744" t="s">
        <v>754</v>
      </c>
      <c r="F744" t="s"/>
      <c r="G744" t="s"/>
      <c r="H744" t="s"/>
      <c r="I744" t="s"/>
      <c r="J744" t="n">
        <v>0</v>
      </c>
      <c r="K744" t="n">
        <v>0</v>
      </c>
      <c r="L744" t="n">
        <v>1</v>
      </c>
      <c r="M744" t="n">
        <v>0</v>
      </c>
    </row>
    <row r="745" spans="1:13">
      <c r="A745" s="1">
        <f>HYPERLINK("http://www.twitter.com/NathanBLawrence/status/995329172301107200", "995329172301107200")</f>
        <v/>
      </c>
      <c r="B745" s="2" t="n">
        <v>43232.65672453704</v>
      </c>
      <c r="C745" t="n">
        <v>0</v>
      </c>
      <c r="D745" t="n">
        <v>27</v>
      </c>
      <c r="E745" t="s">
        <v>755</v>
      </c>
      <c r="F745" t="s"/>
      <c r="G745" t="s"/>
      <c r="H745" t="s"/>
      <c r="I745" t="s"/>
      <c r="J745" t="n">
        <v>0</v>
      </c>
      <c r="K745" t="n">
        <v>0</v>
      </c>
      <c r="L745" t="n">
        <v>1</v>
      </c>
      <c r="M745" t="n">
        <v>0</v>
      </c>
    </row>
    <row r="746" spans="1:13">
      <c r="A746" s="1">
        <f>HYPERLINK("http://www.twitter.com/NathanBLawrence/status/995328366982107136", "995328366982107136")</f>
        <v/>
      </c>
      <c r="B746" s="2" t="n">
        <v>43232.65450231481</v>
      </c>
      <c r="C746" t="n">
        <v>2</v>
      </c>
      <c r="D746" t="n">
        <v>1</v>
      </c>
      <c r="E746" t="s">
        <v>756</v>
      </c>
      <c r="F746" t="s"/>
      <c r="G746" t="s"/>
      <c r="H746" t="s"/>
      <c r="I746" t="s"/>
      <c r="J746" t="n">
        <v>0</v>
      </c>
      <c r="K746" t="n">
        <v>0</v>
      </c>
      <c r="L746" t="n">
        <v>1</v>
      </c>
      <c r="M746" t="n">
        <v>0</v>
      </c>
    </row>
    <row r="747" spans="1:13">
      <c r="A747" s="1">
        <f>HYPERLINK("http://www.twitter.com/NathanBLawrence/status/995328268382494720", "995328268382494720")</f>
        <v/>
      </c>
      <c r="B747" s="2" t="n">
        <v>43232.65423611111</v>
      </c>
      <c r="C747" t="n">
        <v>0</v>
      </c>
      <c r="D747" t="n">
        <v>4</v>
      </c>
      <c r="E747" t="s">
        <v>757</v>
      </c>
      <c r="F747">
        <f>HYPERLINK("http://pbs.twimg.com/media/DdAdEDCWAAAGclM.jpg", "http://pbs.twimg.com/media/DdAdEDCWAAAGclM.jpg")</f>
        <v/>
      </c>
      <c r="G747" t="s"/>
      <c r="H747" t="s"/>
      <c r="I747" t="s"/>
      <c r="J747" t="n">
        <v>0</v>
      </c>
      <c r="K747" t="n">
        <v>0</v>
      </c>
      <c r="L747" t="n">
        <v>1</v>
      </c>
      <c r="M747" t="n">
        <v>0</v>
      </c>
    </row>
    <row r="748" spans="1:13">
      <c r="A748" s="1">
        <f>HYPERLINK("http://www.twitter.com/NathanBLawrence/status/995328229375447040", "995328229375447040")</f>
        <v/>
      </c>
      <c r="B748" s="2" t="n">
        <v>43232.65412037037</v>
      </c>
      <c r="C748" t="n">
        <v>0</v>
      </c>
      <c r="D748" t="n">
        <v>1</v>
      </c>
      <c r="E748" t="s">
        <v>758</v>
      </c>
      <c r="F748">
        <f>HYPERLINK("http://pbs.twimg.com/media/DdAdqhvUQAA9Mxl.jpg", "http://pbs.twimg.com/media/DdAdqhvUQAA9Mxl.jpg")</f>
        <v/>
      </c>
      <c r="G748" t="s"/>
      <c r="H748" t="s"/>
      <c r="I748" t="s"/>
      <c r="J748" t="n">
        <v>0</v>
      </c>
      <c r="K748" t="n">
        <v>0</v>
      </c>
      <c r="L748" t="n">
        <v>1</v>
      </c>
      <c r="M748" t="n">
        <v>0</v>
      </c>
    </row>
    <row r="749" spans="1:13">
      <c r="A749" s="1">
        <f>HYPERLINK("http://www.twitter.com/NathanBLawrence/status/995327885664714752", "995327885664714752")</f>
        <v/>
      </c>
      <c r="B749" s="2" t="n">
        <v>43232.6531712963</v>
      </c>
      <c r="C749" t="n">
        <v>0</v>
      </c>
      <c r="D749" t="n">
        <v>302</v>
      </c>
      <c r="E749" t="s">
        <v>759</v>
      </c>
      <c r="F749" t="s"/>
      <c r="G749" t="s"/>
      <c r="H749" t="s"/>
      <c r="I749" t="s"/>
      <c r="J749" t="n">
        <v>0.3612</v>
      </c>
      <c r="K749" t="n">
        <v>0</v>
      </c>
      <c r="L749" t="n">
        <v>0.889</v>
      </c>
      <c r="M749" t="n">
        <v>0.111</v>
      </c>
    </row>
    <row r="750" spans="1:13">
      <c r="A750" s="1">
        <f>HYPERLINK("http://www.twitter.com/NathanBLawrence/status/995323546497880064", "995323546497880064")</f>
        <v/>
      </c>
      <c r="B750" s="2" t="n">
        <v>43232.6412037037</v>
      </c>
      <c r="C750" t="n">
        <v>0</v>
      </c>
      <c r="D750" t="n">
        <v>2</v>
      </c>
      <c r="E750" t="s">
        <v>760</v>
      </c>
      <c r="F750" t="s"/>
      <c r="G750" t="s"/>
      <c r="H750" t="s"/>
      <c r="I750" t="s"/>
      <c r="J750" t="n">
        <v>0.3612</v>
      </c>
      <c r="K750" t="n">
        <v>0</v>
      </c>
      <c r="L750" t="n">
        <v>0.783</v>
      </c>
      <c r="M750" t="n">
        <v>0.217</v>
      </c>
    </row>
    <row r="751" spans="1:13">
      <c r="A751" s="1">
        <f>HYPERLINK("http://www.twitter.com/NathanBLawrence/status/995323310794821634", "995323310794821634")</f>
        <v/>
      </c>
      <c r="B751" s="2" t="n">
        <v>43232.64055555555</v>
      </c>
      <c r="C751" t="n">
        <v>0</v>
      </c>
      <c r="D751" t="n">
        <v>19</v>
      </c>
      <c r="E751" t="s">
        <v>761</v>
      </c>
      <c r="F751">
        <f>HYPERLINK("http://pbs.twimg.com/media/DdAYNNOVAAEA681.jpg", "http://pbs.twimg.com/media/DdAYNNOVAAEA681.jpg")</f>
        <v/>
      </c>
      <c r="G751" t="s"/>
      <c r="H751" t="s"/>
      <c r="I751" t="s"/>
      <c r="J751" t="n">
        <v>0</v>
      </c>
      <c r="K751" t="n">
        <v>0</v>
      </c>
      <c r="L751" t="n">
        <v>1</v>
      </c>
      <c r="M751" t="n">
        <v>0</v>
      </c>
    </row>
    <row r="752" spans="1:13">
      <c r="A752" s="1">
        <f>HYPERLINK("http://www.twitter.com/NathanBLawrence/status/995323113758953472", "995323113758953472")</f>
        <v/>
      </c>
      <c r="B752" s="2" t="n">
        <v>43232.64001157408</v>
      </c>
      <c r="C752" t="n">
        <v>0</v>
      </c>
      <c r="D752" t="n">
        <v>7</v>
      </c>
      <c r="E752" t="s">
        <v>762</v>
      </c>
      <c r="F752">
        <f>HYPERLINK("http://pbs.twimg.com/media/DdAX5-9VAAE8-di.jpg", "http://pbs.twimg.com/media/DdAX5-9VAAE8-di.jpg")</f>
        <v/>
      </c>
      <c r="G752" t="s"/>
      <c r="H752" t="s"/>
      <c r="I752" t="s"/>
      <c r="J752" t="n">
        <v>0</v>
      </c>
      <c r="K752" t="n">
        <v>0</v>
      </c>
      <c r="L752" t="n">
        <v>1</v>
      </c>
      <c r="M752" t="n">
        <v>0</v>
      </c>
    </row>
    <row r="753" spans="1:13">
      <c r="A753" s="1">
        <f>HYPERLINK("http://www.twitter.com/NathanBLawrence/status/995323101385838592", "995323101385838592")</f>
        <v/>
      </c>
      <c r="B753" s="2" t="n">
        <v>43232.63997685185</v>
      </c>
      <c r="C753" t="n">
        <v>7</v>
      </c>
      <c r="D753" t="n">
        <v>5</v>
      </c>
      <c r="E753" t="s">
        <v>763</v>
      </c>
      <c r="F753" t="s"/>
      <c r="G753" t="s"/>
      <c r="H753" t="s"/>
      <c r="I753" t="s"/>
      <c r="J753" t="n">
        <v>0</v>
      </c>
      <c r="K753" t="n">
        <v>0</v>
      </c>
      <c r="L753" t="n">
        <v>1</v>
      </c>
      <c r="M753" t="n">
        <v>0</v>
      </c>
    </row>
    <row r="754" spans="1:13">
      <c r="A754" s="1">
        <f>HYPERLINK("http://www.twitter.com/NathanBLawrence/status/995322144514068480", "995322144514068480")</f>
        <v/>
      </c>
      <c r="B754" s="2" t="n">
        <v>43232.63733796297</v>
      </c>
      <c r="C754" t="n">
        <v>20</v>
      </c>
      <c r="D754" t="n">
        <v>19</v>
      </c>
      <c r="E754" t="s">
        <v>764</v>
      </c>
      <c r="F754">
        <f>HYPERLINK("http://pbs.twimg.com/media/DdAYNNOVAAEA681.jpg", "http://pbs.twimg.com/media/DdAYNNOVAAEA681.jpg")</f>
        <v/>
      </c>
      <c r="G754" t="s"/>
      <c r="H754" t="s"/>
      <c r="I754" t="s"/>
      <c r="J754" t="n">
        <v>0.7712</v>
      </c>
      <c r="K754" t="n">
        <v>0</v>
      </c>
      <c r="L754" t="n">
        <v>0.848</v>
      </c>
      <c r="M754" t="n">
        <v>0.152</v>
      </c>
    </row>
    <row r="755" spans="1:13">
      <c r="A755" s="1">
        <f>HYPERLINK("http://www.twitter.com/NathanBLawrence/status/995320285296504832", "995320285296504832")</f>
        <v/>
      </c>
      <c r="B755" s="2" t="n">
        <v>43232.63219907408</v>
      </c>
      <c r="C755" t="n">
        <v>0</v>
      </c>
      <c r="D755" t="n">
        <v>4</v>
      </c>
      <c r="E755" t="s">
        <v>765</v>
      </c>
      <c r="F755">
        <f>HYPERLINK("http://pbs.twimg.com/media/DdAVicOW4AA3MRT.jpg", "http://pbs.twimg.com/media/DdAVicOW4AA3MRT.jpg")</f>
        <v/>
      </c>
      <c r="G755" t="s"/>
      <c r="H755" t="s"/>
      <c r="I755" t="s"/>
      <c r="J755" t="n">
        <v>0.4215</v>
      </c>
      <c r="K755" t="n">
        <v>0</v>
      </c>
      <c r="L755" t="n">
        <v>0.833</v>
      </c>
      <c r="M755" t="n">
        <v>0.167</v>
      </c>
    </row>
    <row r="756" spans="1:13">
      <c r="A756" s="1">
        <f>HYPERLINK("http://www.twitter.com/NathanBLawrence/status/995318940774608897", "995318940774608897")</f>
        <v/>
      </c>
      <c r="B756" s="2" t="n">
        <v>43232.62849537037</v>
      </c>
      <c r="C756" t="n">
        <v>0</v>
      </c>
      <c r="D756" t="n">
        <v>1</v>
      </c>
      <c r="E756" t="s">
        <v>766</v>
      </c>
      <c r="F756" t="s"/>
      <c r="G756" t="s"/>
      <c r="H756" t="s"/>
      <c r="I756" t="s"/>
      <c r="J756" t="n">
        <v>0</v>
      </c>
      <c r="K756" t="n">
        <v>0</v>
      </c>
      <c r="L756" t="n">
        <v>1</v>
      </c>
      <c r="M756" t="n">
        <v>0</v>
      </c>
    </row>
    <row r="757" spans="1:13">
      <c r="A757" s="1">
        <f>HYPERLINK("http://www.twitter.com/NathanBLawrence/status/995318657235505158", "995318657235505158")</f>
        <v/>
      </c>
      <c r="B757" s="2" t="n">
        <v>43232.62770833333</v>
      </c>
      <c r="C757" t="n">
        <v>0</v>
      </c>
      <c r="D757" t="n">
        <v>9</v>
      </c>
      <c r="E757" t="s">
        <v>767</v>
      </c>
      <c r="F757" t="s"/>
      <c r="G757" t="s"/>
      <c r="H757" t="s"/>
      <c r="I757" t="s"/>
      <c r="J757" t="n">
        <v>0</v>
      </c>
      <c r="K757" t="n">
        <v>0</v>
      </c>
      <c r="L757" t="n">
        <v>1</v>
      </c>
      <c r="M757" t="n">
        <v>0</v>
      </c>
    </row>
    <row r="758" spans="1:13">
      <c r="A758" s="1">
        <f>HYPERLINK("http://www.twitter.com/NathanBLawrence/status/995318546380009473", "995318546380009473")</f>
        <v/>
      </c>
      <c r="B758" s="2" t="n">
        <v>43232.62740740741</v>
      </c>
      <c r="C758" t="n">
        <v>8</v>
      </c>
      <c r="D758" t="n">
        <v>9</v>
      </c>
      <c r="E758" t="s">
        <v>768</v>
      </c>
      <c r="F758" t="s"/>
      <c r="G758" t="s"/>
      <c r="H758" t="s"/>
      <c r="I758" t="s"/>
      <c r="J758" t="n">
        <v>0</v>
      </c>
      <c r="K758" t="n">
        <v>0</v>
      </c>
      <c r="L758" t="n">
        <v>1</v>
      </c>
      <c r="M758" t="n">
        <v>0</v>
      </c>
    </row>
    <row r="759" spans="1:13">
      <c r="A759" s="1">
        <f>HYPERLINK("http://www.twitter.com/NathanBLawrence/status/995315649567223813", "995315649567223813")</f>
        <v/>
      </c>
      <c r="B759" s="2" t="n">
        <v>43232.61940972223</v>
      </c>
      <c r="C759" t="n">
        <v>0</v>
      </c>
      <c r="D759" t="n">
        <v>7</v>
      </c>
      <c r="E759" t="s">
        <v>769</v>
      </c>
      <c r="F759">
        <f>HYPERLINK("http://pbs.twimg.com/media/DdAQuzRW0AA1sfl.jpg", "http://pbs.twimg.com/media/DdAQuzRW0AA1sfl.jpg")</f>
        <v/>
      </c>
      <c r="G759" t="s"/>
      <c r="H759" t="s"/>
      <c r="I759" t="s"/>
      <c r="J759" t="n">
        <v>0.7382</v>
      </c>
      <c r="K759" t="n">
        <v>0.147</v>
      </c>
      <c r="L759" t="n">
        <v>0.5649999999999999</v>
      </c>
      <c r="M759" t="n">
        <v>0.288</v>
      </c>
    </row>
    <row r="760" spans="1:13">
      <c r="A760" s="1">
        <f>HYPERLINK("http://www.twitter.com/NathanBLawrence/status/995314734307205120", "995314734307205120")</f>
        <v/>
      </c>
      <c r="B760" s="2" t="n">
        <v>43232.61688657408</v>
      </c>
      <c r="C760" t="n">
        <v>0</v>
      </c>
      <c r="D760" t="n">
        <v>311</v>
      </c>
      <c r="E760" t="s">
        <v>770</v>
      </c>
      <c r="F760">
        <f>HYPERLINK("http://pbs.twimg.com/media/Dc9iUpfVQAA2ksJ.jpg", "http://pbs.twimg.com/media/Dc9iUpfVQAA2ksJ.jpg")</f>
        <v/>
      </c>
      <c r="G760" t="s"/>
      <c r="H760" t="s"/>
      <c r="I760" t="s"/>
      <c r="J760" t="n">
        <v>0</v>
      </c>
      <c r="K760" t="n">
        <v>0</v>
      </c>
      <c r="L760" t="n">
        <v>1</v>
      </c>
      <c r="M760" t="n">
        <v>0</v>
      </c>
    </row>
    <row r="761" spans="1:13">
      <c r="A761" s="1">
        <f>HYPERLINK("http://www.twitter.com/NathanBLawrence/status/995314695023316992", "995314695023316992")</f>
        <v/>
      </c>
      <c r="B761" s="2" t="n">
        <v>43232.61678240741</v>
      </c>
      <c r="C761" t="n">
        <v>0</v>
      </c>
      <c r="D761" t="n">
        <v>3747</v>
      </c>
      <c r="E761" t="s">
        <v>771</v>
      </c>
      <c r="F761">
        <f>HYPERLINK("http://pbs.twimg.com/media/Dc8t4rNW0AAEexe.jpg", "http://pbs.twimg.com/media/Dc8t4rNW0AAEexe.jpg")</f>
        <v/>
      </c>
      <c r="G761" t="s"/>
      <c r="H761" t="s"/>
      <c r="I761" t="s"/>
      <c r="J761" t="n">
        <v>0.4306</v>
      </c>
      <c r="K761" t="n">
        <v>0</v>
      </c>
      <c r="L761" t="n">
        <v>0.857</v>
      </c>
      <c r="M761" t="n">
        <v>0.143</v>
      </c>
    </row>
    <row r="762" spans="1:13">
      <c r="A762" s="1">
        <f>HYPERLINK("http://www.twitter.com/NathanBLawrence/status/995314538848366592", "995314538848366592")</f>
        <v/>
      </c>
      <c r="B762" s="2" t="n">
        <v>43232.61634259259</v>
      </c>
      <c r="C762" t="n">
        <v>3</v>
      </c>
      <c r="D762" t="n">
        <v>0</v>
      </c>
      <c r="E762" t="s">
        <v>772</v>
      </c>
      <c r="F762" t="s"/>
      <c r="G762" t="s"/>
      <c r="H762" t="s"/>
      <c r="I762" t="s"/>
      <c r="J762" t="n">
        <v>0</v>
      </c>
      <c r="K762" t="n">
        <v>0</v>
      </c>
      <c r="L762" t="n">
        <v>1</v>
      </c>
      <c r="M762" t="n">
        <v>0</v>
      </c>
    </row>
    <row r="763" spans="1:13">
      <c r="A763" s="1">
        <f>HYPERLINK("http://www.twitter.com/NathanBLawrence/status/995313614549602309", "995313614549602309")</f>
        <v/>
      </c>
      <c r="B763" s="2" t="n">
        <v>43232.6137962963</v>
      </c>
      <c r="C763" t="n">
        <v>1</v>
      </c>
      <c r="D763" t="n">
        <v>0</v>
      </c>
      <c r="E763" t="s">
        <v>773</v>
      </c>
      <c r="F763" t="s"/>
      <c r="G763" t="s"/>
      <c r="H763" t="s"/>
      <c r="I763" t="s"/>
      <c r="J763" t="n">
        <v>0.9022</v>
      </c>
      <c r="K763" t="n">
        <v>0.11</v>
      </c>
      <c r="L763" t="n">
        <v>0.511</v>
      </c>
      <c r="M763" t="n">
        <v>0.378</v>
      </c>
    </row>
    <row r="764" spans="1:13">
      <c r="A764" s="1">
        <f>HYPERLINK("http://www.twitter.com/NathanBLawrence/status/995312338944299009", "995312338944299009")</f>
        <v/>
      </c>
      <c r="B764" s="2" t="n">
        <v>43232.61027777778</v>
      </c>
      <c r="C764" t="n">
        <v>0</v>
      </c>
      <c r="D764" t="n">
        <v>5</v>
      </c>
      <c r="E764" t="s">
        <v>774</v>
      </c>
      <c r="F764">
        <f>HYPERLINK("http://pbs.twimg.com/media/Dc-XMw3VMAAJlH5.jpg", "http://pbs.twimg.com/media/Dc-XMw3VMAAJlH5.jpg")</f>
        <v/>
      </c>
      <c r="G764" t="s"/>
      <c r="H764" t="s"/>
      <c r="I764" t="s"/>
      <c r="J764" t="n">
        <v>0.1695</v>
      </c>
      <c r="K764" t="n">
        <v>0</v>
      </c>
      <c r="L764" t="n">
        <v>0.857</v>
      </c>
      <c r="M764" t="n">
        <v>0.143</v>
      </c>
    </row>
    <row r="765" spans="1:13">
      <c r="A765" s="1">
        <f>HYPERLINK("http://www.twitter.com/NathanBLawrence/status/995312316798455808", "995312316798455808")</f>
        <v/>
      </c>
      <c r="B765" s="2" t="n">
        <v>43232.61020833333</v>
      </c>
      <c r="C765" t="n">
        <v>0</v>
      </c>
      <c r="D765" t="n">
        <v>3</v>
      </c>
      <c r="E765" t="s">
        <v>775</v>
      </c>
      <c r="F765" t="s"/>
      <c r="G765" t="s"/>
      <c r="H765" t="s"/>
      <c r="I765" t="s"/>
      <c r="J765" t="n">
        <v>0.765</v>
      </c>
      <c r="K765" t="n">
        <v>0</v>
      </c>
      <c r="L765" t="n">
        <v>0.72</v>
      </c>
      <c r="M765" t="n">
        <v>0.28</v>
      </c>
    </row>
    <row r="766" spans="1:13">
      <c r="A766" s="1">
        <f>HYPERLINK("http://www.twitter.com/NathanBLawrence/status/995312288285515776", "995312288285515776")</f>
        <v/>
      </c>
      <c r="B766" s="2" t="n">
        <v>43232.61013888889</v>
      </c>
      <c r="C766" t="n">
        <v>2</v>
      </c>
      <c r="D766" t="n">
        <v>2</v>
      </c>
      <c r="E766" t="s">
        <v>776</v>
      </c>
      <c r="F766" t="s"/>
      <c r="G766" t="s"/>
      <c r="H766" t="s"/>
      <c r="I766" t="s"/>
      <c r="J766" t="n">
        <v>0.5891999999999999</v>
      </c>
      <c r="K766" t="n">
        <v>0.144</v>
      </c>
      <c r="L766" t="n">
        <v>0.515</v>
      </c>
      <c r="M766" t="n">
        <v>0.341</v>
      </c>
    </row>
    <row r="767" spans="1:13">
      <c r="A767" s="1">
        <f>HYPERLINK("http://www.twitter.com/NathanBLawrence/status/995311967387705345", "995311967387705345")</f>
        <v/>
      </c>
      <c r="B767" s="2" t="n">
        <v>43232.60924768518</v>
      </c>
      <c r="C767" t="n">
        <v>0</v>
      </c>
      <c r="D767" t="n">
        <v>3</v>
      </c>
      <c r="E767" t="s">
        <v>777</v>
      </c>
      <c r="F767" t="s"/>
      <c r="G767" t="s"/>
      <c r="H767" t="s"/>
      <c r="I767" t="s"/>
      <c r="J767" t="n">
        <v>0.5994</v>
      </c>
      <c r="K767" t="n">
        <v>0</v>
      </c>
      <c r="L767" t="n">
        <v>0.776</v>
      </c>
      <c r="M767" t="n">
        <v>0.224</v>
      </c>
    </row>
    <row r="768" spans="1:13">
      <c r="A768" s="1">
        <f>HYPERLINK("http://www.twitter.com/NathanBLawrence/status/995311884181139456", "995311884181139456")</f>
        <v/>
      </c>
      <c r="B768" s="2" t="n">
        <v>43232.60901620371</v>
      </c>
      <c r="C768" t="n">
        <v>0</v>
      </c>
      <c r="D768" t="n">
        <v>1</v>
      </c>
      <c r="E768" t="s">
        <v>778</v>
      </c>
      <c r="F768" t="s"/>
      <c r="G768" t="s"/>
      <c r="H768" t="s"/>
      <c r="I768" t="s"/>
      <c r="J768" t="n">
        <v>0.6249</v>
      </c>
      <c r="K768" t="n">
        <v>0</v>
      </c>
      <c r="L768" t="n">
        <v>0.661</v>
      </c>
      <c r="M768" t="n">
        <v>0.339</v>
      </c>
    </row>
    <row r="769" spans="1:13">
      <c r="A769" s="1">
        <f>HYPERLINK("http://www.twitter.com/NathanBLawrence/status/995311854070181890", "995311854070181890")</f>
        <v/>
      </c>
      <c r="B769" s="2" t="n">
        <v>43232.60893518518</v>
      </c>
      <c r="C769" t="n">
        <v>0</v>
      </c>
      <c r="D769" t="n">
        <v>2179</v>
      </c>
      <c r="E769" t="s">
        <v>779</v>
      </c>
      <c r="F769">
        <f>HYPERLINK("http://pbs.twimg.com/media/Dc88UeNWkAEvQ_g.jpg", "http://pbs.twimg.com/media/Dc88UeNWkAEvQ_g.jpg")</f>
        <v/>
      </c>
      <c r="G769" t="s"/>
      <c r="H769" t="s"/>
      <c r="I769" t="s"/>
      <c r="J769" t="n">
        <v>0.5859</v>
      </c>
      <c r="K769" t="n">
        <v>0</v>
      </c>
      <c r="L769" t="n">
        <v>0.868</v>
      </c>
      <c r="M769" t="n">
        <v>0.132</v>
      </c>
    </row>
    <row r="770" spans="1:13">
      <c r="A770" s="1">
        <f>HYPERLINK("http://www.twitter.com/NathanBLawrence/status/995311806062256128", "995311806062256128")</f>
        <v/>
      </c>
      <c r="B770" s="2" t="n">
        <v>43232.60880787037</v>
      </c>
      <c r="C770" t="n">
        <v>0</v>
      </c>
      <c r="D770" t="n">
        <v>5</v>
      </c>
      <c r="E770" t="s">
        <v>780</v>
      </c>
      <c r="F770" t="s"/>
      <c r="G770" t="s"/>
      <c r="H770" t="s"/>
      <c r="I770" t="s"/>
      <c r="J770" t="n">
        <v>0.8429</v>
      </c>
      <c r="K770" t="n">
        <v>0</v>
      </c>
      <c r="L770" t="n">
        <v>0.469</v>
      </c>
      <c r="M770" t="n">
        <v>0.531</v>
      </c>
    </row>
    <row r="771" spans="1:13">
      <c r="A771" s="1">
        <f>HYPERLINK("http://www.twitter.com/NathanBLawrence/status/995311772675567617", "995311772675567617")</f>
        <v/>
      </c>
      <c r="B771" s="2" t="n">
        <v>43232.60871527778</v>
      </c>
      <c r="C771" t="n">
        <v>0</v>
      </c>
      <c r="D771" t="n">
        <v>5</v>
      </c>
      <c r="E771" t="s">
        <v>781</v>
      </c>
      <c r="F771" t="s"/>
      <c r="G771" t="s"/>
      <c r="H771" t="s"/>
      <c r="I771" t="s"/>
      <c r="J771" t="n">
        <v>0.5994</v>
      </c>
      <c r="K771" t="n">
        <v>0</v>
      </c>
      <c r="L771" t="n">
        <v>0.588</v>
      </c>
      <c r="M771" t="n">
        <v>0.412</v>
      </c>
    </row>
    <row r="772" spans="1:13">
      <c r="A772" s="1">
        <f>HYPERLINK("http://www.twitter.com/NathanBLawrence/status/995309437572341760", "995309437572341760")</f>
        <v/>
      </c>
      <c r="B772" s="2" t="n">
        <v>43232.60226851852</v>
      </c>
      <c r="C772" t="n">
        <v>0</v>
      </c>
      <c r="D772" t="n">
        <v>984</v>
      </c>
      <c r="E772" t="s">
        <v>782</v>
      </c>
      <c r="F772">
        <f>HYPERLINK("http://pbs.twimg.com/media/DdAMSGkV4AAg-xw.jpg", "http://pbs.twimg.com/media/DdAMSGkV4AAg-xw.jpg")</f>
        <v/>
      </c>
      <c r="G772" t="s"/>
      <c r="H772" t="s"/>
      <c r="I772" t="s"/>
      <c r="J772" t="n">
        <v>0.8459</v>
      </c>
      <c r="K772" t="n">
        <v>0</v>
      </c>
      <c r="L772" t="n">
        <v>0.711</v>
      </c>
      <c r="M772" t="n">
        <v>0.289</v>
      </c>
    </row>
    <row r="773" spans="1:13">
      <c r="A773" s="1">
        <f>HYPERLINK("http://www.twitter.com/NathanBLawrence/status/995308074146648066", "995308074146648066")</f>
        <v/>
      </c>
      <c r="B773" s="2" t="n">
        <v>43232.59850694444</v>
      </c>
      <c r="C773" t="n">
        <v>2</v>
      </c>
      <c r="D773" t="n">
        <v>1</v>
      </c>
      <c r="E773" t="s">
        <v>783</v>
      </c>
      <c r="F773" t="s"/>
      <c r="G773" t="s"/>
      <c r="H773" t="s"/>
      <c r="I773" t="s"/>
      <c r="J773" t="n">
        <v>0.0258</v>
      </c>
      <c r="K773" t="n">
        <v>0</v>
      </c>
      <c r="L773" t="n">
        <v>0.732</v>
      </c>
      <c r="M773" t="n">
        <v>0.268</v>
      </c>
    </row>
    <row r="774" spans="1:13">
      <c r="A774" s="1">
        <f>HYPERLINK("http://www.twitter.com/NathanBLawrence/status/995307763134881792", "995307763134881792")</f>
        <v/>
      </c>
      <c r="B774" s="2" t="n">
        <v>43232.59765046297</v>
      </c>
      <c r="C774" t="n">
        <v>6</v>
      </c>
      <c r="D774" t="n">
        <v>2</v>
      </c>
      <c r="E774" t="s">
        <v>784</v>
      </c>
      <c r="F774" t="s"/>
      <c r="G774" t="s"/>
      <c r="H774" t="s"/>
      <c r="I774" t="s"/>
      <c r="J774" t="n">
        <v>0</v>
      </c>
      <c r="K774" t="n">
        <v>0</v>
      </c>
      <c r="L774" t="n">
        <v>1</v>
      </c>
      <c r="M774" t="n">
        <v>0</v>
      </c>
    </row>
    <row r="775" spans="1:13">
      <c r="A775" s="1">
        <f>HYPERLINK("http://www.twitter.com/NathanBLawrence/status/995306004626788352", "995306004626788352")</f>
        <v/>
      </c>
      <c r="B775" s="2" t="n">
        <v>43232.59280092592</v>
      </c>
      <c r="C775" t="n">
        <v>0</v>
      </c>
      <c r="D775" t="n">
        <v>2628</v>
      </c>
      <c r="E775" t="s">
        <v>785</v>
      </c>
      <c r="F775" t="s"/>
      <c r="G775" t="s"/>
      <c r="H775" t="s"/>
      <c r="I775" t="s"/>
      <c r="J775" t="n">
        <v>-0.5266999999999999</v>
      </c>
      <c r="K775" t="n">
        <v>0.145</v>
      </c>
      <c r="L775" t="n">
        <v>0.855</v>
      </c>
      <c r="M775" t="n">
        <v>0</v>
      </c>
    </row>
    <row r="776" spans="1:13">
      <c r="A776" s="1">
        <f>HYPERLINK("http://www.twitter.com/NathanBLawrence/status/995305458289258496", "995305458289258496")</f>
        <v/>
      </c>
      <c r="B776" s="2" t="n">
        <v>43232.59128472222</v>
      </c>
      <c r="C776" t="n">
        <v>0</v>
      </c>
      <c r="D776" t="n">
        <v>118</v>
      </c>
      <c r="E776" t="s">
        <v>786</v>
      </c>
      <c r="F776">
        <f>HYPERLINK("http://pbs.twimg.com/media/DcnLFl8U8AA4m28.jpg", "http://pbs.twimg.com/media/DcnLFl8U8AA4m28.jpg")</f>
        <v/>
      </c>
      <c r="G776" t="s"/>
      <c r="H776" t="s"/>
      <c r="I776" t="s"/>
      <c r="J776" t="n">
        <v>0.0772</v>
      </c>
      <c r="K776" t="n">
        <v>0.168</v>
      </c>
      <c r="L776" t="n">
        <v>0.595</v>
      </c>
      <c r="M776" t="n">
        <v>0.238</v>
      </c>
    </row>
    <row r="777" spans="1:13">
      <c r="A777" s="1">
        <f>HYPERLINK("http://www.twitter.com/NathanBLawrence/status/995305016603955201", "995305016603955201")</f>
        <v/>
      </c>
      <c r="B777" s="2" t="n">
        <v>43232.59006944444</v>
      </c>
      <c r="C777" t="n">
        <v>5</v>
      </c>
      <c r="D777" t="n">
        <v>3</v>
      </c>
      <c r="E777" t="s">
        <v>787</v>
      </c>
      <c r="F777" t="s"/>
      <c r="G777" t="s"/>
      <c r="H777" t="s"/>
      <c r="I777" t="s"/>
      <c r="J777" t="n">
        <v>0</v>
      </c>
      <c r="K777" t="n">
        <v>0</v>
      </c>
      <c r="L777" t="n">
        <v>1</v>
      </c>
      <c r="M777" t="n">
        <v>0</v>
      </c>
    </row>
    <row r="778" spans="1:13">
      <c r="A778" s="1">
        <f>HYPERLINK("http://www.twitter.com/NathanBLawrence/status/995304807459184646", "995304807459184646")</f>
        <v/>
      </c>
      <c r="B778" s="2" t="n">
        <v>43232.58949074074</v>
      </c>
      <c r="C778" t="n">
        <v>0</v>
      </c>
      <c r="D778" t="n">
        <v>21</v>
      </c>
      <c r="E778" t="s">
        <v>788</v>
      </c>
      <c r="F778">
        <f>HYPERLINK("http://pbs.twimg.com/media/DdAEp8YX0AAv3bl.jpg", "http://pbs.twimg.com/media/DdAEp8YX0AAv3bl.jpg")</f>
        <v/>
      </c>
      <c r="G778" t="s"/>
      <c r="H778" t="s"/>
      <c r="I778" t="s"/>
      <c r="J778" t="n">
        <v>0</v>
      </c>
      <c r="K778" t="n">
        <v>0</v>
      </c>
      <c r="L778" t="n">
        <v>1</v>
      </c>
      <c r="M778" t="n">
        <v>0</v>
      </c>
    </row>
    <row r="779" spans="1:13">
      <c r="A779" s="1">
        <f>HYPERLINK("http://www.twitter.com/NathanBLawrence/status/995304726743920640", "995304726743920640")</f>
        <v/>
      </c>
      <c r="B779" s="2" t="n">
        <v>43232.58927083333</v>
      </c>
      <c r="C779" t="n">
        <v>0</v>
      </c>
      <c r="D779" t="n">
        <v>2281</v>
      </c>
      <c r="E779" t="s">
        <v>789</v>
      </c>
      <c r="F779" t="s"/>
      <c r="G779" t="s"/>
      <c r="H779" t="s"/>
      <c r="I779" t="s"/>
      <c r="J779" t="n">
        <v>-0.6486</v>
      </c>
      <c r="K779" t="n">
        <v>0.249</v>
      </c>
      <c r="L779" t="n">
        <v>0.751</v>
      </c>
      <c r="M779" t="n">
        <v>0</v>
      </c>
    </row>
    <row r="780" spans="1:13">
      <c r="A780" s="1">
        <f>HYPERLINK("http://www.twitter.com/NathanBLawrence/status/995304625694826496", "995304625694826496")</f>
        <v/>
      </c>
      <c r="B780" s="2" t="n">
        <v>43232.58899305556</v>
      </c>
      <c r="C780" t="n">
        <v>0</v>
      </c>
      <c r="D780" t="n">
        <v>3814</v>
      </c>
      <c r="E780" t="s">
        <v>790</v>
      </c>
      <c r="F780">
        <f>HYPERLINK("https://video.twimg.com/ext_tw_video/995119021665144832/pu/vid/720x1280/zyc-XjxMyo1yRB3R.mp4?tag=3", "https://video.twimg.com/ext_tw_video/995119021665144832/pu/vid/720x1280/zyc-XjxMyo1yRB3R.mp4?tag=3")</f>
        <v/>
      </c>
      <c r="G780" t="s"/>
      <c r="H780" t="s"/>
      <c r="I780" t="s"/>
      <c r="J780" t="n">
        <v>-0.5837</v>
      </c>
      <c r="K780" t="n">
        <v>0.269</v>
      </c>
      <c r="L780" t="n">
        <v>0.6</v>
      </c>
      <c r="M780" t="n">
        <v>0.13</v>
      </c>
    </row>
    <row r="781" spans="1:13">
      <c r="A781" s="1">
        <f>HYPERLINK("http://www.twitter.com/NathanBLawrence/status/995302417607593985", "995302417607593985")</f>
        <v/>
      </c>
      <c r="B781" s="2" t="n">
        <v>43232.58289351852</v>
      </c>
      <c r="C781" t="n">
        <v>4</v>
      </c>
      <c r="D781" t="n">
        <v>0</v>
      </c>
      <c r="E781" t="s">
        <v>791</v>
      </c>
      <c r="F781" t="s"/>
      <c r="G781" t="s"/>
      <c r="H781" t="s"/>
      <c r="I781" t="s"/>
      <c r="J781" t="n">
        <v>0</v>
      </c>
      <c r="K781" t="n">
        <v>0</v>
      </c>
      <c r="L781" t="n">
        <v>1</v>
      </c>
      <c r="M781" t="n">
        <v>0</v>
      </c>
    </row>
    <row r="782" spans="1:13">
      <c r="A782" s="1">
        <f>HYPERLINK("http://www.twitter.com/NathanBLawrence/status/995301976283013121", "995301976283013121")</f>
        <v/>
      </c>
      <c r="B782" s="2" t="n">
        <v>43232.58167824074</v>
      </c>
      <c r="C782" t="n">
        <v>3</v>
      </c>
      <c r="D782" t="n">
        <v>0</v>
      </c>
      <c r="E782" t="s">
        <v>792</v>
      </c>
      <c r="F782" t="s"/>
      <c r="G782" t="s"/>
      <c r="H782" t="s"/>
      <c r="I782" t="s"/>
      <c r="J782" t="n">
        <v>0.4404</v>
      </c>
      <c r="K782" t="n">
        <v>0</v>
      </c>
      <c r="L782" t="n">
        <v>0.828</v>
      </c>
      <c r="M782" t="n">
        <v>0.172</v>
      </c>
    </row>
    <row r="783" spans="1:13">
      <c r="A783" s="1">
        <f>HYPERLINK("http://www.twitter.com/NathanBLawrence/status/995301895009898499", "995301895009898499")</f>
        <v/>
      </c>
      <c r="B783" s="2" t="n">
        <v>43232.58145833333</v>
      </c>
      <c r="C783" t="n">
        <v>0</v>
      </c>
      <c r="D783" t="n">
        <v>138</v>
      </c>
      <c r="E783" t="s">
        <v>793</v>
      </c>
      <c r="F783" t="s"/>
      <c r="G783" t="s"/>
      <c r="H783" t="s"/>
      <c r="I783" t="s"/>
      <c r="J783" t="n">
        <v>0</v>
      </c>
      <c r="K783" t="n">
        <v>0</v>
      </c>
      <c r="L783" t="n">
        <v>1</v>
      </c>
      <c r="M783" t="n">
        <v>0</v>
      </c>
    </row>
    <row r="784" spans="1:13">
      <c r="A784" s="1">
        <f>HYPERLINK("http://www.twitter.com/NathanBLawrence/status/995301734225498112", "995301734225498112")</f>
        <v/>
      </c>
      <c r="B784" s="2" t="n">
        <v>43232.58100694444</v>
      </c>
      <c r="C784" t="n">
        <v>0</v>
      </c>
      <c r="D784" t="n">
        <v>3</v>
      </c>
      <c r="E784" t="s">
        <v>794</v>
      </c>
      <c r="F784" t="s"/>
      <c r="G784" t="s"/>
      <c r="H784" t="s"/>
      <c r="I784" t="s"/>
      <c r="J784" t="n">
        <v>0</v>
      </c>
      <c r="K784" t="n">
        <v>0</v>
      </c>
      <c r="L784" t="n">
        <v>1</v>
      </c>
      <c r="M784" t="n">
        <v>0</v>
      </c>
    </row>
    <row r="785" spans="1:13">
      <c r="A785" s="1">
        <f>HYPERLINK("http://www.twitter.com/NathanBLawrence/status/995301638029144064", "995301638029144064")</f>
        <v/>
      </c>
      <c r="B785" s="2" t="n">
        <v>43232.58074074074</v>
      </c>
      <c r="C785" t="n">
        <v>0</v>
      </c>
      <c r="D785" t="n">
        <v>1</v>
      </c>
      <c r="E785" t="s">
        <v>795</v>
      </c>
      <c r="F785" t="s"/>
      <c r="G785" t="s"/>
      <c r="H785" t="s"/>
      <c r="I785" t="s"/>
      <c r="J785" t="n">
        <v>0</v>
      </c>
      <c r="K785" t="n">
        <v>0</v>
      </c>
      <c r="L785" t="n">
        <v>1</v>
      </c>
      <c r="M785" t="n">
        <v>0</v>
      </c>
    </row>
    <row r="786" spans="1:13">
      <c r="A786" s="1">
        <f>HYPERLINK("http://www.twitter.com/NathanBLawrence/status/995301528553644033", "995301528553644033")</f>
        <v/>
      </c>
      <c r="B786" s="2" t="n">
        <v>43232.58043981482</v>
      </c>
      <c r="C786" t="n">
        <v>8</v>
      </c>
      <c r="D786" t="n">
        <v>5</v>
      </c>
      <c r="E786" t="s">
        <v>796</v>
      </c>
      <c r="F786" t="s"/>
      <c r="G786" t="s"/>
      <c r="H786" t="s"/>
      <c r="I786" t="s"/>
      <c r="J786" t="n">
        <v>0</v>
      </c>
      <c r="K786" t="n">
        <v>0</v>
      </c>
      <c r="L786" t="n">
        <v>1</v>
      </c>
      <c r="M786" t="n">
        <v>0</v>
      </c>
    </row>
    <row r="787" spans="1:13">
      <c r="A787" s="1">
        <f>HYPERLINK("http://www.twitter.com/NathanBLawrence/status/995300879908724736", "995300879908724736")</f>
        <v/>
      </c>
      <c r="B787" s="2" t="n">
        <v>43232.57865740741</v>
      </c>
      <c r="C787" t="n">
        <v>0</v>
      </c>
      <c r="D787" t="n">
        <v>56</v>
      </c>
      <c r="E787" t="s">
        <v>797</v>
      </c>
      <c r="F787" t="s"/>
      <c r="G787" t="s"/>
      <c r="H787" t="s"/>
      <c r="I787" t="s"/>
      <c r="J787" t="n">
        <v>0</v>
      </c>
      <c r="K787" t="n">
        <v>0</v>
      </c>
      <c r="L787" t="n">
        <v>1</v>
      </c>
      <c r="M787" t="n">
        <v>0</v>
      </c>
    </row>
    <row r="788" spans="1:13">
      <c r="A788" s="1">
        <f>HYPERLINK("http://www.twitter.com/NathanBLawrence/status/995300827911909377", "995300827911909377")</f>
        <v/>
      </c>
      <c r="B788" s="2" t="n">
        <v>43232.57850694445</v>
      </c>
      <c r="C788" t="n">
        <v>6</v>
      </c>
      <c r="D788" t="n">
        <v>4</v>
      </c>
      <c r="E788" t="s">
        <v>798</v>
      </c>
      <c r="F788" t="s"/>
      <c r="G788" t="s"/>
      <c r="H788" t="s"/>
      <c r="I788" t="s"/>
      <c r="J788" t="n">
        <v>0</v>
      </c>
      <c r="K788" t="n">
        <v>0</v>
      </c>
      <c r="L788" t="n">
        <v>1</v>
      </c>
      <c r="M788" t="n">
        <v>0</v>
      </c>
    </row>
    <row r="789" spans="1:13">
      <c r="A789" s="1">
        <f>HYPERLINK("http://www.twitter.com/NathanBLawrence/status/995300447123595264", "995300447123595264")</f>
        <v/>
      </c>
      <c r="B789" s="2" t="n">
        <v>43232.57746527778</v>
      </c>
      <c r="C789" t="n">
        <v>8</v>
      </c>
      <c r="D789" t="n">
        <v>6</v>
      </c>
      <c r="E789" t="s">
        <v>799</v>
      </c>
      <c r="F789" t="s"/>
      <c r="G789" t="s"/>
      <c r="H789" t="s"/>
      <c r="I789" t="s"/>
      <c r="J789" t="n">
        <v>0.1027</v>
      </c>
      <c r="K789" t="n">
        <v>0.075</v>
      </c>
      <c r="L789" t="n">
        <v>0.8169999999999999</v>
      </c>
      <c r="M789" t="n">
        <v>0.108</v>
      </c>
    </row>
    <row r="790" spans="1:13">
      <c r="A790" s="1">
        <f>HYPERLINK("http://www.twitter.com/NathanBLawrence/status/995298014125273088", "995298014125273088")</f>
        <v/>
      </c>
      <c r="B790" s="2" t="n">
        <v>43232.57074074074</v>
      </c>
      <c r="C790" t="n">
        <v>24</v>
      </c>
      <c r="D790" t="n">
        <v>19</v>
      </c>
      <c r="E790" t="s">
        <v>800</v>
      </c>
      <c r="F790" t="s"/>
      <c r="G790" t="s"/>
      <c r="H790" t="s"/>
      <c r="I790" t="s"/>
      <c r="J790" t="n">
        <v>-0.4019</v>
      </c>
      <c r="K790" t="n">
        <v>0.094</v>
      </c>
      <c r="L790" t="n">
        <v>0.906</v>
      </c>
      <c r="M790" t="n">
        <v>0</v>
      </c>
    </row>
    <row r="791" spans="1:13">
      <c r="A791" s="1">
        <f>HYPERLINK("http://www.twitter.com/NathanBLawrence/status/995297268625477637", "995297268625477637")</f>
        <v/>
      </c>
      <c r="B791" s="2" t="n">
        <v>43232.56869212963</v>
      </c>
      <c r="C791" t="n">
        <v>0</v>
      </c>
      <c r="D791" t="n">
        <v>6</v>
      </c>
      <c r="E791" t="s">
        <v>801</v>
      </c>
      <c r="F791" t="s"/>
      <c r="G791" t="s"/>
      <c r="H791" t="s"/>
      <c r="I791" t="s"/>
      <c r="J791" t="n">
        <v>0</v>
      </c>
      <c r="K791" t="n">
        <v>0</v>
      </c>
      <c r="L791" t="n">
        <v>1</v>
      </c>
      <c r="M791" t="n">
        <v>0</v>
      </c>
    </row>
    <row r="792" spans="1:13">
      <c r="A792" s="1">
        <f>HYPERLINK("http://www.twitter.com/NathanBLawrence/status/995297250384465920", "995297250384465920")</f>
        <v/>
      </c>
      <c r="B792" s="2" t="n">
        <v>43232.56863425926</v>
      </c>
      <c r="C792" t="n">
        <v>0</v>
      </c>
      <c r="D792" t="n">
        <v>17</v>
      </c>
      <c r="E792" t="s">
        <v>802</v>
      </c>
      <c r="F792">
        <f>HYPERLINK("http://pbs.twimg.com/media/Dc_3OMiXkAAaUt5.jpg", "http://pbs.twimg.com/media/Dc_3OMiXkAAaUt5.jpg")</f>
        <v/>
      </c>
      <c r="G792" t="s"/>
      <c r="H792" t="s"/>
      <c r="I792" t="s"/>
      <c r="J792" t="n">
        <v>0</v>
      </c>
      <c r="K792" t="n">
        <v>0</v>
      </c>
      <c r="L792" t="n">
        <v>1</v>
      </c>
      <c r="M792" t="n">
        <v>0</v>
      </c>
    </row>
    <row r="793" spans="1:13">
      <c r="A793" s="1">
        <f>HYPERLINK("http://www.twitter.com/NathanBLawrence/status/995271441061949440", "995271441061949440")</f>
        <v/>
      </c>
      <c r="B793" s="2" t="n">
        <v>43232.49741898148</v>
      </c>
      <c r="C793" t="n">
        <v>0</v>
      </c>
      <c r="D793" t="n">
        <v>23</v>
      </c>
      <c r="E793" t="s">
        <v>803</v>
      </c>
      <c r="F793" t="s"/>
      <c r="G793" t="s"/>
      <c r="H793" t="s"/>
      <c r="I793" t="s"/>
      <c r="J793" t="n">
        <v>0</v>
      </c>
      <c r="K793" t="n">
        <v>0</v>
      </c>
      <c r="L793" t="n">
        <v>1</v>
      </c>
      <c r="M793" t="n">
        <v>0</v>
      </c>
    </row>
    <row r="794" spans="1:13">
      <c r="A794" s="1">
        <f>HYPERLINK("http://www.twitter.com/NathanBLawrence/status/995271301924294656", "995271301924294656")</f>
        <v/>
      </c>
      <c r="B794" s="2" t="n">
        <v>43232.49703703704</v>
      </c>
      <c r="C794" t="n">
        <v>0</v>
      </c>
      <c r="D794" t="n">
        <v>2</v>
      </c>
      <c r="E794" t="s">
        <v>804</v>
      </c>
      <c r="F794" t="s"/>
      <c r="G794" t="s"/>
      <c r="H794" t="s"/>
      <c r="I794" t="s"/>
      <c r="J794" t="n">
        <v>0</v>
      </c>
      <c r="K794" t="n">
        <v>0</v>
      </c>
      <c r="L794" t="n">
        <v>1</v>
      </c>
      <c r="M794" t="n">
        <v>0</v>
      </c>
    </row>
    <row r="795" spans="1:13">
      <c r="A795" s="1">
        <f>HYPERLINK("http://www.twitter.com/NathanBLawrence/status/995271061196410880", "995271061196410880")</f>
        <v/>
      </c>
      <c r="B795" s="2" t="n">
        <v>43232.49636574074</v>
      </c>
      <c r="C795" t="n">
        <v>0</v>
      </c>
      <c r="D795" t="n">
        <v>8</v>
      </c>
      <c r="E795" t="s">
        <v>805</v>
      </c>
      <c r="F795" t="s"/>
      <c r="G795" t="s"/>
      <c r="H795" t="s"/>
      <c r="I795" t="s"/>
      <c r="J795" t="n">
        <v>0</v>
      </c>
      <c r="K795" t="n">
        <v>0</v>
      </c>
      <c r="L795" t="n">
        <v>1</v>
      </c>
      <c r="M795" t="n">
        <v>0</v>
      </c>
    </row>
    <row r="796" spans="1:13">
      <c r="A796" s="1">
        <f>HYPERLINK("http://www.twitter.com/NathanBLawrence/status/995270548501549058", "995270548501549058")</f>
        <v/>
      </c>
      <c r="B796" s="2" t="n">
        <v>43232.4949537037</v>
      </c>
      <c r="C796" t="n">
        <v>0</v>
      </c>
      <c r="D796" t="n">
        <v>8</v>
      </c>
      <c r="E796" t="s">
        <v>804</v>
      </c>
      <c r="F796" t="s"/>
      <c r="G796" t="s"/>
      <c r="H796" t="s"/>
      <c r="I796" t="s"/>
      <c r="J796" t="n">
        <v>0</v>
      </c>
      <c r="K796" t="n">
        <v>0</v>
      </c>
      <c r="L796" t="n">
        <v>1</v>
      </c>
      <c r="M796" t="n">
        <v>0</v>
      </c>
    </row>
    <row r="797" spans="1:13">
      <c r="A797" s="1">
        <f>HYPERLINK("http://www.twitter.com/NathanBLawrence/status/995260210422992897", "995260210422992897")</f>
        <v/>
      </c>
      <c r="B797" s="2" t="n">
        <v>43232.46642361111</v>
      </c>
      <c r="C797" t="n">
        <v>0</v>
      </c>
      <c r="D797" t="n">
        <v>6</v>
      </c>
      <c r="E797" t="s">
        <v>806</v>
      </c>
      <c r="F797" t="s"/>
      <c r="G797" t="s"/>
      <c r="H797" t="s"/>
      <c r="I797" t="s"/>
      <c r="J797" t="n">
        <v>0</v>
      </c>
      <c r="K797" t="n">
        <v>0</v>
      </c>
      <c r="L797" t="n">
        <v>1</v>
      </c>
      <c r="M797" t="n">
        <v>0</v>
      </c>
    </row>
    <row r="798" spans="1:13">
      <c r="A798" s="1">
        <f>HYPERLINK("http://www.twitter.com/NathanBLawrence/status/995260044081029120", "995260044081029120")</f>
        <v/>
      </c>
      <c r="B798" s="2" t="n">
        <v>43232.46597222222</v>
      </c>
      <c r="C798" t="n">
        <v>8</v>
      </c>
      <c r="D798" t="n">
        <v>6</v>
      </c>
      <c r="E798" t="s">
        <v>807</v>
      </c>
      <c r="F798" t="s"/>
      <c r="G798" t="s"/>
      <c r="H798" t="s"/>
      <c r="I798" t="s"/>
      <c r="J798" t="n">
        <v>0</v>
      </c>
      <c r="K798" t="n">
        <v>0</v>
      </c>
      <c r="L798" t="n">
        <v>1</v>
      </c>
      <c r="M798" t="n">
        <v>0</v>
      </c>
    </row>
    <row r="799" spans="1:13">
      <c r="A799" s="1">
        <f>HYPERLINK("http://www.twitter.com/NathanBLawrence/status/995259649954861056", "995259649954861056")</f>
        <v/>
      </c>
      <c r="B799" s="2" t="n">
        <v>43232.46488425926</v>
      </c>
      <c r="C799" t="n">
        <v>6</v>
      </c>
      <c r="D799" t="n">
        <v>1</v>
      </c>
      <c r="E799" t="s">
        <v>808</v>
      </c>
      <c r="F799" t="s"/>
      <c r="G799" t="s"/>
      <c r="H799" t="s"/>
      <c r="I799" t="s"/>
      <c r="J799" t="n">
        <v>0.3612</v>
      </c>
      <c r="K799" t="n">
        <v>0</v>
      </c>
      <c r="L799" t="n">
        <v>0.9429999999999999</v>
      </c>
      <c r="M799" t="n">
        <v>0.057</v>
      </c>
    </row>
    <row r="800" spans="1:13">
      <c r="A800" s="1">
        <f>HYPERLINK("http://www.twitter.com/NathanBLawrence/status/995259395067056130", "995259395067056130")</f>
        <v/>
      </c>
      <c r="B800" s="2" t="n">
        <v>43232.46417824074</v>
      </c>
      <c r="C800" t="n">
        <v>0</v>
      </c>
      <c r="D800" t="n">
        <v>17</v>
      </c>
      <c r="E800" t="s">
        <v>809</v>
      </c>
      <c r="F800" t="s"/>
      <c r="G800" t="s"/>
      <c r="H800" t="s"/>
      <c r="I800" t="s"/>
      <c r="J800" t="n">
        <v>0</v>
      </c>
      <c r="K800" t="n">
        <v>0</v>
      </c>
      <c r="L800" t="n">
        <v>1</v>
      </c>
      <c r="M800" t="n">
        <v>0</v>
      </c>
    </row>
    <row r="801" spans="1:13">
      <c r="A801" s="1">
        <f>HYPERLINK("http://www.twitter.com/NathanBLawrence/status/995259264536055808", "995259264536055808")</f>
        <v/>
      </c>
      <c r="B801" s="2" t="n">
        <v>43232.46381944444</v>
      </c>
      <c r="C801" t="n">
        <v>17</v>
      </c>
      <c r="D801" t="n">
        <v>10</v>
      </c>
      <c r="E801" t="s">
        <v>810</v>
      </c>
      <c r="F801" t="s"/>
      <c r="G801" t="s"/>
      <c r="H801" t="s"/>
      <c r="I801" t="s"/>
      <c r="J801" t="n">
        <v>0.7845</v>
      </c>
      <c r="K801" t="n">
        <v>0</v>
      </c>
      <c r="L801" t="n">
        <v>0.896</v>
      </c>
      <c r="M801" t="n">
        <v>0.104</v>
      </c>
    </row>
    <row r="802" spans="1:13">
      <c r="A802" s="1">
        <f>HYPERLINK("http://www.twitter.com/NathanBLawrence/status/995257846492291072", "995257846492291072")</f>
        <v/>
      </c>
      <c r="B802" s="2" t="n">
        <v>43232.45990740741</v>
      </c>
      <c r="C802" t="n">
        <v>0</v>
      </c>
      <c r="D802" t="n">
        <v>24</v>
      </c>
      <c r="E802" t="s">
        <v>811</v>
      </c>
      <c r="F802" t="s"/>
      <c r="G802" t="s"/>
      <c r="H802" t="s"/>
      <c r="I802" t="s"/>
      <c r="J802" t="n">
        <v>0</v>
      </c>
      <c r="K802" t="n">
        <v>0</v>
      </c>
      <c r="L802" t="n">
        <v>1</v>
      </c>
      <c r="M802" t="n">
        <v>0</v>
      </c>
    </row>
    <row r="803" spans="1:13">
      <c r="A803" s="1">
        <f>HYPERLINK("http://www.twitter.com/NathanBLawrence/status/995257816238698496", "995257816238698496")</f>
        <v/>
      </c>
      <c r="B803" s="2" t="n">
        <v>43232.45982638889</v>
      </c>
      <c r="C803" t="n">
        <v>8</v>
      </c>
      <c r="D803" t="n">
        <v>4</v>
      </c>
      <c r="E803" t="s">
        <v>812</v>
      </c>
      <c r="F803" t="s"/>
      <c r="G803" t="s"/>
      <c r="H803" t="s"/>
      <c r="I803" t="s"/>
      <c r="J803" t="n">
        <v>0</v>
      </c>
      <c r="K803" t="n">
        <v>0</v>
      </c>
      <c r="L803" t="n">
        <v>1</v>
      </c>
      <c r="M803" t="n">
        <v>0</v>
      </c>
    </row>
    <row r="804" spans="1:13">
      <c r="A804" s="1">
        <f>HYPERLINK("http://www.twitter.com/NathanBLawrence/status/995257661116551168", "995257661116551168")</f>
        <v/>
      </c>
      <c r="B804" s="2" t="n">
        <v>43232.45939814814</v>
      </c>
      <c r="C804" t="n">
        <v>0</v>
      </c>
      <c r="D804" t="n">
        <v>113</v>
      </c>
      <c r="E804" t="s">
        <v>813</v>
      </c>
      <c r="F804">
        <f>HYPERLINK("http://pbs.twimg.com/media/Dc-VA5uVMAEk9aW.jpg", "http://pbs.twimg.com/media/Dc-VA5uVMAEk9aW.jpg")</f>
        <v/>
      </c>
      <c r="G804" t="s"/>
      <c r="H804" t="s"/>
      <c r="I804" t="s"/>
      <c r="J804" t="n">
        <v>0</v>
      </c>
      <c r="K804" t="n">
        <v>0</v>
      </c>
      <c r="L804" t="n">
        <v>1</v>
      </c>
      <c r="M804" t="n">
        <v>0</v>
      </c>
    </row>
    <row r="805" spans="1:13">
      <c r="A805" s="1">
        <f>HYPERLINK("http://www.twitter.com/NathanBLawrence/status/995165764356329472", "995165764356329472")</f>
        <v/>
      </c>
      <c r="B805" s="2" t="n">
        <v>43232.20581018519</v>
      </c>
      <c r="C805" t="n">
        <v>0</v>
      </c>
      <c r="D805" t="n">
        <v>11</v>
      </c>
      <c r="E805" t="s">
        <v>814</v>
      </c>
      <c r="F805" t="s"/>
      <c r="G805" t="s"/>
      <c r="H805" t="s"/>
      <c r="I805" t="s"/>
      <c r="J805" t="n">
        <v>0</v>
      </c>
      <c r="K805" t="n">
        <v>0</v>
      </c>
      <c r="L805" t="n">
        <v>1</v>
      </c>
      <c r="M805" t="n">
        <v>0</v>
      </c>
    </row>
    <row r="806" spans="1:13">
      <c r="A806" s="1">
        <f>HYPERLINK("http://www.twitter.com/NathanBLawrence/status/995165551935873025", "995165551935873025")</f>
        <v/>
      </c>
      <c r="B806" s="2" t="n">
        <v>43232.20521990741</v>
      </c>
      <c r="C806" t="n">
        <v>2</v>
      </c>
      <c r="D806" t="n">
        <v>1</v>
      </c>
      <c r="E806" t="s">
        <v>815</v>
      </c>
      <c r="F806" t="s"/>
      <c r="G806" t="s"/>
      <c r="H806" t="s"/>
      <c r="I806" t="s"/>
      <c r="J806" t="n">
        <v>0</v>
      </c>
      <c r="K806" t="n">
        <v>0</v>
      </c>
      <c r="L806" t="n">
        <v>1</v>
      </c>
      <c r="M806" t="n">
        <v>0</v>
      </c>
    </row>
    <row r="807" spans="1:13">
      <c r="A807" s="1">
        <f>HYPERLINK("http://www.twitter.com/NathanBLawrence/status/995165407156809728", "995165407156809728")</f>
        <v/>
      </c>
      <c r="B807" s="2" t="n">
        <v>43232.20482638889</v>
      </c>
      <c r="C807" t="n">
        <v>0</v>
      </c>
      <c r="D807" t="n">
        <v>39</v>
      </c>
      <c r="E807" t="s">
        <v>816</v>
      </c>
      <c r="F807" t="s"/>
      <c r="G807" t="s"/>
      <c r="H807" t="s"/>
      <c r="I807" t="s"/>
      <c r="J807" t="n">
        <v>0</v>
      </c>
      <c r="K807" t="n">
        <v>0</v>
      </c>
      <c r="L807" t="n">
        <v>1</v>
      </c>
      <c r="M807" t="n">
        <v>0</v>
      </c>
    </row>
    <row r="808" spans="1:13">
      <c r="A808" s="1">
        <f>HYPERLINK("http://www.twitter.com/NathanBLawrence/status/995116731415912448", "995116731415912448")</f>
        <v/>
      </c>
      <c r="B808" s="2" t="n">
        <v>43232.07049768518</v>
      </c>
      <c r="C808" t="n">
        <v>1</v>
      </c>
      <c r="D808" t="n">
        <v>0</v>
      </c>
      <c r="E808" t="s">
        <v>817</v>
      </c>
      <c r="F808" t="s"/>
      <c r="G808" t="s"/>
      <c r="H808" t="s"/>
      <c r="I808" t="s"/>
      <c r="J808" t="n">
        <v>0.2732</v>
      </c>
      <c r="K808" t="n">
        <v>0</v>
      </c>
      <c r="L808" t="n">
        <v>0.861</v>
      </c>
      <c r="M808" t="n">
        <v>0.139</v>
      </c>
    </row>
    <row r="809" spans="1:13">
      <c r="A809" s="1">
        <f>HYPERLINK("http://www.twitter.com/NathanBLawrence/status/995116523718172672", "995116523718172672")</f>
        <v/>
      </c>
      <c r="B809" s="2" t="n">
        <v>43232.06993055555</v>
      </c>
      <c r="C809" t="n">
        <v>0</v>
      </c>
      <c r="D809" t="n">
        <v>3</v>
      </c>
      <c r="E809" t="s">
        <v>818</v>
      </c>
      <c r="F809" t="s"/>
      <c r="G809" t="s"/>
      <c r="H809" t="s"/>
      <c r="I809" t="s"/>
      <c r="J809" t="n">
        <v>0</v>
      </c>
      <c r="K809" t="n">
        <v>0</v>
      </c>
      <c r="L809" t="n">
        <v>1</v>
      </c>
      <c r="M809" t="n">
        <v>0</v>
      </c>
    </row>
    <row r="810" spans="1:13">
      <c r="A810" s="1">
        <f>HYPERLINK("http://www.twitter.com/NathanBLawrence/status/995116191843848192", "995116191843848192")</f>
        <v/>
      </c>
      <c r="B810" s="2" t="n">
        <v>43232.06901620371</v>
      </c>
      <c r="C810" t="n">
        <v>4</v>
      </c>
      <c r="D810" t="n">
        <v>0</v>
      </c>
      <c r="E810" t="s">
        <v>819</v>
      </c>
      <c r="F810" t="s"/>
      <c r="G810" t="s"/>
      <c r="H810" t="s"/>
      <c r="I810" t="s"/>
      <c r="J810" t="n">
        <v>-0.296</v>
      </c>
      <c r="K810" t="n">
        <v>0.059</v>
      </c>
      <c r="L810" t="n">
        <v>0.9409999999999999</v>
      </c>
      <c r="M810" t="n">
        <v>0</v>
      </c>
    </row>
    <row r="811" spans="1:13">
      <c r="A811" s="1">
        <f>HYPERLINK("http://www.twitter.com/NathanBLawrence/status/995116121807257605", "995116121807257605")</f>
        <v/>
      </c>
      <c r="B811" s="2" t="n">
        <v>43232.06881944444</v>
      </c>
      <c r="C811" t="n">
        <v>0</v>
      </c>
      <c r="D811" t="n">
        <v>7</v>
      </c>
      <c r="E811" t="s">
        <v>820</v>
      </c>
      <c r="F811">
        <f>HYPERLINK("http://pbs.twimg.com/media/Dc9cpELWsAUYUKh.jpg", "http://pbs.twimg.com/media/Dc9cpELWsAUYUKh.jpg")</f>
        <v/>
      </c>
      <c r="G811" t="s"/>
      <c r="H811" t="s"/>
      <c r="I811" t="s"/>
      <c r="J811" t="n">
        <v>0</v>
      </c>
      <c r="K811" t="n">
        <v>0</v>
      </c>
      <c r="L811" t="n">
        <v>1</v>
      </c>
      <c r="M811" t="n">
        <v>0</v>
      </c>
    </row>
    <row r="812" spans="1:13">
      <c r="A812" s="1">
        <f>HYPERLINK("http://www.twitter.com/NathanBLawrence/status/995115840445079552", "995115840445079552")</f>
        <v/>
      </c>
      <c r="B812" s="2" t="n">
        <v>43232.06804398148</v>
      </c>
      <c r="C812" t="n">
        <v>0</v>
      </c>
      <c r="D812" t="n">
        <v>1717</v>
      </c>
      <c r="E812" t="s">
        <v>821</v>
      </c>
      <c r="F812">
        <f>HYPERLINK("http://pbs.twimg.com/media/Dc9bagDUQAElnwL.jpg", "http://pbs.twimg.com/media/Dc9bagDUQAElnwL.jpg")</f>
        <v/>
      </c>
      <c r="G812" t="s"/>
      <c r="H812" t="s"/>
      <c r="I812" t="s"/>
      <c r="J812" t="n">
        <v>0</v>
      </c>
      <c r="K812" t="n">
        <v>0</v>
      </c>
      <c r="L812" t="n">
        <v>1</v>
      </c>
      <c r="M812" t="n">
        <v>0</v>
      </c>
    </row>
    <row r="813" spans="1:13">
      <c r="A813" s="1">
        <f>HYPERLINK("http://www.twitter.com/NathanBLawrence/status/995113371543523329", "995113371543523329")</f>
        <v/>
      </c>
      <c r="B813" s="2" t="n">
        <v>43232.06122685185</v>
      </c>
      <c r="C813" t="n">
        <v>0</v>
      </c>
      <c r="D813" t="n">
        <v>56</v>
      </c>
      <c r="E813" t="s">
        <v>822</v>
      </c>
      <c r="F813">
        <f>HYPERLINK("http://pbs.twimg.com/media/Dc7t4gPUQAEc9Wh.jpg", "http://pbs.twimg.com/media/Dc7t4gPUQAEc9Wh.jpg")</f>
        <v/>
      </c>
      <c r="G813" t="s"/>
      <c r="H813" t="s"/>
      <c r="I813" t="s"/>
      <c r="J813" t="n">
        <v>0</v>
      </c>
      <c r="K813" t="n">
        <v>0</v>
      </c>
      <c r="L813" t="n">
        <v>1</v>
      </c>
      <c r="M813" t="n">
        <v>0</v>
      </c>
    </row>
    <row r="814" spans="1:13">
      <c r="A814" s="1">
        <f>HYPERLINK("http://www.twitter.com/NathanBLawrence/status/995113177561124864", "995113177561124864")</f>
        <v/>
      </c>
      <c r="B814" s="2" t="n">
        <v>43232.06069444444</v>
      </c>
      <c r="C814" t="n">
        <v>0</v>
      </c>
      <c r="D814" t="n">
        <v>8</v>
      </c>
      <c r="E814" t="s">
        <v>823</v>
      </c>
      <c r="F814">
        <f>HYPERLINK("http://pbs.twimg.com/media/Dc9aHf3UQAE7oNU.jpg", "http://pbs.twimg.com/media/Dc9aHf3UQAE7oNU.jpg")</f>
        <v/>
      </c>
      <c r="G814" t="s"/>
      <c r="H814" t="s"/>
      <c r="I814" t="s"/>
      <c r="J814" t="n">
        <v>0.6705</v>
      </c>
      <c r="K814" t="n">
        <v>0.079</v>
      </c>
      <c r="L814" t="n">
        <v>0.681</v>
      </c>
      <c r="M814" t="n">
        <v>0.24</v>
      </c>
    </row>
    <row r="815" spans="1:13">
      <c r="A815" s="1">
        <f>HYPERLINK("http://www.twitter.com/NathanBLawrence/status/995113134993100800", "995113134993100800")</f>
        <v/>
      </c>
      <c r="B815" s="2" t="n">
        <v>43232.06057870371</v>
      </c>
      <c r="C815" t="n">
        <v>19</v>
      </c>
      <c r="D815" t="n">
        <v>8</v>
      </c>
      <c r="E815" t="s">
        <v>824</v>
      </c>
      <c r="F815">
        <f>HYPERLINK("http://pbs.twimg.com/media/Dc9aHf3UQAE7oNU.jpg", "http://pbs.twimg.com/media/Dc9aHf3UQAE7oNU.jpg")</f>
        <v/>
      </c>
      <c r="G815" t="s"/>
      <c r="H815" t="s"/>
      <c r="I815" t="s"/>
      <c r="J815" t="n">
        <v>0.9349</v>
      </c>
      <c r="K815" t="n">
        <v>0.043</v>
      </c>
      <c r="L815" t="n">
        <v>0.632</v>
      </c>
      <c r="M815" t="n">
        <v>0.324</v>
      </c>
    </row>
    <row r="816" spans="1:13">
      <c r="A816" s="1">
        <f>HYPERLINK("http://www.twitter.com/NathanBLawrence/status/995111644475920384", "995111644475920384")</f>
        <v/>
      </c>
      <c r="B816" s="2" t="n">
        <v>43232.05645833333</v>
      </c>
      <c r="C816" t="n">
        <v>0</v>
      </c>
      <c r="D816" t="n">
        <v>2991</v>
      </c>
      <c r="E816" t="s">
        <v>825</v>
      </c>
      <c r="F816">
        <f>HYPERLINK("http://pbs.twimg.com/media/Dc8dusPUwAALs2W.jpg", "http://pbs.twimg.com/media/Dc8dusPUwAALs2W.jpg")</f>
        <v/>
      </c>
      <c r="G816" t="s"/>
      <c r="H816" t="s"/>
      <c r="I816" t="s"/>
      <c r="J816" t="n">
        <v>0.8126</v>
      </c>
      <c r="K816" t="n">
        <v>0</v>
      </c>
      <c r="L816" t="n">
        <v>0.739</v>
      </c>
      <c r="M816" t="n">
        <v>0.261</v>
      </c>
    </row>
    <row r="817" spans="1:13">
      <c r="A817" s="1">
        <f>HYPERLINK("http://www.twitter.com/NathanBLawrence/status/995111567359397889", "995111567359397889")</f>
        <v/>
      </c>
      <c r="B817" s="2" t="n">
        <v>43232.05625</v>
      </c>
      <c r="C817" t="n">
        <v>0</v>
      </c>
      <c r="D817" t="n">
        <v>378</v>
      </c>
      <c r="E817" t="s">
        <v>826</v>
      </c>
      <c r="F817">
        <f>HYPERLINK("https://video.twimg.com/ext_tw_video/988600641344954368/pu/vid/720x1280/zppIBrILg7MA2oVD.mp4?tag=3", "https://video.twimg.com/ext_tw_video/988600641344954368/pu/vid/720x1280/zppIBrILg7MA2oVD.mp4?tag=3")</f>
        <v/>
      </c>
      <c r="G817" t="s"/>
      <c r="H817" t="s"/>
      <c r="I817" t="s"/>
      <c r="J817" t="n">
        <v>-0.9514</v>
      </c>
      <c r="K817" t="n">
        <v>0.499</v>
      </c>
      <c r="L817" t="n">
        <v>0.501</v>
      </c>
      <c r="M817" t="n">
        <v>0</v>
      </c>
    </row>
    <row r="818" spans="1:13">
      <c r="A818" s="1">
        <f>HYPERLINK("http://www.twitter.com/NathanBLawrence/status/995111522929082368", "995111522929082368")</f>
        <v/>
      </c>
      <c r="B818" s="2" t="n">
        <v>43232.05613425926</v>
      </c>
      <c r="C818" t="n">
        <v>0</v>
      </c>
      <c r="D818" t="n">
        <v>18343</v>
      </c>
      <c r="E818" t="s">
        <v>827</v>
      </c>
      <c r="F818">
        <f>HYPERLINK("https://video.twimg.com/ext_tw_video/994933493728776193/pu/vid/720x1280/SeCe1lhYySEv-fP4.mp4?tag=3", "https://video.twimg.com/ext_tw_video/994933493728776193/pu/vid/720x1280/SeCe1lhYySEv-fP4.mp4?tag=3")</f>
        <v/>
      </c>
      <c r="G818" t="s"/>
      <c r="H818" t="s"/>
      <c r="I818" t="s"/>
      <c r="J818" t="n">
        <v>0</v>
      </c>
      <c r="K818" t="n">
        <v>0</v>
      </c>
      <c r="L818" t="n">
        <v>1</v>
      </c>
      <c r="M818" t="n">
        <v>0</v>
      </c>
    </row>
    <row r="819" spans="1:13">
      <c r="A819" s="1">
        <f>HYPERLINK("http://www.twitter.com/NathanBLawrence/status/995111485432107008", "995111485432107008")</f>
        <v/>
      </c>
      <c r="B819" s="2" t="n">
        <v>43232.05603009259</v>
      </c>
      <c r="C819" t="n">
        <v>0</v>
      </c>
      <c r="D819" t="n">
        <v>373</v>
      </c>
      <c r="E819" t="s">
        <v>828</v>
      </c>
      <c r="F819" t="s"/>
      <c r="G819" t="s"/>
      <c r="H819" t="s"/>
      <c r="I819" t="s"/>
      <c r="J819" t="n">
        <v>0</v>
      </c>
      <c r="K819" t="n">
        <v>0</v>
      </c>
      <c r="L819" t="n">
        <v>1</v>
      </c>
      <c r="M819" t="n">
        <v>0</v>
      </c>
    </row>
    <row r="820" spans="1:13">
      <c r="A820" s="1">
        <f>HYPERLINK("http://www.twitter.com/NathanBLawrence/status/995111468411621376", "995111468411621376")</f>
        <v/>
      </c>
      <c r="B820" s="2" t="n">
        <v>43232.05598379629</v>
      </c>
      <c r="C820" t="n">
        <v>0</v>
      </c>
      <c r="D820" t="n">
        <v>6</v>
      </c>
      <c r="E820" t="s">
        <v>829</v>
      </c>
      <c r="F820" t="s"/>
      <c r="G820" t="s"/>
      <c r="H820" t="s"/>
      <c r="I820" t="s"/>
      <c r="J820" t="n">
        <v>0.7717000000000001</v>
      </c>
      <c r="K820" t="n">
        <v>0</v>
      </c>
      <c r="L820" t="n">
        <v>0.66</v>
      </c>
      <c r="M820" t="n">
        <v>0.34</v>
      </c>
    </row>
    <row r="821" spans="1:13">
      <c r="A821" s="1">
        <f>HYPERLINK("http://www.twitter.com/NathanBLawrence/status/995111245899599872", "995111245899599872")</f>
        <v/>
      </c>
      <c r="B821" s="2" t="n">
        <v>43232.05535879629</v>
      </c>
      <c r="C821" t="n">
        <v>0</v>
      </c>
      <c r="D821" t="n">
        <v>1703</v>
      </c>
      <c r="E821" t="s">
        <v>830</v>
      </c>
      <c r="F821">
        <f>HYPERLINK("http://pbs.twimg.com/media/Dc6H2nwW0AEYdIi.jpg", "http://pbs.twimg.com/media/Dc6H2nwW0AEYdIi.jpg")</f>
        <v/>
      </c>
      <c r="G821" t="s"/>
      <c r="H821" t="s"/>
      <c r="I821" t="s"/>
      <c r="J821" t="n">
        <v>0</v>
      </c>
      <c r="K821" t="n">
        <v>0</v>
      </c>
      <c r="L821" t="n">
        <v>1</v>
      </c>
      <c r="M821" t="n">
        <v>0</v>
      </c>
    </row>
    <row r="822" spans="1:13">
      <c r="A822" s="1">
        <f>HYPERLINK("http://www.twitter.com/NathanBLawrence/status/995081959616458752", "995081959616458752")</f>
        <v/>
      </c>
      <c r="B822" s="2" t="n">
        <v>43231.97454861111</v>
      </c>
      <c r="C822" t="n">
        <v>0</v>
      </c>
      <c r="D822" t="n">
        <v>4</v>
      </c>
      <c r="E822" t="s">
        <v>831</v>
      </c>
      <c r="F822" t="s"/>
      <c r="G822" t="s"/>
      <c r="H822" t="s"/>
      <c r="I822" t="s"/>
      <c r="J822" t="n">
        <v>0.3182</v>
      </c>
      <c r="K822" t="n">
        <v>0</v>
      </c>
      <c r="L822" t="n">
        <v>0.874</v>
      </c>
      <c r="M822" t="n">
        <v>0.126</v>
      </c>
    </row>
    <row r="823" spans="1:13">
      <c r="A823" s="1">
        <f>HYPERLINK("http://www.twitter.com/NathanBLawrence/status/995081868197449730", "995081868197449730")</f>
        <v/>
      </c>
      <c r="B823" s="2" t="n">
        <v>43231.97429398148</v>
      </c>
      <c r="C823" t="n">
        <v>0</v>
      </c>
      <c r="D823" t="n">
        <v>329</v>
      </c>
      <c r="E823" t="s">
        <v>832</v>
      </c>
      <c r="F823" t="s"/>
      <c r="G823" t="s"/>
      <c r="H823" t="s"/>
      <c r="I823" t="s"/>
      <c r="J823" t="n">
        <v>0.296</v>
      </c>
      <c r="K823" t="n">
        <v>0</v>
      </c>
      <c r="L823" t="n">
        <v>0.913</v>
      </c>
      <c r="M823" t="n">
        <v>0.08699999999999999</v>
      </c>
    </row>
    <row r="824" spans="1:13">
      <c r="A824" s="1">
        <f>HYPERLINK("http://www.twitter.com/NathanBLawrence/status/995081716367790080", "995081716367790080")</f>
        <v/>
      </c>
      <c r="B824" s="2" t="n">
        <v>43231.97387731481</v>
      </c>
      <c r="C824" t="n">
        <v>0</v>
      </c>
      <c r="D824" t="n">
        <v>2</v>
      </c>
      <c r="E824" t="s">
        <v>833</v>
      </c>
      <c r="F824" t="s"/>
      <c r="G824" t="s"/>
      <c r="H824" t="s"/>
      <c r="I824" t="s"/>
      <c r="J824" t="n">
        <v>-0.8957000000000001</v>
      </c>
      <c r="K824" t="n">
        <v>0.341</v>
      </c>
      <c r="L824" t="n">
        <v>0.597</v>
      </c>
      <c r="M824" t="n">
        <v>0.062</v>
      </c>
    </row>
    <row r="825" spans="1:13">
      <c r="A825" s="1">
        <f>HYPERLINK("http://www.twitter.com/NathanBLawrence/status/995081398468907009", "995081398468907009")</f>
        <v/>
      </c>
      <c r="B825" s="2" t="n">
        <v>43231.97299768519</v>
      </c>
      <c r="C825" t="n">
        <v>0</v>
      </c>
      <c r="D825" t="n">
        <v>23940</v>
      </c>
      <c r="E825" t="s">
        <v>834</v>
      </c>
      <c r="F825" t="s"/>
      <c r="G825" t="s"/>
      <c r="H825" t="s"/>
      <c r="I825" t="s"/>
      <c r="J825" t="n">
        <v>0</v>
      </c>
      <c r="K825" t="n">
        <v>0</v>
      </c>
      <c r="L825" t="n">
        <v>1</v>
      </c>
      <c r="M825" t="n">
        <v>0</v>
      </c>
    </row>
    <row r="826" spans="1:13">
      <c r="A826" s="1">
        <f>HYPERLINK("http://www.twitter.com/NathanBLawrence/status/995080871609819137", "995080871609819137")</f>
        <v/>
      </c>
      <c r="B826" s="2" t="n">
        <v>43231.97155092593</v>
      </c>
      <c r="C826" t="n">
        <v>0</v>
      </c>
      <c r="D826" t="n">
        <v>3</v>
      </c>
      <c r="E826" t="s">
        <v>835</v>
      </c>
      <c r="F826" t="s"/>
      <c r="G826" t="s"/>
      <c r="H826" t="s"/>
      <c r="I826" t="s"/>
      <c r="J826" t="n">
        <v>0.7027</v>
      </c>
      <c r="K826" t="n">
        <v>0</v>
      </c>
      <c r="L826" t="n">
        <v>0.744</v>
      </c>
      <c r="M826" t="n">
        <v>0.256</v>
      </c>
    </row>
    <row r="827" spans="1:13">
      <c r="A827" s="1">
        <f>HYPERLINK("http://www.twitter.com/NathanBLawrence/status/995066371343110145", "995066371343110145")</f>
        <v/>
      </c>
      <c r="B827" s="2" t="n">
        <v>43231.93153935186</v>
      </c>
      <c r="C827" t="n">
        <v>0</v>
      </c>
      <c r="D827" t="n">
        <v>1</v>
      </c>
      <c r="E827" t="s">
        <v>836</v>
      </c>
      <c r="F827" t="s"/>
      <c r="G827" t="s"/>
      <c r="H827" t="s"/>
      <c r="I827" t="s"/>
      <c r="J827" t="n">
        <v>0</v>
      </c>
      <c r="K827" t="n">
        <v>0</v>
      </c>
      <c r="L827" t="n">
        <v>1</v>
      </c>
      <c r="M827" t="n">
        <v>0</v>
      </c>
    </row>
    <row r="828" spans="1:13">
      <c r="A828" s="1">
        <f>HYPERLINK("http://www.twitter.com/NathanBLawrence/status/995066131495956481", "995066131495956481")</f>
        <v/>
      </c>
      <c r="B828" s="2" t="n">
        <v>43231.93086805556</v>
      </c>
      <c r="C828" t="n">
        <v>0</v>
      </c>
      <c r="D828" t="n">
        <v>3</v>
      </c>
      <c r="E828" t="s">
        <v>837</v>
      </c>
      <c r="F828">
        <f>HYPERLINK("http://pbs.twimg.com/media/Dc8uhhUUwAAnJL8.jpg", "http://pbs.twimg.com/media/Dc8uhhUUwAAnJL8.jpg")</f>
        <v/>
      </c>
      <c r="G828" t="s"/>
      <c r="H828" t="s"/>
      <c r="I828" t="s"/>
      <c r="J828" t="n">
        <v>-0.4588</v>
      </c>
      <c r="K828" t="n">
        <v>0.2</v>
      </c>
      <c r="L828" t="n">
        <v>0.8</v>
      </c>
      <c r="M828" t="n">
        <v>0</v>
      </c>
    </row>
    <row r="829" spans="1:13">
      <c r="A829" s="1">
        <f>HYPERLINK("http://www.twitter.com/NathanBLawrence/status/995064518651842561", "995064518651842561")</f>
        <v/>
      </c>
      <c r="B829" s="2" t="n">
        <v>43231.92642361111</v>
      </c>
      <c r="C829" t="n">
        <v>0</v>
      </c>
      <c r="D829" t="n">
        <v>19</v>
      </c>
      <c r="E829" t="s">
        <v>838</v>
      </c>
      <c r="F829" t="s"/>
      <c r="G829" t="s"/>
      <c r="H829" t="s"/>
      <c r="I829" t="s"/>
      <c r="J829" t="n">
        <v>0.4019</v>
      </c>
      <c r="K829" t="n">
        <v>0</v>
      </c>
      <c r="L829" t="n">
        <v>0.895</v>
      </c>
      <c r="M829" t="n">
        <v>0.105</v>
      </c>
    </row>
    <row r="830" spans="1:13">
      <c r="A830" s="1">
        <f>HYPERLINK("http://www.twitter.com/NathanBLawrence/status/995064467909152768", "995064467909152768")</f>
        <v/>
      </c>
      <c r="B830" s="2" t="n">
        <v>43231.92628472222</v>
      </c>
      <c r="C830" t="n">
        <v>4</v>
      </c>
      <c r="D830" t="n">
        <v>2</v>
      </c>
      <c r="E830" t="s">
        <v>839</v>
      </c>
      <c r="F830" t="s"/>
      <c r="G830" t="s"/>
      <c r="H830" t="s"/>
      <c r="I830" t="s"/>
      <c r="J830" t="n">
        <v>-0.4019</v>
      </c>
      <c r="K830" t="n">
        <v>0.13</v>
      </c>
      <c r="L830" t="n">
        <v>0.87</v>
      </c>
      <c r="M830" t="n">
        <v>0</v>
      </c>
    </row>
    <row r="831" spans="1:13">
      <c r="A831" s="1">
        <f>HYPERLINK("http://www.twitter.com/NathanBLawrence/status/995063530163507201", "995063530163507201")</f>
        <v/>
      </c>
      <c r="B831" s="2" t="n">
        <v>43231.92369212963</v>
      </c>
      <c r="C831" t="n">
        <v>20</v>
      </c>
      <c r="D831" t="n">
        <v>19</v>
      </c>
      <c r="E831" t="s">
        <v>840</v>
      </c>
      <c r="F831" t="s"/>
      <c r="G831" t="s"/>
      <c r="H831" t="s"/>
      <c r="I831" t="s"/>
      <c r="J831" t="n">
        <v>-0.0516</v>
      </c>
      <c r="K831" t="n">
        <v>0.067</v>
      </c>
      <c r="L831" t="n">
        <v>0.872</v>
      </c>
      <c r="M831" t="n">
        <v>0.062</v>
      </c>
    </row>
    <row r="832" spans="1:13">
      <c r="A832" s="1">
        <f>HYPERLINK("http://www.twitter.com/NathanBLawrence/status/995057726148562944", "995057726148562944")</f>
        <v/>
      </c>
      <c r="B832" s="2" t="n">
        <v>43231.90767361111</v>
      </c>
      <c r="C832" t="n">
        <v>0</v>
      </c>
      <c r="D832" t="n">
        <v>9</v>
      </c>
      <c r="E832" t="s">
        <v>841</v>
      </c>
      <c r="F832">
        <f>HYPERLINK("https://video.twimg.com/ext_tw_video/995057198324531200/pu/vid/1280x720/eI_vD0uIeGbsirZI.mp4?tag=3", "https://video.twimg.com/ext_tw_video/995057198324531200/pu/vid/1280x720/eI_vD0uIeGbsirZI.mp4?tag=3")</f>
        <v/>
      </c>
      <c r="G832" t="s"/>
      <c r="H832" t="s"/>
      <c r="I832" t="s"/>
      <c r="J832" t="n">
        <v>-0.4767</v>
      </c>
      <c r="K832" t="n">
        <v>0.134</v>
      </c>
      <c r="L832" t="n">
        <v>0.866</v>
      </c>
      <c r="M832" t="n">
        <v>0</v>
      </c>
    </row>
    <row r="833" spans="1:13">
      <c r="A833" s="1">
        <f>HYPERLINK("http://www.twitter.com/NathanBLawrence/status/995057669739352064", "995057669739352064")</f>
        <v/>
      </c>
      <c r="B833" s="2" t="n">
        <v>43231.90752314815</v>
      </c>
      <c r="C833" t="n">
        <v>11</v>
      </c>
      <c r="D833" t="n">
        <v>9</v>
      </c>
      <c r="E833" t="s">
        <v>842</v>
      </c>
      <c r="F833">
        <f>HYPERLINK("https://video.twimg.com/ext_tw_video/995057198324531200/pu/vid/1280x720/eI_vD0uIeGbsirZI.mp4?tag=3", "https://video.twimg.com/ext_tw_video/995057198324531200/pu/vid/1280x720/eI_vD0uIeGbsirZI.mp4?tag=3")</f>
        <v/>
      </c>
      <c r="G833" t="s"/>
      <c r="H833" t="s"/>
      <c r="I833" t="s"/>
      <c r="J833" t="n">
        <v>-0.4767</v>
      </c>
      <c r="K833" t="n">
        <v>0.124</v>
      </c>
      <c r="L833" t="n">
        <v>0.876</v>
      </c>
      <c r="M833" t="n">
        <v>0</v>
      </c>
    </row>
    <row r="834" spans="1:13">
      <c r="A834" s="1">
        <f>HYPERLINK("http://www.twitter.com/NathanBLawrence/status/995057664336986112", "995057664336986112")</f>
        <v/>
      </c>
      <c r="B834" s="2" t="n">
        <v>43231.90751157407</v>
      </c>
      <c r="C834" t="n">
        <v>0</v>
      </c>
      <c r="D834" t="n">
        <v>8</v>
      </c>
      <c r="E834" t="s">
        <v>843</v>
      </c>
      <c r="F834">
        <f>HYPERLINK("http://pbs.twimg.com/media/Dc8j_eTV4AARnsU.jpg", "http://pbs.twimg.com/media/Dc8j_eTV4AARnsU.jpg")</f>
        <v/>
      </c>
      <c r="G834" t="s"/>
      <c r="H834" t="s"/>
      <c r="I834" t="s"/>
      <c r="J834" t="n">
        <v>0</v>
      </c>
      <c r="K834" t="n">
        <v>0</v>
      </c>
      <c r="L834" t="n">
        <v>1</v>
      </c>
      <c r="M834" t="n">
        <v>0</v>
      </c>
    </row>
    <row r="835" spans="1:13">
      <c r="A835" s="1">
        <f>HYPERLINK("http://www.twitter.com/NathanBLawrence/status/995052561123209216", "995052561123209216")</f>
        <v/>
      </c>
      <c r="B835" s="2" t="n">
        <v>43231.89342592593</v>
      </c>
      <c r="C835" t="n">
        <v>0</v>
      </c>
      <c r="D835" t="n">
        <v>33</v>
      </c>
      <c r="E835" t="s">
        <v>844</v>
      </c>
      <c r="F835" t="s"/>
      <c r="G835" t="s"/>
      <c r="H835" t="s"/>
      <c r="I835" t="s"/>
      <c r="J835" t="n">
        <v>0</v>
      </c>
      <c r="K835" t="n">
        <v>0</v>
      </c>
      <c r="L835" t="n">
        <v>1</v>
      </c>
      <c r="M835" t="n">
        <v>0</v>
      </c>
    </row>
    <row r="836" spans="1:13">
      <c r="A836" s="1">
        <f>HYPERLINK("http://www.twitter.com/NathanBLawrence/status/995052454248157184", "995052454248157184")</f>
        <v/>
      </c>
      <c r="B836" s="2" t="n">
        <v>43231.893125</v>
      </c>
      <c r="C836" t="n">
        <v>1</v>
      </c>
      <c r="D836" t="n">
        <v>1</v>
      </c>
      <c r="E836" t="s">
        <v>845</v>
      </c>
      <c r="F836" t="s"/>
      <c r="G836" t="s"/>
      <c r="H836" t="s"/>
      <c r="I836" t="s"/>
      <c r="J836" t="n">
        <v>0</v>
      </c>
      <c r="K836" t="n">
        <v>0</v>
      </c>
      <c r="L836" t="n">
        <v>1</v>
      </c>
      <c r="M836" t="n">
        <v>0</v>
      </c>
    </row>
    <row r="837" spans="1:13">
      <c r="A837" s="1">
        <f>HYPERLINK("http://www.twitter.com/NathanBLawrence/status/995051599767666689", "995051599767666689")</f>
        <v/>
      </c>
      <c r="B837" s="2" t="n">
        <v>43231.89077546296</v>
      </c>
      <c r="C837" t="n">
        <v>0</v>
      </c>
      <c r="D837" t="n">
        <v>0</v>
      </c>
      <c r="E837" t="s">
        <v>846</v>
      </c>
      <c r="F837" t="s"/>
      <c r="G837" t="s"/>
      <c r="H837" t="s"/>
      <c r="I837" t="s"/>
      <c r="J837" t="n">
        <v>0.2732</v>
      </c>
      <c r="K837" t="n">
        <v>0</v>
      </c>
      <c r="L837" t="n">
        <v>0.488</v>
      </c>
      <c r="M837" t="n">
        <v>0.512</v>
      </c>
    </row>
    <row r="838" spans="1:13">
      <c r="A838" s="1">
        <f>HYPERLINK("http://www.twitter.com/NathanBLawrence/status/995051559619891200", "995051559619891200")</f>
        <v/>
      </c>
      <c r="B838" s="2" t="n">
        <v>43231.89065972222</v>
      </c>
      <c r="C838" t="n">
        <v>0</v>
      </c>
      <c r="D838" t="n">
        <v>2</v>
      </c>
      <c r="E838" t="s">
        <v>847</v>
      </c>
      <c r="F838" t="s"/>
      <c r="G838" t="s"/>
      <c r="H838" t="s"/>
      <c r="I838" t="s"/>
      <c r="J838" t="n">
        <v>-0.296</v>
      </c>
      <c r="K838" t="n">
        <v>0.091</v>
      </c>
      <c r="L838" t="n">
        <v>0.909</v>
      </c>
      <c r="M838" t="n">
        <v>0</v>
      </c>
    </row>
    <row r="839" spans="1:13">
      <c r="A839" s="1">
        <f>HYPERLINK("http://www.twitter.com/NathanBLawrence/status/995051308611719168", "995051308611719168")</f>
        <v/>
      </c>
      <c r="B839" s="2" t="n">
        <v>43231.88996527778</v>
      </c>
      <c r="C839" t="n">
        <v>0</v>
      </c>
      <c r="D839" t="n">
        <v>1</v>
      </c>
      <c r="E839" t="s">
        <v>848</v>
      </c>
      <c r="F839" t="s"/>
      <c r="G839" t="s"/>
      <c r="H839" t="s"/>
      <c r="I839" t="s"/>
      <c r="J839" t="n">
        <v>0</v>
      </c>
      <c r="K839" t="n">
        <v>0</v>
      </c>
      <c r="L839" t="n">
        <v>1</v>
      </c>
      <c r="M839" t="n">
        <v>0</v>
      </c>
    </row>
    <row r="840" spans="1:13">
      <c r="A840" s="1">
        <f>HYPERLINK("http://www.twitter.com/NathanBLawrence/status/995048148790923265", "995048148790923265")</f>
        <v/>
      </c>
      <c r="B840" s="2" t="n">
        <v>43231.88125</v>
      </c>
      <c r="C840" t="n">
        <v>5</v>
      </c>
      <c r="D840" t="n">
        <v>2</v>
      </c>
      <c r="E840" t="s">
        <v>849</v>
      </c>
      <c r="F840" t="s"/>
      <c r="G840" t="s"/>
      <c r="H840" t="s"/>
      <c r="I840" t="s"/>
      <c r="J840" t="n">
        <v>0.5499000000000001</v>
      </c>
      <c r="K840" t="n">
        <v>0</v>
      </c>
      <c r="L840" t="n">
        <v>0.6929999999999999</v>
      </c>
      <c r="M840" t="n">
        <v>0.307</v>
      </c>
    </row>
    <row r="841" spans="1:13">
      <c r="A841" s="1">
        <f>HYPERLINK("http://www.twitter.com/NathanBLawrence/status/995047766354268163", "995047766354268163")</f>
        <v/>
      </c>
      <c r="B841" s="2" t="n">
        <v>43231.88019675926</v>
      </c>
      <c r="C841" t="n">
        <v>1</v>
      </c>
      <c r="D841" t="n">
        <v>0</v>
      </c>
      <c r="E841" t="s">
        <v>850</v>
      </c>
      <c r="F841" t="s"/>
      <c r="G841" t="s"/>
      <c r="H841" t="s"/>
      <c r="I841" t="s"/>
      <c r="J841" t="n">
        <v>0.4019</v>
      </c>
      <c r="K841" t="n">
        <v>0</v>
      </c>
      <c r="L841" t="n">
        <v>0.597</v>
      </c>
      <c r="M841" t="n">
        <v>0.403</v>
      </c>
    </row>
    <row r="842" spans="1:13">
      <c r="A842" s="1">
        <f>HYPERLINK("http://www.twitter.com/NathanBLawrence/status/995047657436524544", "995047657436524544")</f>
        <v/>
      </c>
      <c r="B842" s="2" t="n">
        <v>43231.87989583334</v>
      </c>
      <c r="C842" t="n">
        <v>0</v>
      </c>
      <c r="D842" t="n">
        <v>467</v>
      </c>
      <c r="E842" t="s">
        <v>851</v>
      </c>
      <c r="F842">
        <f>HYPERLINK("http://pbs.twimg.com/media/Dc8caokU8AAPpaM.jpg", "http://pbs.twimg.com/media/Dc8caokU8AAPpaM.jpg")</f>
        <v/>
      </c>
      <c r="G842" t="s"/>
      <c r="H842" t="s"/>
      <c r="I842" t="s"/>
      <c r="J842" t="n">
        <v>-0.0516</v>
      </c>
      <c r="K842" t="n">
        <v>0.122</v>
      </c>
      <c r="L842" t="n">
        <v>0.766</v>
      </c>
      <c r="M842" t="n">
        <v>0.113</v>
      </c>
    </row>
    <row r="843" spans="1:13">
      <c r="A843" s="1">
        <f>HYPERLINK("http://www.twitter.com/NathanBLawrence/status/995047402846466054", "995047402846466054")</f>
        <v/>
      </c>
      <c r="B843" s="2" t="n">
        <v>43231.87918981481</v>
      </c>
      <c r="C843" t="n">
        <v>0</v>
      </c>
      <c r="D843" t="n">
        <v>0</v>
      </c>
      <c r="E843" t="s">
        <v>852</v>
      </c>
      <c r="F843" t="s"/>
      <c r="G843" t="s"/>
      <c r="H843" t="s"/>
      <c r="I843" t="s"/>
      <c r="J843" t="n">
        <v>-0.0762</v>
      </c>
      <c r="K843" t="n">
        <v>0.105</v>
      </c>
      <c r="L843" t="n">
        <v>0.895</v>
      </c>
      <c r="M843" t="n">
        <v>0</v>
      </c>
    </row>
    <row r="844" spans="1:13">
      <c r="A844" s="1">
        <f>HYPERLINK("http://www.twitter.com/NathanBLawrence/status/995047124508213254", "995047124508213254")</f>
        <v/>
      </c>
      <c r="B844" s="2" t="n">
        <v>43231.87842592593</v>
      </c>
      <c r="C844" t="n">
        <v>0</v>
      </c>
      <c r="D844" t="n">
        <v>1</v>
      </c>
      <c r="E844" t="s">
        <v>853</v>
      </c>
      <c r="F844" t="s"/>
      <c r="G844" t="s"/>
      <c r="H844" t="s"/>
      <c r="I844" t="s"/>
      <c r="J844" t="n">
        <v>0.25</v>
      </c>
      <c r="K844" t="n">
        <v>0</v>
      </c>
      <c r="L844" t="n">
        <v>0.909</v>
      </c>
      <c r="M844" t="n">
        <v>0.091</v>
      </c>
    </row>
    <row r="845" spans="1:13">
      <c r="A845" s="1">
        <f>HYPERLINK("http://www.twitter.com/NathanBLawrence/status/995047011840819205", "995047011840819205")</f>
        <v/>
      </c>
      <c r="B845" s="2" t="n">
        <v>43231.87811342593</v>
      </c>
      <c r="C845" t="n">
        <v>0</v>
      </c>
      <c r="D845" t="n">
        <v>8</v>
      </c>
      <c r="E845" t="s">
        <v>854</v>
      </c>
      <c r="F845" t="s"/>
      <c r="G845" t="s"/>
      <c r="H845" t="s"/>
      <c r="I845" t="s"/>
      <c r="J845" t="n">
        <v>-0.765</v>
      </c>
      <c r="K845" t="n">
        <v>0.309</v>
      </c>
      <c r="L845" t="n">
        <v>0.6909999999999999</v>
      </c>
      <c r="M845" t="n">
        <v>0</v>
      </c>
    </row>
    <row r="846" spans="1:13">
      <c r="A846" s="1">
        <f>HYPERLINK("http://www.twitter.com/NathanBLawrence/status/995046903753658370", "995046903753658370")</f>
        <v/>
      </c>
      <c r="B846" s="2" t="n">
        <v>43231.8778125</v>
      </c>
      <c r="C846" t="n">
        <v>0</v>
      </c>
      <c r="D846" t="n">
        <v>30</v>
      </c>
      <c r="E846" t="s">
        <v>855</v>
      </c>
      <c r="F846">
        <f>HYPERLINK("http://pbs.twimg.com/media/DcPFC7YWkAALWdT.jpg", "http://pbs.twimg.com/media/DcPFC7YWkAALWdT.jpg")</f>
        <v/>
      </c>
      <c r="G846" t="s"/>
      <c r="H846" t="s"/>
      <c r="I846" t="s"/>
      <c r="J846" t="n">
        <v>-0.5266999999999999</v>
      </c>
      <c r="K846" t="n">
        <v>0.18</v>
      </c>
      <c r="L846" t="n">
        <v>0.82</v>
      </c>
      <c r="M846" t="n">
        <v>0</v>
      </c>
    </row>
    <row r="847" spans="1:13">
      <c r="A847" s="1">
        <f>HYPERLINK("http://www.twitter.com/NathanBLawrence/status/995046869150683139", "995046869150683139")</f>
        <v/>
      </c>
      <c r="B847" s="2" t="n">
        <v>43231.87771990741</v>
      </c>
      <c r="C847" t="n">
        <v>0</v>
      </c>
      <c r="D847" t="n">
        <v>4</v>
      </c>
      <c r="E847" t="s">
        <v>856</v>
      </c>
      <c r="F847" t="s"/>
      <c r="G847" t="s"/>
      <c r="H847" t="s"/>
      <c r="I847" t="s"/>
      <c r="J847" t="n">
        <v>-0.2263</v>
      </c>
      <c r="K847" t="n">
        <v>0.128</v>
      </c>
      <c r="L847" t="n">
        <v>0.872</v>
      </c>
      <c r="M847" t="n">
        <v>0</v>
      </c>
    </row>
    <row r="848" spans="1:13">
      <c r="A848" s="1">
        <f>HYPERLINK("http://www.twitter.com/NathanBLawrence/status/995046770857185281", "995046770857185281")</f>
        <v/>
      </c>
      <c r="B848" s="2" t="n">
        <v>43231.87744212963</v>
      </c>
      <c r="C848" t="n">
        <v>0</v>
      </c>
      <c r="D848" t="n">
        <v>29</v>
      </c>
      <c r="E848" t="s">
        <v>857</v>
      </c>
      <c r="F848" t="s"/>
      <c r="G848" t="s"/>
      <c r="H848" t="s"/>
      <c r="I848" t="s"/>
      <c r="J848" t="n">
        <v>0.2023</v>
      </c>
      <c r="K848" t="n">
        <v>0.08400000000000001</v>
      </c>
      <c r="L848" t="n">
        <v>0.796</v>
      </c>
      <c r="M848" t="n">
        <v>0.119</v>
      </c>
    </row>
    <row r="849" spans="1:13">
      <c r="A849" s="1">
        <f>HYPERLINK("http://www.twitter.com/NathanBLawrence/status/995046656574881794", "995046656574881794")</f>
        <v/>
      </c>
      <c r="B849" s="2" t="n">
        <v>43231.87712962963</v>
      </c>
      <c r="C849" t="n">
        <v>0</v>
      </c>
      <c r="D849" t="n">
        <v>3</v>
      </c>
      <c r="E849" t="s">
        <v>858</v>
      </c>
      <c r="F849" t="s"/>
      <c r="G849" t="s"/>
      <c r="H849" t="s"/>
      <c r="I849" t="s"/>
      <c r="J849" t="n">
        <v>0</v>
      </c>
      <c r="K849" t="n">
        <v>0</v>
      </c>
      <c r="L849" t="n">
        <v>1</v>
      </c>
      <c r="M849" t="n">
        <v>0</v>
      </c>
    </row>
    <row r="850" spans="1:13">
      <c r="A850" s="1">
        <f>HYPERLINK("http://www.twitter.com/NathanBLawrence/status/995046599146594305", "995046599146594305")</f>
        <v/>
      </c>
      <c r="B850" s="2" t="n">
        <v>43231.87696759259</v>
      </c>
      <c r="C850" t="n">
        <v>0</v>
      </c>
      <c r="D850" t="n">
        <v>15</v>
      </c>
      <c r="E850" t="s">
        <v>859</v>
      </c>
      <c r="F850">
        <f>HYPERLINK("http://pbs.twimg.com/media/DcpOpEaU0AA7Y94.jpg", "http://pbs.twimg.com/media/DcpOpEaU0AA7Y94.jpg")</f>
        <v/>
      </c>
      <c r="G850" t="s"/>
      <c r="H850" t="s"/>
      <c r="I850" t="s"/>
      <c r="J850" t="n">
        <v>-0.6369</v>
      </c>
      <c r="K850" t="n">
        <v>0.206</v>
      </c>
      <c r="L850" t="n">
        <v>0.794</v>
      </c>
      <c r="M850" t="n">
        <v>0</v>
      </c>
    </row>
    <row r="851" spans="1:13">
      <c r="A851" s="1">
        <f>HYPERLINK("http://www.twitter.com/NathanBLawrence/status/995046378043772928", "995046378043772928")</f>
        <v/>
      </c>
      <c r="B851" s="2" t="n">
        <v>43231.87636574074</v>
      </c>
      <c r="C851" t="n">
        <v>0</v>
      </c>
      <c r="D851" t="n">
        <v>24</v>
      </c>
      <c r="E851" t="s">
        <v>860</v>
      </c>
      <c r="F851">
        <f>HYPERLINK("http://pbs.twimg.com/media/DcruEZmWkAElq61.jpg", "http://pbs.twimg.com/media/DcruEZmWkAElq61.jpg")</f>
        <v/>
      </c>
      <c r="G851" t="s"/>
      <c r="H851" t="s"/>
      <c r="I851" t="s"/>
      <c r="J851" t="n">
        <v>0</v>
      </c>
      <c r="K851" t="n">
        <v>0</v>
      </c>
      <c r="L851" t="n">
        <v>1</v>
      </c>
      <c r="M851" t="n">
        <v>0</v>
      </c>
    </row>
    <row r="852" spans="1:13">
      <c r="A852" s="1">
        <f>HYPERLINK("http://www.twitter.com/NathanBLawrence/status/995046352127184897", "995046352127184897")</f>
        <v/>
      </c>
      <c r="B852" s="2" t="n">
        <v>43231.87629629629</v>
      </c>
      <c r="C852" t="n">
        <v>0</v>
      </c>
      <c r="D852" t="n">
        <v>4</v>
      </c>
      <c r="E852" t="s">
        <v>861</v>
      </c>
      <c r="F852">
        <f>HYPERLINK("http://pbs.twimg.com/media/Dctl6SXWkAQmTTx.jpg", "http://pbs.twimg.com/media/Dctl6SXWkAQmTTx.jpg")</f>
        <v/>
      </c>
      <c r="G852" t="s"/>
      <c r="H852" t="s"/>
      <c r="I852" t="s"/>
      <c r="J852" t="n">
        <v>0.5859</v>
      </c>
      <c r="K852" t="n">
        <v>0</v>
      </c>
      <c r="L852" t="n">
        <v>0.652</v>
      </c>
      <c r="M852" t="n">
        <v>0.348</v>
      </c>
    </row>
    <row r="853" spans="1:13">
      <c r="A853" s="1">
        <f>HYPERLINK("http://www.twitter.com/NathanBLawrence/status/995046329519890434", "995046329519890434")</f>
        <v/>
      </c>
      <c r="B853" s="2" t="n">
        <v>43231.87622685185</v>
      </c>
      <c r="C853" t="n">
        <v>0</v>
      </c>
      <c r="D853" t="n">
        <v>15</v>
      </c>
      <c r="E853" t="s">
        <v>862</v>
      </c>
      <c r="F853">
        <f>HYPERLINK("http://pbs.twimg.com/media/DctSesfX4AA6NFD.jpg", "http://pbs.twimg.com/media/DctSesfX4AA6NFD.jpg")</f>
        <v/>
      </c>
      <c r="G853" t="s"/>
      <c r="H853" t="s"/>
      <c r="I853" t="s"/>
      <c r="J853" t="n">
        <v>0</v>
      </c>
      <c r="K853" t="n">
        <v>0</v>
      </c>
      <c r="L853" t="n">
        <v>1</v>
      </c>
      <c r="M853" t="n">
        <v>0</v>
      </c>
    </row>
    <row r="854" spans="1:13">
      <c r="A854" s="1">
        <f>HYPERLINK("http://www.twitter.com/NathanBLawrence/status/995046190591946754", "995046190591946754")</f>
        <v/>
      </c>
      <c r="B854" s="2" t="n">
        <v>43231.87584490741</v>
      </c>
      <c r="C854" t="n">
        <v>0</v>
      </c>
      <c r="D854" t="n">
        <v>13</v>
      </c>
      <c r="E854" t="s">
        <v>863</v>
      </c>
      <c r="F854">
        <f>HYPERLINK("http://pbs.twimg.com/media/DcsfDHuU8AE-h6k.jpg", "http://pbs.twimg.com/media/DcsfDHuU8AE-h6k.jpg")</f>
        <v/>
      </c>
      <c r="G854" t="s"/>
      <c r="H854" t="s"/>
      <c r="I854" t="s"/>
      <c r="J854" t="n">
        <v>-0.6908</v>
      </c>
      <c r="K854" t="n">
        <v>0.231</v>
      </c>
      <c r="L854" t="n">
        <v>0.769</v>
      </c>
      <c r="M854" t="n">
        <v>0</v>
      </c>
    </row>
    <row r="855" spans="1:13">
      <c r="A855" s="1">
        <f>HYPERLINK("http://www.twitter.com/NathanBLawrence/status/995046060325244929", "995046060325244929")</f>
        <v/>
      </c>
      <c r="B855" s="2" t="n">
        <v>43231.87548611111</v>
      </c>
      <c r="C855" t="n">
        <v>0</v>
      </c>
      <c r="D855" t="n">
        <v>14</v>
      </c>
      <c r="E855" t="s">
        <v>864</v>
      </c>
      <c r="F855" t="s"/>
      <c r="G855" t="s"/>
      <c r="H855" t="s"/>
      <c r="I855" t="s"/>
      <c r="J855" t="n">
        <v>0.6514</v>
      </c>
      <c r="K855" t="n">
        <v>0.105</v>
      </c>
      <c r="L855" t="n">
        <v>0.65</v>
      </c>
      <c r="M855" t="n">
        <v>0.245</v>
      </c>
    </row>
    <row r="856" spans="1:13">
      <c r="A856" s="1">
        <f>HYPERLINK("http://www.twitter.com/NathanBLawrence/status/995046012820578309", "995046012820578309")</f>
        <v/>
      </c>
      <c r="B856" s="2" t="n">
        <v>43231.87535879629</v>
      </c>
      <c r="C856" t="n">
        <v>0</v>
      </c>
      <c r="D856" t="n">
        <v>2</v>
      </c>
      <c r="E856" t="s">
        <v>865</v>
      </c>
      <c r="F856" t="s"/>
      <c r="G856" t="s"/>
      <c r="H856" t="s"/>
      <c r="I856" t="s"/>
      <c r="J856" t="n">
        <v>-0.8862</v>
      </c>
      <c r="K856" t="n">
        <v>0.411</v>
      </c>
      <c r="L856" t="n">
        <v>0.509</v>
      </c>
      <c r="M856" t="n">
        <v>0.08</v>
      </c>
    </row>
    <row r="857" spans="1:13">
      <c r="A857" s="1">
        <f>HYPERLINK("http://www.twitter.com/NathanBLawrence/status/995045964233703425", "995045964233703425")</f>
        <v/>
      </c>
      <c r="B857" s="2" t="n">
        <v>43231.87521990741</v>
      </c>
      <c r="C857" t="n">
        <v>0</v>
      </c>
      <c r="D857" t="n">
        <v>3</v>
      </c>
      <c r="E857" t="s">
        <v>866</v>
      </c>
      <c r="F857">
        <f>HYPERLINK("http://pbs.twimg.com/media/Dc2A1d4U0AEmeNJ.jpg", "http://pbs.twimg.com/media/Dc2A1d4U0AEmeNJ.jpg")</f>
        <v/>
      </c>
      <c r="G857" t="s"/>
      <c r="H857" t="s"/>
      <c r="I857" t="s"/>
      <c r="J857" t="n">
        <v>0</v>
      </c>
      <c r="K857" t="n">
        <v>0</v>
      </c>
      <c r="L857" t="n">
        <v>1</v>
      </c>
      <c r="M857" t="n">
        <v>0</v>
      </c>
    </row>
    <row r="858" spans="1:13">
      <c r="A858" s="1">
        <f>HYPERLINK("http://www.twitter.com/NathanBLawrence/status/995045898022522880", "995045898022522880")</f>
        <v/>
      </c>
      <c r="B858" s="2" t="n">
        <v>43231.87503472222</v>
      </c>
      <c r="C858" t="n">
        <v>0</v>
      </c>
      <c r="D858" t="n">
        <v>13</v>
      </c>
      <c r="E858" t="s">
        <v>867</v>
      </c>
      <c r="F858">
        <f>HYPERLINK("http://pbs.twimg.com/media/Dc2DVrwW4AUk41y.jpg", "http://pbs.twimg.com/media/Dc2DVrwW4AUk41y.jpg")</f>
        <v/>
      </c>
      <c r="G858" t="s"/>
      <c r="H858" t="s"/>
      <c r="I858" t="s"/>
      <c r="J858" t="n">
        <v>-0.794</v>
      </c>
      <c r="K858" t="n">
        <v>0.261</v>
      </c>
      <c r="L858" t="n">
        <v>0.739</v>
      </c>
      <c r="M858" t="n">
        <v>0</v>
      </c>
    </row>
    <row r="859" spans="1:13">
      <c r="A859" s="1">
        <f>HYPERLINK("http://www.twitter.com/NathanBLawrence/status/995045840703164416", "995045840703164416")</f>
        <v/>
      </c>
      <c r="B859" s="2" t="n">
        <v>43231.87488425926</v>
      </c>
      <c r="C859" t="n">
        <v>0</v>
      </c>
      <c r="D859" t="n">
        <v>16</v>
      </c>
      <c r="E859" t="s">
        <v>868</v>
      </c>
      <c r="F859">
        <f>HYPERLINK("http://pbs.twimg.com/media/Dc2pfzWW4AAq-cS.jpg", "http://pbs.twimg.com/media/Dc2pfzWW4AAq-cS.jpg")</f>
        <v/>
      </c>
      <c r="G859" t="s"/>
      <c r="H859" t="s"/>
      <c r="I859" t="s"/>
      <c r="J859" t="n">
        <v>0</v>
      </c>
      <c r="K859" t="n">
        <v>0</v>
      </c>
      <c r="L859" t="n">
        <v>1</v>
      </c>
      <c r="M859" t="n">
        <v>0</v>
      </c>
    </row>
    <row r="860" spans="1:13">
      <c r="A860" s="1">
        <f>HYPERLINK("http://www.twitter.com/NathanBLawrence/status/995045773061566471", "995045773061566471")</f>
        <v/>
      </c>
      <c r="B860" s="2" t="n">
        <v>43231.87469907408</v>
      </c>
      <c r="C860" t="n">
        <v>0</v>
      </c>
      <c r="D860" t="n">
        <v>7</v>
      </c>
      <c r="E860" t="s">
        <v>869</v>
      </c>
      <c r="F860">
        <f>HYPERLINK("http://pbs.twimg.com/media/Dc2e0ACVQAAAjED.jpg", "http://pbs.twimg.com/media/Dc2e0ACVQAAAjED.jpg")</f>
        <v/>
      </c>
      <c r="G860" t="s"/>
      <c r="H860" t="s"/>
      <c r="I860" t="s"/>
      <c r="J860" t="n">
        <v>0.4926</v>
      </c>
      <c r="K860" t="n">
        <v>0</v>
      </c>
      <c r="L860" t="n">
        <v>0.868</v>
      </c>
      <c r="M860" t="n">
        <v>0.132</v>
      </c>
    </row>
    <row r="861" spans="1:13">
      <c r="A861" s="1">
        <f>HYPERLINK("http://www.twitter.com/NathanBLawrence/status/995045675791409152", "995045675791409152")</f>
        <v/>
      </c>
      <c r="B861" s="2" t="n">
        <v>43231.8744212963</v>
      </c>
      <c r="C861" t="n">
        <v>0</v>
      </c>
      <c r="D861" t="n">
        <v>4</v>
      </c>
      <c r="E861" t="s">
        <v>870</v>
      </c>
      <c r="F861">
        <f>HYPERLINK("http://pbs.twimg.com/media/Dc2vjE2VQAA63t1.jpg", "http://pbs.twimg.com/media/Dc2vjE2VQAA63t1.jpg")</f>
        <v/>
      </c>
      <c r="G861" t="s"/>
      <c r="H861" t="s"/>
      <c r="I861" t="s"/>
      <c r="J861" t="n">
        <v>-0.3612</v>
      </c>
      <c r="K861" t="n">
        <v>0.122</v>
      </c>
      <c r="L861" t="n">
        <v>0.878</v>
      </c>
      <c r="M861" t="n">
        <v>0</v>
      </c>
    </row>
    <row r="862" spans="1:13">
      <c r="A862" s="1">
        <f>HYPERLINK("http://www.twitter.com/NathanBLawrence/status/995045642358714368", "995045642358714368")</f>
        <v/>
      </c>
      <c r="B862" s="2" t="n">
        <v>43231.87432870371</v>
      </c>
      <c r="C862" t="n">
        <v>0</v>
      </c>
      <c r="D862" t="n">
        <v>8</v>
      </c>
      <c r="E862" t="s">
        <v>871</v>
      </c>
      <c r="F862" t="s"/>
      <c r="G862" t="s"/>
      <c r="H862" t="s"/>
      <c r="I862" t="s"/>
      <c r="J862" t="n">
        <v>-0.4767</v>
      </c>
      <c r="K862" t="n">
        <v>0.181</v>
      </c>
      <c r="L862" t="n">
        <v>0.819</v>
      </c>
      <c r="M862" t="n">
        <v>0</v>
      </c>
    </row>
    <row r="863" spans="1:13">
      <c r="A863" s="1">
        <f>HYPERLINK("http://www.twitter.com/NathanBLawrence/status/995045224081711106", "995045224081711106")</f>
        <v/>
      </c>
      <c r="B863" s="2" t="n">
        <v>43231.87318287037</v>
      </c>
      <c r="C863" t="n">
        <v>0</v>
      </c>
      <c r="D863" t="n">
        <v>2</v>
      </c>
      <c r="E863" t="s">
        <v>872</v>
      </c>
      <c r="F863" t="s"/>
      <c r="G863" t="s"/>
      <c r="H863" t="s"/>
      <c r="I863" t="s"/>
      <c r="J863" t="n">
        <v>0</v>
      </c>
      <c r="K863" t="n">
        <v>0</v>
      </c>
      <c r="L863" t="n">
        <v>1</v>
      </c>
      <c r="M863" t="n">
        <v>0</v>
      </c>
    </row>
    <row r="864" spans="1:13">
      <c r="A864" s="1">
        <f>HYPERLINK("http://www.twitter.com/NathanBLawrence/status/995045138580811776", "995045138580811776")</f>
        <v/>
      </c>
      <c r="B864" s="2" t="n">
        <v>43231.87293981481</v>
      </c>
      <c r="C864" t="n">
        <v>0</v>
      </c>
      <c r="D864" t="n">
        <v>12</v>
      </c>
      <c r="E864" t="s">
        <v>873</v>
      </c>
      <c r="F864" t="s"/>
      <c r="G864" t="s"/>
      <c r="H864" t="s"/>
      <c r="I864" t="s"/>
      <c r="J864" t="n">
        <v>0.7579</v>
      </c>
      <c r="K864" t="n">
        <v>0</v>
      </c>
      <c r="L864" t="n">
        <v>0.735</v>
      </c>
      <c r="M864" t="n">
        <v>0.265</v>
      </c>
    </row>
    <row r="865" spans="1:13">
      <c r="A865" s="1">
        <f>HYPERLINK("http://www.twitter.com/NathanBLawrence/status/995045052702515201", "995045052702515201")</f>
        <v/>
      </c>
      <c r="B865" s="2" t="n">
        <v>43231.87270833334</v>
      </c>
      <c r="C865" t="n">
        <v>0</v>
      </c>
      <c r="D865" t="n">
        <v>0</v>
      </c>
      <c r="E865" t="s">
        <v>874</v>
      </c>
      <c r="F865" t="s"/>
      <c r="G865" t="s"/>
      <c r="H865" t="s"/>
      <c r="I865" t="s"/>
      <c r="J865" t="n">
        <v>0.5859</v>
      </c>
      <c r="K865" t="n">
        <v>0</v>
      </c>
      <c r="L865" t="n">
        <v>0.208</v>
      </c>
      <c r="M865" t="n">
        <v>0.792</v>
      </c>
    </row>
    <row r="866" spans="1:13">
      <c r="A866" s="1">
        <f>HYPERLINK("http://www.twitter.com/NathanBLawrence/status/995044958057979906", "995044958057979906")</f>
        <v/>
      </c>
      <c r="B866" s="2" t="n">
        <v>43231.87244212963</v>
      </c>
      <c r="C866" t="n">
        <v>0</v>
      </c>
      <c r="D866" t="n">
        <v>16</v>
      </c>
      <c r="E866" t="s">
        <v>875</v>
      </c>
      <c r="F866">
        <f>HYPERLINK("https://video.twimg.com/ext_tw_video/995042634518315008/pu/vid/1280x720/uoG12mqR0JrYLH30.mp4?tag=3", "https://video.twimg.com/ext_tw_video/995042634518315008/pu/vid/1280x720/uoG12mqR0JrYLH30.mp4?tag=3")</f>
        <v/>
      </c>
      <c r="G866" t="s"/>
      <c r="H866" t="s"/>
      <c r="I866" t="s"/>
      <c r="J866" t="n">
        <v>-0.0772</v>
      </c>
      <c r="K866" t="n">
        <v>0.11</v>
      </c>
      <c r="L866" t="n">
        <v>0.79</v>
      </c>
      <c r="M866" t="n">
        <v>0.1</v>
      </c>
    </row>
    <row r="867" spans="1:13">
      <c r="A867" s="1">
        <f>HYPERLINK("http://www.twitter.com/NathanBLawrence/status/995044853787611136", "995044853787611136")</f>
        <v/>
      </c>
      <c r="B867" s="2" t="n">
        <v>43231.87215277777</v>
      </c>
      <c r="C867" t="n">
        <v>0</v>
      </c>
      <c r="D867" t="n">
        <v>0</v>
      </c>
      <c r="E867" t="s">
        <v>876</v>
      </c>
      <c r="F867" t="s"/>
      <c r="G867" t="s"/>
      <c r="H867" t="s"/>
      <c r="I867" t="s"/>
      <c r="J867" t="n">
        <v>0.3612</v>
      </c>
      <c r="K867" t="n">
        <v>0</v>
      </c>
      <c r="L867" t="n">
        <v>0.545</v>
      </c>
      <c r="M867" t="n">
        <v>0.455</v>
      </c>
    </row>
    <row r="868" spans="1:13">
      <c r="A868" s="1">
        <f>HYPERLINK("http://www.twitter.com/NathanBLawrence/status/995044529349722112", "995044529349722112")</f>
        <v/>
      </c>
      <c r="B868" s="2" t="n">
        <v>43231.87126157407</v>
      </c>
      <c r="C868" t="n">
        <v>0</v>
      </c>
      <c r="D868" t="n">
        <v>40</v>
      </c>
      <c r="E868" t="s">
        <v>877</v>
      </c>
      <c r="F868">
        <f>HYPERLINK("http://pbs.twimg.com/media/Dc6GlphWsAAHxa-.jpg", "http://pbs.twimg.com/media/Dc6GlphWsAAHxa-.jpg")</f>
        <v/>
      </c>
      <c r="G868" t="s"/>
      <c r="H868" t="s"/>
      <c r="I868" t="s"/>
      <c r="J868" t="n">
        <v>0</v>
      </c>
      <c r="K868" t="n">
        <v>0</v>
      </c>
      <c r="L868" t="n">
        <v>1</v>
      </c>
      <c r="M868" t="n">
        <v>0</v>
      </c>
    </row>
    <row r="869" spans="1:13">
      <c r="A869" s="1">
        <f>HYPERLINK("http://www.twitter.com/NathanBLawrence/status/995044449817329664", "995044449817329664")</f>
        <v/>
      </c>
      <c r="B869" s="2" t="n">
        <v>43231.87104166667</v>
      </c>
      <c r="C869" t="n">
        <v>0</v>
      </c>
      <c r="D869" t="n">
        <v>110</v>
      </c>
      <c r="E869" t="s">
        <v>878</v>
      </c>
      <c r="F869">
        <f>HYPERLINK("http://pbs.twimg.com/media/Dc6KdtrW4AA0Z-W.jpg", "http://pbs.twimg.com/media/Dc6KdtrW4AA0Z-W.jpg")</f>
        <v/>
      </c>
      <c r="G869" t="s"/>
      <c r="H869" t="s"/>
      <c r="I869" t="s"/>
      <c r="J869" t="n">
        <v>0.8933</v>
      </c>
      <c r="K869" t="n">
        <v>0</v>
      </c>
      <c r="L869" t="n">
        <v>0.64</v>
      </c>
      <c r="M869" t="n">
        <v>0.36</v>
      </c>
    </row>
    <row r="870" spans="1:13">
      <c r="A870" s="1">
        <f>HYPERLINK("http://www.twitter.com/NathanBLawrence/status/995044297132199936", "995044297132199936")</f>
        <v/>
      </c>
      <c r="B870" s="2" t="n">
        <v>43231.870625</v>
      </c>
      <c r="C870" t="n">
        <v>0</v>
      </c>
      <c r="D870" t="n">
        <v>21</v>
      </c>
      <c r="E870" t="s">
        <v>879</v>
      </c>
      <c r="F870">
        <f>HYPERLINK("http://pbs.twimg.com/media/Dc6cu31WkAAYktL.jpg", "http://pbs.twimg.com/media/Dc6cu31WkAAYktL.jpg")</f>
        <v/>
      </c>
      <c r="G870" t="s"/>
      <c r="H870" t="s"/>
      <c r="I870" t="s"/>
      <c r="J870" t="n">
        <v>0</v>
      </c>
      <c r="K870" t="n">
        <v>0</v>
      </c>
      <c r="L870" t="n">
        <v>1</v>
      </c>
      <c r="M870" t="n">
        <v>0</v>
      </c>
    </row>
    <row r="871" spans="1:13">
      <c r="A871" s="1">
        <f>HYPERLINK("http://www.twitter.com/NathanBLawrence/status/995044193390166018", "995044193390166018")</f>
        <v/>
      </c>
      <c r="B871" s="2" t="n">
        <v>43231.87033564815</v>
      </c>
      <c r="C871" t="n">
        <v>0</v>
      </c>
      <c r="D871" t="n">
        <v>105</v>
      </c>
      <c r="E871" t="s">
        <v>880</v>
      </c>
      <c r="F871" t="s"/>
      <c r="G871" t="s"/>
      <c r="H871" t="s"/>
      <c r="I871" t="s"/>
      <c r="J871" t="n">
        <v>0.6962</v>
      </c>
      <c r="K871" t="n">
        <v>0</v>
      </c>
      <c r="L871" t="n">
        <v>0.735</v>
      </c>
      <c r="M871" t="n">
        <v>0.265</v>
      </c>
    </row>
    <row r="872" spans="1:13">
      <c r="A872" s="1">
        <f>HYPERLINK("http://www.twitter.com/NathanBLawrence/status/995044128420433922", "995044128420433922")</f>
        <v/>
      </c>
      <c r="B872" s="2" t="n">
        <v>43231.87015046296</v>
      </c>
      <c r="C872" t="n">
        <v>0</v>
      </c>
      <c r="D872" t="n">
        <v>87</v>
      </c>
      <c r="E872" t="s">
        <v>881</v>
      </c>
      <c r="F872" t="s"/>
      <c r="G872" t="s"/>
      <c r="H872" t="s"/>
      <c r="I872" t="s"/>
      <c r="J872" t="n">
        <v>-0.4215</v>
      </c>
      <c r="K872" t="n">
        <v>0.135</v>
      </c>
      <c r="L872" t="n">
        <v>0.865</v>
      </c>
      <c r="M872" t="n">
        <v>0</v>
      </c>
    </row>
    <row r="873" spans="1:13">
      <c r="A873" s="1">
        <f>HYPERLINK("http://www.twitter.com/NathanBLawrence/status/995044077593858049", "995044077593858049")</f>
        <v/>
      </c>
      <c r="B873" s="2" t="n">
        <v>43231.87001157407</v>
      </c>
      <c r="C873" t="n">
        <v>0</v>
      </c>
      <c r="D873" t="n">
        <v>80</v>
      </c>
      <c r="E873" t="s">
        <v>882</v>
      </c>
      <c r="F873">
        <f>HYPERLINK("http://pbs.twimg.com/media/Dc6s6P1UQAAUbTC.jpg", "http://pbs.twimg.com/media/Dc6s6P1UQAAUbTC.jpg")</f>
        <v/>
      </c>
      <c r="G873" t="s"/>
      <c r="H873" t="s"/>
      <c r="I873" t="s"/>
      <c r="J873" t="n">
        <v>0</v>
      </c>
      <c r="K873" t="n">
        <v>0</v>
      </c>
      <c r="L873" t="n">
        <v>1</v>
      </c>
      <c r="M873" t="n">
        <v>0</v>
      </c>
    </row>
    <row r="874" spans="1:13">
      <c r="A874" s="1">
        <f>HYPERLINK("http://www.twitter.com/NathanBLawrence/status/995044007968419841", "995044007968419841")</f>
        <v/>
      </c>
      <c r="B874" s="2" t="n">
        <v>43231.86982638889</v>
      </c>
      <c r="C874" t="n">
        <v>0</v>
      </c>
      <c r="D874" t="n">
        <v>36</v>
      </c>
      <c r="E874" t="s">
        <v>883</v>
      </c>
      <c r="F874" t="s"/>
      <c r="G874" t="s"/>
      <c r="H874" t="s"/>
      <c r="I874" t="s"/>
      <c r="J874" t="n">
        <v>0</v>
      </c>
      <c r="K874" t="n">
        <v>0</v>
      </c>
      <c r="L874" t="n">
        <v>1</v>
      </c>
      <c r="M874" t="n">
        <v>0</v>
      </c>
    </row>
    <row r="875" spans="1:13">
      <c r="A875" s="1">
        <f>HYPERLINK("http://www.twitter.com/NathanBLawrence/status/995043362465112065", "995043362465112065")</f>
        <v/>
      </c>
      <c r="B875" s="2" t="n">
        <v>43231.86804398148</v>
      </c>
      <c r="C875" t="n">
        <v>1</v>
      </c>
      <c r="D875" t="n">
        <v>1</v>
      </c>
      <c r="E875" t="s">
        <v>884</v>
      </c>
      <c r="F875" t="s"/>
      <c r="G875" t="s"/>
      <c r="H875" t="s"/>
      <c r="I875" t="s"/>
      <c r="J875" t="n">
        <v>0</v>
      </c>
      <c r="K875" t="n">
        <v>0</v>
      </c>
      <c r="L875" t="n">
        <v>1</v>
      </c>
      <c r="M875" t="n">
        <v>0</v>
      </c>
    </row>
    <row r="876" spans="1:13">
      <c r="A876" s="1">
        <f>HYPERLINK("http://www.twitter.com/NathanBLawrence/status/995043230046740485", "995043230046740485")</f>
        <v/>
      </c>
      <c r="B876" s="2" t="n">
        <v>43231.86767361111</v>
      </c>
      <c r="C876" t="n">
        <v>0</v>
      </c>
      <c r="D876" t="n">
        <v>26</v>
      </c>
      <c r="E876" t="s">
        <v>885</v>
      </c>
      <c r="F876" t="s"/>
      <c r="G876" t="s"/>
      <c r="H876" t="s"/>
      <c r="I876" t="s"/>
      <c r="J876" t="n">
        <v>-0.9081</v>
      </c>
      <c r="K876" t="n">
        <v>0.422</v>
      </c>
      <c r="L876" t="n">
        <v>0.472</v>
      </c>
      <c r="M876" t="n">
        <v>0.106</v>
      </c>
    </row>
    <row r="877" spans="1:13">
      <c r="A877" s="1">
        <f>HYPERLINK("http://www.twitter.com/NathanBLawrence/status/995042856120258561", "995042856120258561")</f>
        <v/>
      </c>
      <c r="B877" s="2" t="n">
        <v>43231.86664351852</v>
      </c>
      <c r="C877" t="n">
        <v>11</v>
      </c>
      <c r="D877" t="n">
        <v>16</v>
      </c>
      <c r="E877" t="s">
        <v>886</v>
      </c>
      <c r="F877">
        <f>HYPERLINK("https://video.twimg.com/ext_tw_video/995042634518315008/pu/vid/1280x720/uoG12mqR0JrYLH30.mp4?tag=3", "https://video.twimg.com/ext_tw_video/995042634518315008/pu/vid/1280x720/uoG12mqR0JrYLH30.mp4?tag=3")</f>
        <v/>
      </c>
      <c r="G877" t="s"/>
      <c r="H877" t="s"/>
      <c r="I877" t="s"/>
      <c r="J877" t="n">
        <v>0.5484</v>
      </c>
      <c r="K877" t="n">
        <v>0.089</v>
      </c>
      <c r="L877" t="n">
        <v>0.762</v>
      </c>
      <c r="M877" t="n">
        <v>0.148</v>
      </c>
    </row>
    <row r="878" spans="1:13">
      <c r="A878" s="1">
        <f>HYPERLINK("http://www.twitter.com/NathanBLawrence/status/995039691719299072", "995039691719299072")</f>
        <v/>
      </c>
      <c r="B878" s="2" t="n">
        <v>43231.85791666667</v>
      </c>
      <c r="C878" t="n">
        <v>1</v>
      </c>
      <c r="D878" t="n">
        <v>0</v>
      </c>
      <c r="E878" t="s">
        <v>887</v>
      </c>
      <c r="F878" t="s"/>
      <c r="G878" t="s"/>
      <c r="H878" t="s"/>
      <c r="I878" t="s"/>
      <c r="J878" t="n">
        <v>0</v>
      </c>
      <c r="K878" t="n">
        <v>0</v>
      </c>
      <c r="L878" t="n">
        <v>1</v>
      </c>
      <c r="M878" t="n">
        <v>0</v>
      </c>
    </row>
    <row r="879" spans="1:13">
      <c r="A879" s="1">
        <f>HYPERLINK("http://www.twitter.com/NathanBLawrence/status/995039434268643330", "995039434268643330")</f>
        <v/>
      </c>
      <c r="B879" s="2" t="n">
        <v>43231.85719907407</v>
      </c>
      <c r="C879" t="n">
        <v>0</v>
      </c>
      <c r="D879" t="n">
        <v>10</v>
      </c>
      <c r="E879" t="s">
        <v>806</v>
      </c>
      <c r="F879" t="s"/>
      <c r="G879" t="s"/>
      <c r="H879" t="s"/>
      <c r="I879" t="s"/>
      <c r="J879" t="n">
        <v>0</v>
      </c>
      <c r="K879" t="n">
        <v>0</v>
      </c>
      <c r="L879" t="n">
        <v>1</v>
      </c>
      <c r="M879" t="n">
        <v>0</v>
      </c>
    </row>
    <row r="880" spans="1:13">
      <c r="A880" s="1">
        <f>HYPERLINK("http://www.twitter.com/NathanBLawrence/status/995039347421450240", "995039347421450240")</f>
        <v/>
      </c>
      <c r="B880" s="2" t="n">
        <v>43231.85696759259</v>
      </c>
      <c r="C880" t="n">
        <v>0</v>
      </c>
      <c r="D880" t="n">
        <v>0</v>
      </c>
      <c r="E880" t="s">
        <v>888</v>
      </c>
      <c r="F880" t="s"/>
      <c r="G880" t="s"/>
      <c r="H880" t="s"/>
      <c r="I880" t="s"/>
      <c r="J880" t="n">
        <v>0.7964</v>
      </c>
      <c r="K880" t="n">
        <v>0</v>
      </c>
      <c r="L880" t="n">
        <v>0.497</v>
      </c>
      <c r="M880" t="n">
        <v>0.503</v>
      </c>
    </row>
    <row r="881" spans="1:13">
      <c r="A881" s="1">
        <f>HYPERLINK("http://www.twitter.com/NathanBLawrence/status/995035626100621312", "995035626100621312")</f>
        <v/>
      </c>
      <c r="B881" s="2" t="n">
        <v>43231.84668981482</v>
      </c>
      <c r="C881" t="n">
        <v>0</v>
      </c>
      <c r="D881" t="n">
        <v>10</v>
      </c>
      <c r="E881" t="s">
        <v>889</v>
      </c>
      <c r="F881">
        <f>HYPERLINK("http://pbs.twimg.com/media/Dc7DqZFUQAUSyVM.jpg", "http://pbs.twimg.com/media/Dc7DqZFUQAUSyVM.jpg")</f>
        <v/>
      </c>
      <c r="G881" t="s"/>
      <c r="H881" t="s"/>
      <c r="I881" t="s"/>
      <c r="J881" t="n">
        <v>0.8588</v>
      </c>
      <c r="K881" t="n">
        <v>0</v>
      </c>
      <c r="L881" t="n">
        <v>0.605</v>
      </c>
      <c r="M881" t="n">
        <v>0.395</v>
      </c>
    </row>
    <row r="882" spans="1:13">
      <c r="A882" s="1">
        <f>HYPERLINK("http://www.twitter.com/NathanBLawrence/status/995035554474545152", "995035554474545152")</f>
        <v/>
      </c>
      <c r="B882" s="2" t="n">
        <v>43231.84649305556</v>
      </c>
      <c r="C882" t="n">
        <v>0</v>
      </c>
      <c r="D882" t="n">
        <v>4</v>
      </c>
      <c r="E882" t="s">
        <v>890</v>
      </c>
      <c r="F882" t="s"/>
      <c r="G882" t="s"/>
      <c r="H882" t="s"/>
      <c r="I882" t="s"/>
      <c r="J882" t="n">
        <v>0.4939</v>
      </c>
      <c r="K882" t="n">
        <v>0</v>
      </c>
      <c r="L882" t="n">
        <v>0.862</v>
      </c>
      <c r="M882" t="n">
        <v>0.138</v>
      </c>
    </row>
    <row r="883" spans="1:13">
      <c r="A883" s="1">
        <f>HYPERLINK("http://www.twitter.com/NathanBLawrence/status/995035403521613824", "995035403521613824")</f>
        <v/>
      </c>
      <c r="B883" s="2" t="n">
        <v>43231.84607638889</v>
      </c>
      <c r="C883" t="n">
        <v>0</v>
      </c>
      <c r="D883" t="n">
        <v>2</v>
      </c>
      <c r="E883" t="s">
        <v>891</v>
      </c>
      <c r="F883" t="s"/>
      <c r="G883" t="s"/>
      <c r="H883" t="s"/>
      <c r="I883" t="s"/>
      <c r="J883" t="n">
        <v>-0.34</v>
      </c>
      <c r="K883" t="n">
        <v>0.176</v>
      </c>
      <c r="L883" t="n">
        <v>0.714</v>
      </c>
      <c r="M883" t="n">
        <v>0.11</v>
      </c>
    </row>
    <row r="884" spans="1:13">
      <c r="A884" s="1">
        <f>HYPERLINK("http://www.twitter.com/NathanBLawrence/status/995035237569781760", "995035237569781760")</f>
        <v/>
      </c>
      <c r="B884" s="2" t="n">
        <v>43231.845625</v>
      </c>
      <c r="C884" t="n">
        <v>0</v>
      </c>
      <c r="D884" t="n">
        <v>42</v>
      </c>
      <c r="E884" t="s">
        <v>892</v>
      </c>
      <c r="F884">
        <f>HYPERLINK("http://pbs.twimg.com/media/Dc7CjvbXcAMEWTW.jpg", "http://pbs.twimg.com/media/Dc7CjvbXcAMEWTW.jpg")</f>
        <v/>
      </c>
      <c r="G884" t="s"/>
      <c r="H884" t="s"/>
      <c r="I884" t="s"/>
      <c r="J884" t="n">
        <v>0.128</v>
      </c>
      <c r="K884" t="n">
        <v>0</v>
      </c>
      <c r="L884" t="n">
        <v>0.9330000000000001</v>
      </c>
      <c r="M884" t="n">
        <v>0.067</v>
      </c>
    </row>
    <row r="885" spans="1:13">
      <c r="A885" s="1">
        <f>HYPERLINK("http://www.twitter.com/NathanBLawrence/status/994970734723256322", "994970734723256322")</f>
        <v/>
      </c>
      <c r="B885" s="2" t="n">
        <v>43231.66762731481</v>
      </c>
      <c r="C885" t="n">
        <v>0</v>
      </c>
      <c r="D885" t="n">
        <v>0</v>
      </c>
      <c r="E885" t="s">
        <v>893</v>
      </c>
      <c r="F885">
        <f>HYPERLINK("http://pbs.twimg.com/media/Dc7YmwEUwAAiGQc.jpg", "http://pbs.twimg.com/media/Dc7YmwEUwAAiGQc.jpg")</f>
        <v/>
      </c>
      <c r="G885" t="s"/>
      <c r="H885" t="s"/>
      <c r="I885" t="s"/>
      <c r="J885" t="n">
        <v>0.7003</v>
      </c>
      <c r="K885" t="n">
        <v>0.101</v>
      </c>
      <c r="L885" t="n">
        <v>0.605</v>
      </c>
      <c r="M885" t="n">
        <v>0.294</v>
      </c>
    </row>
    <row r="886" spans="1:13">
      <c r="A886" s="1">
        <f>HYPERLINK("http://www.twitter.com/NathanBLawrence/status/994965858526158848", "994965858526158848")</f>
        <v/>
      </c>
      <c r="B886" s="2" t="n">
        <v>43231.65416666667</v>
      </c>
      <c r="C886" t="n">
        <v>0</v>
      </c>
      <c r="D886" t="n">
        <v>1</v>
      </c>
      <c r="E886" t="s">
        <v>894</v>
      </c>
      <c r="F886" t="s"/>
      <c r="G886" t="s"/>
      <c r="H886" t="s"/>
      <c r="I886" t="s"/>
      <c r="J886" t="n">
        <v>-0.0915</v>
      </c>
      <c r="K886" t="n">
        <v>0.122</v>
      </c>
      <c r="L886" t="n">
        <v>0.771</v>
      </c>
      <c r="M886" t="n">
        <v>0.107</v>
      </c>
    </row>
    <row r="887" spans="1:13">
      <c r="A887" s="1">
        <f>HYPERLINK("http://www.twitter.com/NathanBLawrence/status/994965749608402944", "994965749608402944")</f>
        <v/>
      </c>
      <c r="B887" s="2" t="n">
        <v>43231.65386574074</v>
      </c>
      <c r="C887" t="n">
        <v>0</v>
      </c>
      <c r="D887" t="n">
        <v>5</v>
      </c>
      <c r="E887" t="s">
        <v>895</v>
      </c>
      <c r="F887" t="s"/>
      <c r="G887" t="s"/>
      <c r="H887" t="s"/>
      <c r="I887" t="s"/>
      <c r="J887" t="n">
        <v>0</v>
      </c>
      <c r="K887" t="n">
        <v>0</v>
      </c>
      <c r="L887" t="n">
        <v>1</v>
      </c>
      <c r="M887" t="n">
        <v>0</v>
      </c>
    </row>
    <row r="888" spans="1:13">
      <c r="A888" s="1">
        <f>HYPERLINK("http://www.twitter.com/NathanBLawrence/status/994962909494173696", "994962909494173696")</f>
        <v/>
      </c>
      <c r="B888" s="2" t="n">
        <v>43231.64603009259</v>
      </c>
      <c r="C888" t="n">
        <v>0</v>
      </c>
      <c r="D888" t="n">
        <v>1</v>
      </c>
      <c r="E888" t="s">
        <v>896</v>
      </c>
      <c r="F888" t="s"/>
      <c r="G888" t="s"/>
      <c r="H888" t="s"/>
      <c r="I888" t="s"/>
      <c r="J888" t="n">
        <v>0.8713</v>
      </c>
      <c r="K888" t="n">
        <v>0</v>
      </c>
      <c r="L888" t="n">
        <v>0.633</v>
      </c>
      <c r="M888" t="n">
        <v>0.367</v>
      </c>
    </row>
    <row r="889" spans="1:13">
      <c r="A889" s="1">
        <f>HYPERLINK("http://www.twitter.com/NathanBLawrence/status/994962750395822080", "994962750395822080")</f>
        <v/>
      </c>
      <c r="B889" s="2" t="n">
        <v>43231.64559027777</v>
      </c>
      <c r="C889" t="n">
        <v>0</v>
      </c>
      <c r="D889" t="n">
        <v>1</v>
      </c>
      <c r="E889" t="s">
        <v>897</v>
      </c>
      <c r="F889" t="s"/>
      <c r="G889" t="s"/>
      <c r="H889" t="s"/>
      <c r="I889" t="s"/>
      <c r="J889" t="n">
        <v>0.4588</v>
      </c>
      <c r="K889" t="n">
        <v>0</v>
      </c>
      <c r="L889" t="n">
        <v>0.667</v>
      </c>
      <c r="M889" t="n">
        <v>0.333</v>
      </c>
    </row>
    <row r="890" spans="1:13">
      <c r="A890" s="1">
        <f>HYPERLINK("http://www.twitter.com/NathanBLawrence/status/994962735891959808", "994962735891959808")</f>
        <v/>
      </c>
      <c r="B890" s="2" t="n">
        <v>43231.64555555556</v>
      </c>
      <c r="C890" t="n">
        <v>0</v>
      </c>
      <c r="D890" t="n">
        <v>2</v>
      </c>
      <c r="E890" t="s">
        <v>898</v>
      </c>
      <c r="F890" t="s"/>
      <c r="G890" t="s"/>
      <c r="H890" t="s"/>
      <c r="I890" t="s"/>
      <c r="J890" t="n">
        <v>0.8225</v>
      </c>
      <c r="K890" t="n">
        <v>0</v>
      </c>
      <c r="L890" t="n">
        <v>0.411</v>
      </c>
      <c r="M890" t="n">
        <v>0.589</v>
      </c>
    </row>
    <row r="891" spans="1:13">
      <c r="A891" s="1">
        <f>HYPERLINK("http://www.twitter.com/NathanBLawrence/status/994962722398900225", "994962722398900225")</f>
        <v/>
      </c>
      <c r="B891" s="2" t="n">
        <v>43231.64552083334</v>
      </c>
      <c r="C891" t="n">
        <v>0</v>
      </c>
      <c r="D891" t="n">
        <v>1</v>
      </c>
      <c r="E891" t="s">
        <v>899</v>
      </c>
      <c r="F891" t="s"/>
      <c r="G891" t="s"/>
      <c r="H891" t="s"/>
      <c r="I891" t="s"/>
      <c r="J891" t="n">
        <v>0.6467000000000001</v>
      </c>
      <c r="K891" t="n">
        <v>0</v>
      </c>
      <c r="L891" t="n">
        <v>0.539</v>
      </c>
      <c r="M891" t="n">
        <v>0.461</v>
      </c>
    </row>
    <row r="892" spans="1:13">
      <c r="A892" s="1">
        <f>HYPERLINK("http://www.twitter.com/NathanBLawrence/status/994962706812764160", "994962706812764160")</f>
        <v/>
      </c>
      <c r="B892" s="2" t="n">
        <v>43231.64547453704</v>
      </c>
      <c r="C892" t="n">
        <v>0</v>
      </c>
      <c r="D892" t="n">
        <v>2</v>
      </c>
      <c r="E892" t="s">
        <v>900</v>
      </c>
      <c r="F892" t="s"/>
      <c r="G892" t="s"/>
      <c r="H892" t="s"/>
      <c r="I892" t="s"/>
      <c r="J892" t="n">
        <v>0.7574</v>
      </c>
      <c r="K892" t="n">
        <v>0</v>
      </c>
      <c r="L892" t="n">
        <v>0.698</v>
      </c>
      <c r="M892" t="n">
        <v>0.302</v>
      </c>
    </row>
    <row r="893" spans="1:13">
      <c r="A893" s="1">
        <f>HYPERLINK("http://www.twitter.com/NathanBLawrence/status/994962690895437826", "994962690895437826")</f>
        <v/>
      </c>
      <c r="B893" s="2" t="n">
        <v>43231.64542824074</v>
      </c>
      <c r="C893" t="n">
        <v>0</v>
      </c>
      <c r="D893" t="n">
        <v>1</v>
      </c>
      <c r="E893" t="s">
        <v>901</v>
      </c>
      <c r="F893" t="s"/>
      <c r="G893" t="s"/>
      <c r="H893" t="s"/>
      <c r="I893" t="s"/>
      <c r="J893" t="n">
        <v>0.9288</v>
      </c>
      <c r="K893" t="n">
        <v>0</v>
      </c>
      <c r="L893" t="n">
        <v>0.505</v>
      </c>
      <c r="M893" t="n">
        <v>0.495</v>
      </c>
    </row>
    <row r="894" spans="1:13">
      <c r="A894" s="1">
        <f>HYPERLINK("http://www.twitter.com/NathanBLawrence/status/994962677104545792", "994962677104545792")</f>
        <v/>
      </c>
      <c r="B894" s="2" t="n">
        <v>43231.64539351852</v>
      </c>
      <c r="C894" t="n">
        <v>0</v>
      </c>
      <c r="D894" t="n">
        <v>1</v>
      </c>
      <c r="E894" t="s">
        <v>902</v>
      </c>
      <c r="F894" t="s"/>
      <c r="G894" t="s"/>
      <c r="H894" t="s"/>
      <c r="I894" t="s"/>
      <c r="J894" t="n">
        <v>0.8547</v>
      </c>
      <c r="K894" t="n">
        <v>0</v>
      </c>
      <c r="L894" t="n">
        <v>0.374</v>
      </c>
      <c r="M894" t="n">
        <v>0.626</v>
      </c>
    </row>
    <row r="895" spans="1:13">
      <c r="A895" s="1">
        <f>HYPERLINK("http://www.twitter.com/NathanBLawrence/status/994962659463368709", "994962659463368709")</f>
        <v/>
      </c>
      <c r="B895" s="2" t="n">
        <v>43231.64534722222</v>
      </c>
      <c r="C895" t="n">
        <v>0</v>
      </c>
      <c r="D895" t="n">
        <v>1</v>
      </c>
      <c r="E895" t="s">
        <v>903</v>
      </c>
      <c r="F895" t="s"/>
      <c r="G895" t="s"/>
      <c r="H895" t="s"/>
      <c r="I895" t="s"/>
      <c r="J895" t="n">
        <v>0.7574</v>
      </c>
      <c r="K895" t="n">
        <v>0</v>
      </c>
      <c r="L895" t="n">
        <v>0.581</v>
      </c>
      <c r="M895" t="n">
        <v>0.419</v>
      </c>
    </row>
    <row r="896" spans="1:13">
      <c r="A896" s="1">
        <f>HYPERLINK("http://www.twitter.com/NathanBLawrence/status/994962644573581312", "994962644573581312")</f>
        <v/>
      </c>
      <c r="B896" s="2" t="n">
        <v>43231.64530092593</v>
      </c>
      <c r="C896" t="n">
        <v>0</v>
      </c>
      <c r="D896" t="n">
        <v>1</v>
      </c>
      <c r="E896" t="s">
        <v>904</v>
      </c>
      <c r="F896" t="s"/>
      <c r="G896" t="s"/>
      <c r="H896" t="s"/>
      <c r="I896" t="s"/>
      <c r="J896" t="n">
        <v>0.3612</v>
      </c>
      <c r="K896" t="n">
        <v>0</v>
      </c>
      <c r="L896" t="n">
        <v>0.8</v>
      </c>
      <c r="M896" t="n">
        <v>0.2</v>
      </c>
    </row>
    <row r="897" spans="1:13">
      <c r="A897" s="1">
        <f>HYPERLINK("http://www.twitter.com/NathanBLawrence/status/994962631625728000", "994962631625728000")</f>
        <v/>
      </c>
      <c r="B897" s="2" t="n">
        <v>43231.6452662037</v>
      </c>
      <c r="C897" t="n">
        <v>0</v>
      </c>
      <c r="D897" t="n">
        <v>1</v>
      </c>
      <c r="E897" t="s">
        <v>905</v>
      </c>
      <c r="F897" t="s"/>
      <c r="G897" t="s"/>
      <c r="H897" t="s"/>
      <c r="I897" t="s"/>
      <c r="J897" t="n">
        <v>0.4738</v>
      </c>
      <c r="K897" t="n">
        <v>0</v>
      </c>
      <c r="L897" t="n">
        <v>0.5649999999999999</v>
      </c>
      <c r="M897" t="n">
        <v>0.435</v>
      </c>
    </row>
    <row r="898" spans="1:13">
      <c r="A898" s="1">
        <f>HYPERLINK("http://www.twitter.com/NathanBLawrence/status/994962619302924289", "994962619302924289")</f>
        <v/>
      </c>
      <c r="B898" s="2" t="n">
        <v>43231.64523148148</v>
      </c>
      <c r="C898" t="n">
        <v>0</v>
      </c>
      <c r="D898" t="n">
        <v>1</v>
      </c>
      <c r="E898" t="s">
        <v>906</v>
      </c>
      <c r="F898" t="s"/>
      <c r="G898" t="s"/>
      <c r="H898" t="s"/>
      <c r="I898" t="s"/>
      <c r="J898" t="n">
        <v>0.9056999999999999</v>
      </c>
      <c r="K898" t="n">
        <v>0</v>
      </c>
      <c r="L898" t="n">
        <v>0.639</v>
      </c>
      <c r="M898" t="n">
        <v>0.361</v>
      </c>
    </row>
    <row r="899" spans="1:13">
      <c r="A899" s="1">
        <f>HYPERLINK("http://www.twitter.com/NathanBLawrence/status/994962606153707522", "994962606153707522")</f>
        <v/>
      </c>
      <c r="B899" s="2" t="n">
        <v>43231.64519675926</v>
      </c>
      <c r="C899" t="n">
        <v>0</v>
      </c>
      <c r="D899" t="n">
        <v>1</v>
      </c>
      <c r="E899" t="s">
        <v>907</v>
      </c>
      <c r="F899" t="s"/>
      <c r="G899" t="s"/>
      <c r="H899" t="s"/>
      <c r="I899" t="s"/>
      <c r="J899" t="n">
        <v>0.8582</v>
      </c>
      <c r="K899" t="n">
        <v>0</v>
      </c>
      <c r="L899" t="n">
        <v>0.458</v>
      </c>
      <c r="M899" t="n">
        <v>0.542</v>
      </c>
    </row>
    <row r="900" spans="1:13">
      <c r="A900" s="1">
        <f>HYPERLINK("http://www.twitter.com/NathanBLawrence/status/994962577372405762", "994962577372405762")</f>
        <v/>
      </c>
      <c r="B900" s="2" t="n">
        <v>43231.64511574074</v>
      </c>
      <c r="C900" t="n">
        <v>0</v>
      </c>
      <c r="D900" t="n">
        <v>1</v>
      </c>
      <c r="E900" t="s">
        <v>908</v>
      </c>
      <c r="F900" t="s"/>
      <c r="G900" t="s"/>
      <c r="H900" t="s"/>
      <c r="I900" t="s"/>
      <c r="J900" t="n">
        <v>0.7772</v>
      </c>
      <c r="K900" t="n">
        <v>0</v>
      </c>
      <c r="L900" t="n">
        <v>0.639</v>
      </c>
      <c r="M900" t="n">
        <v>0.361</v>
      </c>
    </row>
    <row r="901" spans="1:13">
      <c r="A901" s="1">
        <f>HYPERLINK("http://www.twitter.com/NathanBLawrence/status/994962563074011137", "994962563074011137")</f>
        <v/>
      </c>
      <c r="B901" s="2" t="n">
        <v>43231.64508101852</v>
      </c>
      <c r="C901" t="n">
        <v>0</v>
      </c>
      <c r="D901" t="n">
        <v>2</v>
      </c>
      <c r="E901" t="s">
        <v>909</v>
      </c>
      <c r="F901" t="s"/>
      <c r="G901" t="s"/>
      <c r="H901" t="s"/>
      <c r="I901" t="s"/>
      <c r="J901" t="n">
        <v>0.6696</v>
      </c>
      <c r="K901" t="n">
        <v>0</v>
      </c>
      <c r="L901" t="n">
        <v>0.609</v>
      </c>
      <c r="M901" t="n">
        <v>0.391</v>
      </c>
    </row>
    <row r="902" spans="1:13">
      <c r="A902" s="1">
        <f>HYPERLINK("http://www.twitter.com/NathanBLawrence/status/994962546980421633", "994962546980421633")</f>
        <v/>
      </c>
      <c r="B902" s="2" t="n">
        <v>43231.64503472222</v>
      </c>
      <c r="C902" t="n">
        <v>0</v>
      </c>
      <c r="D902" t="n">
        <v>4</v>
      </c>
      <c r="E902" t="s">
        <v>910</v>
      </c>
      <c r="F902" t="s"/>
      <c r="G902" t="s"/>
      <c r="H902" t="s"/>
      <c r="I902" t="s"/>
      <c r="J902" t="n">
        <v>0.8176</v>
      </c>
      <c r="K902" t="n">
        <v>0</v>
      </c>
      <c r="L902" t="n">
        <v>0.679</v>
      </c>
      <c r="M902" t="n">
        <v>0.321</v>
      </c>
    </row>
    <row r="903" spans="1:13">
      <c r="A903" s="1">
        <f>HYPERLINK("http://www.twitter.com/NathanBLawrence/status/994962526256467968", "994962526256467968")</f>
        <v/>
      </c>
      <c r="B903" s="2" t="n">
        <v>43231.64497685185</v>
      </c>
      <c r="C903" t="n">
        <v>0</v>
      </c>
      <c r="D903" t="n">
        <v>1</v>
      </c>
      <c r="E903" t="s">
        <v>911</v>
      </c>
      <c r="F903" t="s"/>
      <c r="G903" t="s"/>
      <c r="H903" t="s"/>
      <c r="I903" t="s"/>
      <c r="J903" t="n">
        <v>0.9016999999999999</v>
      </c>
      <c r="K903" t="n">
        <v>0</v>
      </c>
      <c r="L903" t="n">
        <v>0.387</v>
      </c>
      <c r="M903" t="n">
        <v>0.613</v>
      </c>
    </row>
    <row r="904" spans="1:13">
      <c r="A904" s="1">
        <f>HYPERLINK("http://www.twitter.com/NathanBLawrence/status/994962513312743424", "994962513312743424")</f>
        <v/>
      </c>
      <c r="B904" s="2" t="n">
        <v>43231.64494212963</v>
      </c>
      <c r="C904" t="n">
        <v>0</v>
      </c>
      <c r="D904" t="n">
        <v>4</v>
      </c>
      <c r="E904" t="s">
        <v>912</v>
      </c>
      <c r="F904" t="s"/>
      <c r="G904" t="s"/>
      <c r="H904" t="s"/>
      <c r="I904" t="s"/>
      <c r="J904" t="n">
        <v>0.6249</v>
      </c>
      <c r="K904" t="n">
        <v>0</v>
      </c>
      <c r="L904" t="n">
        <v>0.837</v>
      </c>
      <c r="M904" t="n">
        <v>0.163</v>
      </c>
    </row>
    <row r="905" spans="1:13">
      <c r="A905" s="1">
        <f>HYPERLINK("http://www.twitter.com/NathanBLawrence/status/994962491255021569", "994962491255021569")</f>
        <v/>
      </c>
      <c r="B905" s="2" t="n">
        <v>43231.64488425926</v>
      </c>
      <c r="C905" t="n">
        <v>0</v>
      </c>
      <c r="D905" t="n">
        <v>2</v>
      </c>
      <c r="E905" t="s">
        <v>913</v>
      </c>
      <c r="F905" t="s"/>
      <c r="G905" t="s"/>
      <c r="H905" t="s"/>
      <c r="I905" t="s"/>
      <c r="J905" t="n">
        <v>0.8682</v>
      </c>
      <c r="K905" t="n">
        <v>0</v>
      </c>
      <c r="L905" t="n">
        <v>0.605</v>
      </c>
      <c r="M905" t="n">
        <v>0.395</v>
      </c>
    </row>
    <row r="906" spans="1:13">
      <c r="A906" s="1">
        <f>HYPERLINK("http://www.twitter.com/NathanBLawrence/status/994962453481099264", "994962453481099264")</f>
        <v/>
      </c>
      <c r="B906" s="2" t="n">
        <v>43231.6447800926</v>
      </c>
      <c r="C906" t="n">
        <v>0</v>
      </c>
      <c r="D906" t="n">
        <v>1</v>
      </c>
      <c r="E906" t="s">
        <v>914</v>
      </c>
      <c r="F906" t="s"/>
      <c r="G906" t="s"/>
      <c r="H906" t="s"/>
      <c r="I906" t="s"/>
      <c r="J906" t="n">
        <v>0</v>
      </c>
      <c r="K906" t="n">
        <v>0</v>
      </c>
      <c r="L906" t="n">
        <v>1</v>
      </c>
      <c r="M906" t="n">
        <v>0</v>
      </c>
    </row>
    <row r="907" spans="1:13">
      <c r="A907" s="1">
        <f>HYPERLINK("http://www.twitter.com/NathanBLawrence/status/994962445088247808", "994962445088247808")</f>
        <v/>
      </c>
      <c r="B907" s="2" t="n">
        <v>43231.64475694444</v>
      </c>
      <c r="C907" t="n">
        <v>0</v>
      </c>
      <c r="D907" t="n">
        <v>1</v>
      </c>
      <c r="E907" t="s">
        <v>915</v>
      </c>
      <c r="F907" t="s"/>
      <c r="G907" t="s"/>
      <c r="H907" t="s"/>
      <c r="I907" t="s"/>
      <c r="J907" t="n">
        <v>0.4199</v>
      </c>
      <c r="K907" t="n">
        <v>0</v>
      </c>
      <c r="L907" t="n">
        <v>0.589</v>
      </c>
      <c r="M907" t="n">
        <v>0.411</v>
      </c>
    </row>
    <row r="908" spans="1:13">
      <c r="A908" s="1">
        <f>HYPERLINK("http://www.twitter.com/NathanBLawrence/status/994962428059443201", "994962428059443201")</f>
        <v/>
      </c>
      <c r="B908" s="2" t="n">
        <v>43231.64471064815</v>
      </c>
      <c r="C908" t="n">
        <v>0</v>
      </c>
      <c r="D908" t="n">
        <v>1</v>
      </c>
      <c r="E908" t="s">
        <v>916</v>
      </c>
      <c r="F908" t="s"/>
      <c r="G908" t="s"/>
      <c r="H908" t="s"/>
      <c r="I908" t="s"/>
      <c r="J908" t="n">
        <v>0.7351</v>
      </c>
      <c r="K908" t="n">
        <v>0</v>
      </c>
      <c r="L908" t="n">
        <v>0.6929999999999999</v>
      </c>
      <c r="M908" t="n">
        <v>0.307</v>
      </c>
    </row>
    <row r="909" spans="1:13">
      <c r="A909" s="1">
        <f>HYPERLINK("http://www.twitter.com/NathanBLawrence/status/994962409726136321", "994962409726136321")</f>
        <v/>
      </c>
      <c r="B909" s="2" t="n">
        <v>43231.64465277778</v>
      </c>
      <c r="C909" t="n">
        <v>0</v>
      </c>
      <c r="D909" t="n">
        <v>3</v>
      </c>
      <c r="E909" t="s">
        <v>917</v>
      </c>
      <c r="F909" t="s"/>
      <c r="G909" t="s"/>
      <c r="H909" t="s"/>
      <c r="I909" t="s"/>
      <c r="J909" t="n">
        <v>0.8264</v>
      </c>
      <c r="K909" t="n">
        <v>0</v>
      </c>
      <c r="L909" t="n">
        <v>0.477</v>
      </c>
      <c r="M909" t="n">
        <v>0.523</v>
      </c>
    </row>
    <row r="910" spans="1:13">
      <c r="A910" s="1">
        <f>HYPERLINK("http://www.twitter.com/NathanBLawrence/status/994962393435340806", "994962393435340806")</f>
        <v/>
      </c>
      <c r="B910" s="2" t="n">
        <v>43231.64460648148</v>
      </c>
      <c r="C910" t="n">
        <v>0</v>
      </c>
      <c r="D910" t="n">
        <v>2</v>
      </c>
      <c r="E910" t="s">
        <v>918</v>
      </c>
      <c r="F910" t="s"/>
      <c r="G910" t="s"/>
      <c r="H910" t="s"/>
      <c r="I910" t="s"/>
      <c r="J910" t="n">
        <v>0.8074</v>
      </c>
      <c r="K910" t="n">
        <v>0</v>
      </c>
      <c r="L910" t="n">
        <v>0.49</v>
      </c>
      <c r="M910" t="n">
        <v>0.51</v>
      </c>
    </row>
    <row r="911" spans="1:13">
      <c r="A911" s="1">
        <f>HYPERLINK("http://www.twitter.com/NathanBLawrence/status/994962378755379201", "994962378755379201")</f>
        <v/>
      </c>
      <c r="B911" s="2" t="n">
        <v>43231.64457175926</v>
      </c>
      <c r="C911" t="n">
        <v>0</v>
      </c>
      <c r="D911" t="n">
        <v>1</v>
      </c>
      <c r="E911" t="s">
        <v>919</v>
      </c>
      <c r="F911" t="s"/>
      <c r="G911" t="s"/>
      <c r="H911" t="s"/>
      <c r="I911" t="s"/>
      <c r="J911" t="n">
        <v>-0.1027</v>
      </c>
      <c r="K911" t="n">
        <v>0.189</v>
      </c>
      <c r="L911" t="n">
        <v>0.8110000000000001</v>
      </c>
      <c r="M911" t="n">
        <v>0</v>
      </c>
    </row>
    <row r="912" spans="1:13">
      <c r="A912" s="1">
        <f>HYPERLINK("http://www.twitter.com/NathanBLawrence/status/994962361755856896", "994962361755856896")</f>
        <v/>
      </c>
      <c r="B912" s="2" t="n">
        <v>43231.64452546297</v>
      </c>
      <c r="C912" t="n">
        <v>0</v>
      </c>
      <c r="D912" t="n">
        <v>2</v>
      </c>
      <c r="E912" t="s">
        <v>920</v>
      </c>
      <c r="F912" t="s"/>
      <c r="G912" t="s"/>
      <c r="H912" t="s"/>
      <c r="I912" t="s"/>
      <c r="J912" t="n">
        <v>0.7351</v>
      </c>
      <c r="K912" t="n">
        <v>0</v>
      </c>
      <c r="L912" t="n">
        <v>0.53</v>
      </c>
      <c r="M912" t="n">
        <v>0.47</v>
      </c>
    </row>
    <row r="913" spans="1:13">
      <c r="A913" s="1">
        <f>HYPERLINK("http://www.twitter.com/NathanBLawrence/status/994962342923460609", "994962342923460609")</f>
        <v/>
      </c>
      <c r="B913" s="2" t="n">
        <v>43231.6444675926</v>
      </c>
      <c r="C913" t="n">
        <v>0</v>
      </c>
      <c r="D913" t="n">
        <v>5</v>
      </c>
      <c r="E913" t="s">
        <v>921</v>
      </c>
      <c r="F913" t="s"/>
      <c r="G913" t="s"/>
      <c r="H913" t="s"/>
      <c r="I913" t="s"/>
      <c r="J913" t="n">
        <v>0.8885</v>
      </c>
      <c r="K913" t="n">
        <v>0</v>
      </c>
      <c r="L913" t="n">
        <v>0.489</v>
      </c>
      <c r="M913" t="n">
        <v>0.511</v>
      </c>
    </row>
    <row r="914" spans="1:13">
      <c r="A914" s="1">
        <f>HYPERLINK("http://www.twitter.com/NathanBLawrence/status/994962325919629312", "994962325919629312")</f>
        <v/>
      </c>
      <c r="B914" s="2" t="n">
        <v>43231.6444212963</v>
      </c>
      <c r="C914" t="n">
        <v>0</v>
      </c>
      <c r="D914" t="n">
        <v>8</v>
      </c>
      <c r="E914" t="s">
        <v>922</v>
      </c>
      <c r="F914" t="s"/>
      <c r="G914" t="s"/>
      <c r="H914" t="s"/>
      <c r="I914" t="s"/>
      <c r="J914" t="n">
        <v>0.8718</v>
      </c>
      <c r="K914" t="n">
        <v>0</v>
      </c>
      <c r="L914" t="n">
        <v>0.476</v>
      </c>
      <c r="M914" t="n">
        <v>0.524</v>
      </c>
    </row>
    <row r="915" spans="1:13">
      <c r="A915" s="1">
        <f>HYPERLINK("http://www.twitter.com/NathanBLawrence/status/994962312657297415", "994962312657297415")</f>
        <v/>
      </c>
      <c r="B915" s="2" t="n">
        <v>43231.64438657407</v>
      </c>
      <c r="C915" t="n">
        <v>0</v>
      </c>
      <c r="D915" t="n">
        <v>0</v>
      </c>
      <c r="E915" t="s">
        <v>923</v>
      </c>
      <c r="F915" t="s"/>
      <c r="G915" t="s"/>
      <c r="H915" t="s"/>
      <c r="I915" t="s"/>
      <c r="J915" t="n">
        <v>0.4767</v>
      </c>
      <c r="K915" t="n">
        <v>0</v>
      </c>
      <c r="L915" t="n">
        <v>0.492</v>
      </c>
      <c r="M915" t="n">
        <v>0.508</v>
      </c>
    </row>
    <row r="916" spans="1:13">
      <c r="A916" s="1">
        <f>HYPERLINK("http://www.twitter.com/NathanBLawrence/status/994962225189281793", "994962225189281793")</f>
        <v/>
      </c>
      <c r="B916" s="2" t="n">
        <v>43231.64414351852</v>
      </c>
      <c r="C916" t="n">
        <v>0</v>
      </c>
      <c r="D916" t="n">
        <v>10</v>
      </c>
      <c r="E916" t="s">
        <v>924</v>
      </c>
      <c r="F916" t="s"/>
      <c r="G916" t="s"/>
      <c r="H916" t="s"/>
      <c r="I916" t="s"/>
      <c r="J916" t="n">
        <v>0</v>
      </c>
      <c r="K916" t="n">
        <v>0</v>
      </c>
      <c r="L916" t="n">
        <v>1</v>
      </c>
      <c r="M916" t="n">
        <v>0</v>
      </c>
    </row>
    <row r="917" spans="1:13">
      <c r="A917" s="1">
        <f>HYPERLINK("http://www.twitter.com/NathanBLawrence/status/994962144855764993", "994962144855764993")</f>
        <v/>
      </c>
      <c r="B917" s="2" t="n">
        <v>43231.64392361111</v>
      </c>
      <c r="C917" t="n">
        <v>0</v>
      </c>
      <c r="D917" t="n">
        <v>1</v>
      </c>
      <c r="E917" t="s">
        <v>925</v>
      </c>
      <c r="F917" t="s"/>
      <c r="G917" t="s"/>
      <c r="H917" t="s"/>
      <c r="I917" t="s"/>
      <c r="J917" t="n">
        <v>0.7574</v>
      </c>
      <c r="K917" t="n">
        <v>0</v>
      </c>
      <c r="L917" t="n">
        <v>0.581</v>
      </c>
      <c r="M917" t="n">
        <v>0.419</v>
      </c>
    </row>
    <row r="918" spans="1:13">
      <c r="A918" s="1">
        <f>HYPERLINK("http://www.twitter.com/NathanBLawrence/status/994962125847252992", "994962125847252992")</f>
        <v/>
      </c>
      <c r="B918" s="2" t="n">
        <v>43231.64386574074</v>
      </c>
      <c r="C918" t="n">
        <v>0</v>
      </c>
      <c r="D918" t="n">
        <v>1</v>
      </c>
      <c r="E918" t="s">
        <v>926</v>
      </c>
      <c r="F918" t="s"/>
      <c r="G918" t="s"/>
      <c r="H918" t="s"/>
      <c r="I918" t="s"/>
      <c r="J918" t="n">
        <v>0.9336</v>
      </c>
      <c r="K918" t="n">
        <v>0</v>
      </c>
      <c r="L918" t="n">
        <v>0.443</v>
      </c>
      <c r="M918" t="n">
        <v>0.5570000000000001</v>
      </c>
    </row>
    <row r="919" spans="1:13">
      <c r="A919" s="1">
        <f>HYPERLINK("http://www.twitter.com/NathanBLawrence/status/994962098479394817", "994962098479394817")</f>
        <v/>
      </c>
      <c r="B919" s="2" t="n">
        <v>43231.6437962963</v>
      </c>
      <c r="C919" t="n">
        <v>0</v>
      </c>
      <c r="D919" t="n">
        <v>31390</v>
      </c>
      <c r="E919" t="s">
        <v>927</v>
      </c>
      <c r="F919">
        <f>HYPERLINK("http://pbs.twimg.com/media/Dc6V7ZDX0AU8FpJ.jpg", "http://pbs.twimg.com/media/Dc6V7ZDX0AU8FpJ.jpg")</f>
        <v/>
      </c>
      <c r="G919">
        <f>HYPERLINK("http://pbs.twimg.com/media/Dc6V7YwWAAAxjEq.jpg", "http://pbs.twimg.com/media/Dc6V7YwWAAAxjEq.jpg")</f>
        <v/>
      </c>
      <c r="H919" t="s"/>
      <c r="I919" t="s"/>
      <c r="J919" t="n">
        <v>0.3182</v>
      </c>
      <c r="K919" t="n">
        <v>0.109</v>
      </c>
      <c r="L919" t="n">
        <v>0.724</v>
      </c>
      <c r="M919" t="n">
        <v>0.167</v>
      </c>
    </row>
    <row r="920" spans="1:13">
      <c r="A920" s="1">
        <f>HYPERLINK("http://www.twitter.com/NathanBLawrence/status/994962058121764864", "994962058121764864")</f>
        <v/>
      </c>
      <c r="B920" s="2" t="n">
        <v>43231.64368055556</v>
      </c>
      <c r="C920" t="n">
        <v>0</v>
      </c>
      <c r="D920" t="n">
        <v>2</v>
      </c>
      <c r="E920" t="s">
        <v>928</v>
      </c>
      <c r="F920" t="s"/>
      <c r="G920" t="s"/>
      <c r="H920" t="s"/>
      <c r="I920" t="s"/>
      <c r="J920" t="n">
        <v>0.5229</v>
      </c>
      <c r="K920" t="n">
        <v>0</v>
      </c>
      <c r="L920" t="n">
        <v>0.703</v>
      </c>
      <c r="M920" t="n">
        <v>0.297</v>
      </c>
    </row>
    <row r="921" spans="1:13">
      <c r="A921" s="1">
        <f>HYPERLINK("http://www.twitter.com/NathanBLawrence/status/994961855926951937", "994961855926951937")</f>
        <v/>
      </c>
      <c r="B921" s="2" t="n">
        <v>43231.643125</v>
      </c>
      <c r="C921" t="n">
        <v>0</v>
      </c>
      <c r="D921" t="n">
        <v>0</v>
      </c>
      <c r="E921" t="s">
        <v>929</v>
      </c>
      <c r="F921" t="s"/>
      <c r="G921" t="s"/>
      <c r="H921" t="s"/>
      <c r="I921" t="s"/>
      <c r="J921" t="n">
        <v>0.4215</v>
      </c>
      <c r="K921" t="n">
        <v>0.149</v>
      </c>
      <c r="L921" t="n">
        <v>0.519</v>
      </c>
      <c r="M921" t="n">
        <v>0.331</v>
      </c>
    </row>
    <row r="922" spans="1:13">
      <c r="A922" s="1">
        <f>HYPERLINK("http://www.twitter.com/NathanBLawrence/status/994961099538731008", "994961099538731008")</f>
        <v/>
      </c>
      <c r="B922" s="2" t="n">
        <v>43231.64104166667</v>
      </c>
      <c r="C922" t="n">
        <v>12</v>
      </c>
      <c r="D922" t="n">
        <v>10</v>
      </c>
      <c r="E922" t="s">
        <v>930</v>
      </c>
      <c r="F922" t="s"/>
      <c r="G922" t="s"/>
      <c r="H922" t="s"/>
      <c r="I922" t="s"/>
      <c r="J922" t="n">
        <v>-0.212</v>
      </c>
      <c r="K922" t="n">
        <v>0.078</v>
      </c>
      <c r="L922" t="n">
        <v>0.878</v>
      </c>
      <c r="M922" t="n">
        <v>0.045</v>
      </c>
    </row>
    <row r="923" spans="1:13">
      <c r="A923" s="1">
        <f>HYPERLINK("http://www.twitter.com/NathanBLawrence/status/994959589580918789", "994959589580918789")</f>
        <v/>
      </c>
      <c r="B923" s="2" t="n">
        <v>43231.636875</v>
      </c>
      <c r="C923" t="n">
        <v>0</v>
      </c>
      <c r="D923" t="n">
        <v>0</v>
      </c>
      <c r="E923" t="s">
        <v>931</v>
      </c>
      <c r="F923" t="s"/>
      <c r="G923" t="s"/>
      <c r="H923" t="s"/>
      <c r="I923" t="s"/>
      <c r="J923" t="n">
        <v>0.1572</v>
      </c>
      <c r="K923" t="n">
        <v>0</v>
      </c>
      <c r="L923" t="n">
        <v>0.889</v>
      </c>
      <c r="M923" t="n">
        <v>0.111</v>
      </c>
    </row>
    <row r="924" spans="1:13">
      <c r="A924" s="1">
        <f>HYPERLINK("http://www.twitter.com/NathanBLawrence/status/994958228156043264", "994958228156043264")</f>
        <v/>
      </c>
      <c r="B924" s="2" t="n">
        <v>43231.63311342592</v>
      </c>
      <c r="C924" t="n">
        <v>0</v>
      </c>
      <c r="D924" t="n">
        <v>12</v>
      </c>
      <c r="E924" t="s">
        <v>932</v>
      </c>
      <c r="F924" t="s"/>
      <c r="G924" t="s"/>
      <c r="H924" t="s"/>
      <c r="I924" t="s"/>
      <c r="J924" t="n">
        <v>0</v>
      </c>
      <c r="K924" t="n">
        <v>0</v>
      </c>
      <c r="L924" t="n">
        <v>1</v>
      </c>
      <c r="M924" t="n">
        <v>0</v>
      </c>
    </row>
    <row r="925" spans="1:13">
      <c r="A925" s="1">
        <f>HYPERLINK("http://www.twitter.com/NathanBLawrence/status/994958116805599233", "994958116805599233")</f>
        <v/>
      </c>
      <c r="B925" s="2" t="n">
        <v>43231.6328125</v>
      </c>
      <c r="C925" t="n">
        <v>0</v>
      </c>
      <c r="D925" t="n">
        <v>22</v>
      </c>
      <c r="E925" t="s">
        <v>933</v>
      </c>
      <c r="F925" t="s"/>
      <c r="G925" t="s"/>
      <c r="H925" t="s"/>
      <c r="I925" t="s"/>
      <c r="J925" t="n">
        <v>0.7178</v>
      </c>
      <c r="K925" t="n">
        <v>0.103</v>
      </c>
      <c r="L925" t="n">
        <v>0.596</v>
      </c>
      <c r="M925" t="n">
        <v>0.301</v>
      </c>
    </row>
    <row r="926" spans="1:13">
      <c r="A926" s="1">
        <f>HYPERLINK("http://www.twitter.com/NathanBLawrence/status/994957885368135680", "994957885368135680")</f>
        <v/>
      </c>
      <c r="B926" s="2" t="n">
        <v>43231.63216435185</v>
      </c>
      <c r="C926" t="n">
        <v>0</v>
      </c>
      <c r="D926" t="n">
        <v>3</v>
      </c>
      <c r="E926" t="s">
        <v>934</v>
      </c>
      <c r="F926" t="s"/>
      <c r="G926" t="s"/>
      <c r="H926" t="s"/>
      <c r="I926" t="s"/>
      <c r="J926" t="n">
        <v>0</v>
      </c>
      <c r="K926" t="n">
        <v>0</v>
      </c>
      <c r="L926" t="n">
        <v>1</v>
      </c>
      <c r="M926" t="n">
        <v>0</v>
      </c>
    </row>
    <row r="927" spans="1:13">
      <c r="A927" s="1">
        <f>HYPERLINK("http://www.twitter.com/NathanBLawrence/status/994957834902212608", "994957834902212608")</f>
        <v/>
      </c>
      <c r="B927" s="2" t="n">
        <v>43231.63202546296</v>
      </c>
      <c r="C927" t="n">
        <v>5</v>
      </c>
      <c r="D927" t="n">
        <v>3</v>
      </c>
      <c r="E927" t="s">
        <v>935</v>
      </c>
      <c r="F927" t="s"/>
      <c r="G927" t="s"/>
      <c r="H927" t="s"/>
      <c r="I927" t="s"/>
      <c r="J927" t="n">
        <v>0</v>
      </c>
      <c r="K927" t="n">
        <v>0</v>
      </c>
      <c r="L927" t="n">
        <v>1</v>
      </c>
      <c r="M927" t="n">
        <v>0</v>
      </c>
    </row>
    <row r="928" spans="1:13">
      <c r="A928" s="1">
        <f>HYPERLINK("http://www.twitter.com/NathanBLawrence/status/994957472283668482", "994957472283668482")</f>
        <v/>
      </c>
      <c r="B928" s="2" t="n">
        <v>43231.63103009259</v>
      </c>
      <c r="C928" t="n">
        <v>0</v>
      </c>
      <c r="D928" t="n">
        <v>36</v>
      </c>
      <c r="E928" t="s">
        <v>936</v>
      </c>
      <c r="F928" t="s"/>
      <c r="G928" t="s"/>
      <c r="H928" t="s"/>
      <c r="I928" t="s"/>
      <c r="J928" t="n">
        <v>-0.6239</v>
      </c>
      <c r="K928" t="n">
        <v>0.195</v>
      </c>
      <c r="L928" t="n">
        <v>0.805</v>
      </c>
      <c r="M928" t="n">
        <v>0</v>
      </c>
    </row>
    <row r="929" spans="1:13">
      <c r="A929" s="1">
        <f>HYPERLINK("http://www.twitter.com/NathanBLawrence/status/994957166904823808", "994957166904823808")</f>
        <v/>
      </c>
      <c r="B929" s="2" t="n">
        <v>43231.63018518518</v>
      </c>
      <c r="C929" t="n">
        <v>0</v>
      </c>
      <c r="D929" t="n">
        <v>14</v>
      </c>
      <c r="E929" t="s">
        <v>937</v>
      </c>
      <c r="F929" t="s"/>
      <c r="G929" t="s"/>
      <c r="H929" t="s"/>
      <c r="I929" t="s"/>
      <c r="J929" t="n">
        <v>0.4265</v>
      </c>
      <c r="K929" t="n">
        <v>0.045</v>
      </c>
      <c r="L929" t="n">
        <v>0.834</v>
      </c>
      <c r="M929" t="n">
        <v>0.121</v>
      </c>
    </row>
    <row r="930" spans="1:13">
      <c r="A930" s="1">
        <f>HYPERLINK("http://www.twitter.com/NathanBLawrence/status/994956582973788161", "994956582973788161")</f>
        <v/>
      </c>
      <c r="B930" s="2" t="n">
        <v>43231.62857638889</v>
      </c>
      <c r="C930" t="n">
        <v>0</v>
      </c>
      <c r="D930" t="n">
        <v>17</v>
      </c>
      <c r="E930" t="s">
        <v>938</v>
      </c>
      <c r="F930" t="s"/>
      <c r="G930" t="s"/>
      <c r="H930" t="s"/>
      <c r="I930" t="s"/>
      <c r="J930" t="n">
        <v>-0.2023</v>
      </c>
      <c r="K930" t="n">
        <v>0.096</v>
      </c>
      <c r="L930" t="n">
        <v>0.904</v>
      </c>
      <c r="M930" t="n">
        <v>0</v>
      </c>
    </row>
    <row r="931" spans="1:13">
      <c r="A931" s="1">
        <f>HYPERLINK("http://www.twitter.com/NathanBLawrence/status/994956062032912384", "994956062032912384")</f>
        <v/>
      </c>
      <c r="B931" s="2" t="n">
        <v>43231.6271412037</v>
      </c>
      <c r="C931" t="n">
        <v>18</v>
      </c>
      <c r="D931" t="n">
        <v>14</v>
      </c>
      <c r="E931" t="s">
        <v>939</v>
      </c>
      <c r="F931" t="s"/>
      <c r="G931" t="s"/>
      <c r="H931" t="s"/>
      <c r="I931" t="s"/>
      <c r="J931" t="n">
        <v>0.5894</v>
      </c>
      <c r="K931" t="n">
        <v>0.031</v>
      </c>
      <c r="L931" t="n">
        <v>0.829</v>
      </c>
      <c r="M931" t="n">
        <v>0.14</v>
      </c>
    </row>
    <row r="932" spans="1:13">
      <c r="A932" s="1">
        <f>HYPERLINK("http://www.twitter.com/NathanBLawrence/status/994953208836608002", "994953208836608002")</f>
        <v/>
      </c>
      <c r="B932" s="2" t="n">
        <v>43231.61925925926</v>
      </c>
      <c r="C932" t="n">
        <v>0</v>
      </c>
      <c r="D932" t="n">
        <v>9</v>
      </c>
      <c r="E932" t="s">
        <v>940</v>
      </c>
      <c r="F932" t="s"/>
      <c r="G932" t="s"/>
      <c r="H932" t="s"/>
      <c r="I932" t="s"/>
      <c r="J932" t="n">
        <v>-0.7691</v>
      </c>
      <c r="K932" t="n">
        <v>0.314</v>
      </c>
      <c r="L932" t="n">
        <v>0.524</v>
      </c>
      <c r="M932" t="n">
        <v>0.162</v>
      </c>
    </row>
    <row r="933" spans="1:13">
      <c r="A933" s="1">
        <f>HYPERLINK("http://www.twitter.com/NathanBLawrence/status/994953127072845824", "994953127072845824")</f>
        <v/>
      </c>
      <c r="B933" s="2" t="n">
        <v>43231.61903935186</v>
      </c>
      <c r="C933" t="n">
        <v>52</v>
      </c>
      <c r="D933" t="n">
        <v>17</v>
      </c>
      <c r="E933" t="s">
        <v>941</v>
      </c>
      <c r="F933" t="s"/>
      <c r="G933" t="s"/>
      <c r="H933" t="s"/>
      <c r="I933" t="s"/>
      <c r="J933" t="n">
        <v>0.8762</v>
      </c>
      <c r="K933" t="n">
        <v>0.102</v>
      </c>
      <c r="L933" t="n">
        <v>0.655</v>
      </c>
      <c r="M933" t="n">
        <v>0.243</v>
      </c>
    </row>
    <row r="934" spans="1:13">
      <c r="A934" s="1">
        <f>HYPERLINK("http://www.twitter.com/NathanBLawrence/status/994951860346814464", "994951860346814464")</f>
        <v/>
      </c>
      <c r="B934" s="2" t="n">
        <v>43231.61554398148</v>
      </c>
      <c r="C934" t="n">
        <v>8</v>
      </c>
      <c r="D934" t="n">
        <v>0</v>
      </c>
      <c r="E934" t="s">
        <v>942</v>
      </c>
      <c r="F934" t="s"/>
      <c r="G934" t="s"/>
      <c r="H934" t="s"/>
      <c r="I934" t="s"/>
      <c r="J934" t="n">
        <v>0.3612</v>
      </c>
      <c r="K934" t="n">
        <v>0</v>
      </c>
      <c r="L934" t="n">
        <v>0.615</v>
      </c>
      <c r="M934" t="n">
        <v>0.385</v>
      </c>
    </row>
    <row r="935" spans="1:13">
      <c r="A935" s="1">
        <f>HYPERLINK("http://www.twitter.com/NathanBLawrence/status/994951811755847680", "994951811755847680")</f>
        <v/>
      </c>
      <c r="B935" s="2" t="n">
        <v>43231.61540509259</v>
      </c>
      <c r="C935" t="n">
        <v>0</v>
      </c>
      <c r="D935" t="n">
        <v>6937</v>
      </c>
      <c r="E935" t="s">
        <v>943</v>
      </c>
      <c r="F935">
        <f>HYPERLINK("http://pbs.twimg.com/media/Dc6KwZmX4AABebR.jpg", "http://pbs.twimg.com/media/Dc6KwZmX4AABebR.jpg")</f>
        <v/>
      </c>
      <c r="G935">
        <f>HYPERLINK("http://pbs.twimg.com/media/Dc6KwZoWAAApoy6.jpg", "http://pbs.twimg.com/media/Dc6KwZoWAAApoy6.jpg")</f>
        <v/>
      </c>
      <c r="H935">
        <f>HYPERLINK("http://pbs.twimg.com/media/Dc6KwZ4XcAEq9Qq.jpg", "http://pbs.twimg.com/media/Dc6KwZ4XcAEq9Qq.jpg")</f>
        <v/>
      </c>
      <c r="I935">
        <f>HYPERLINK("http://pbs.twimg.com/media/Dc6KwZ5WkAEFhfT.jpg", "http://pbs.twimg.com/media/Dc6KwZ5WkAEFhfT.jpg")</f>
        <v/>
      </c>
      <c r="J935" t="n">
        <v>0.4199</v>
      </c>
      <c r="K935" t="n">
        <v>0</v>
      </c>
      <c r="L935" t="n">
        <v>0.896</v>
      </c>
      <c r="M935" t="n">
        <v>0.104</v>
      </c>
    </row>
    <row r="936" spans="1:13">
      <c r="A936" s="1">
        <f>HYPERLINK("http://www.twitter.com/NathanBLawrence/status/994951548303302657", "994951548303302657")</f>
        <v/>
      </c>
      <c r="B936" s="2" t="n">
        <v>43231.6146875</v>
      </c>
      <c r="C936" t="n">
        <v>2</v>
      </c>
      <c r="D936" t="n">
        <v>0</v>
      </c>
      <c r="E936" t="s">
        <v>944</v>
      </c>
      <c r="F936" t="s"/>
      <c r="G936" t="s"/>
      <c r="H936" t="s"/>
      <c r="I936" t="s"/>
      <c r="J936" t="n">
        <v>0.4767</v>
      </c>
      <c r="K936" t="n">
        <v>0</v>
      </c>
      <c r="L936" t="n">
        <v>0.744</v>
      </c>
      <c r="M936" t="n">
        <v>0.256</v>
      </c>
    </row>
    <row r="937" spans="1:13">
      <c r="A937" s="1">
        <f>HYPERLINK("http://www.twitter.com/NathanBLawrence/status/994951347513516032", "994951347513516032")</f>
        <v/>
      </c>
      <c r="B937" s="2" t="n">
        <v>43231.61413194444</v>
      </c>
      <c r="C937" t="n">
        <v>0</v>
      </c>
      <c r="D937" t="n">
        <v>29</v>
      </c>
      <c r="E937" t="s">
        <v>945</v>
      </c>
      <c r="F937" t="s"/>
      <c r="G937" t="s"/>
      <c r="H937" t="s"/>
      <c r="I937" t="s"/>
      <c r="J937" t="n">
        <v>0.4019</v>
      </c>
      <c r="K937" t="n">
        <v>0</v>
      </c>
      <c r="L937" t="n">
        <v>0.787</v>
      </c>
      <c r="M937" t="n">
        <v>0.213</v>
      </c>
    </row>
    <row r="938" spans="1:13">
      <c r="A938" s="1">
        <f>HYPERLINK("http://www.twitter.com/NathanBLawrence/status/994950862760968193", "994950862760968193")</f>
        <v/>
      </c>
      <c r="B938" s="2" t="n">
        <v>43231.61278935185</v>
      </c>
      <c r="C938" t="n">
        <v>136</v>
      </c>
      <c r="D938" t="n">
        <v>110</v>
      </c>
      <c r="E938" t="s">
        <v>946</v>
      </c>
      <c r="F938">
        <f>HYPERLINK("http://pbs.twimg.com/media/Dc7GiKbVAAAc4nV.jpg", "http://pbs.twimg.com/media/Dc7GiKbVAAAc4nV.jpg")</f>
        <v/>
      </c>
      <c r="G938" t="s"/>
      <c r="H938" t="s"/>
      <c r="I938" t="s"/>
      <c r="J938" t="n">
        <v>0.0258</v>
      </c>
      <c r="K938" t="n">
        <v>0.047</v>
      </c>
      <c r="L938" t="n">
        <v>0.904</v>
      </c>
      <c r="M938" t="n">
        <v>0.049</v>
      </c>
    </row>
    <row r="939" spans="1:13">
      <c r="A939" s="1">
        <f>HYPERLINK("http://www.twitter.com/NathanBLawrence/status/994949210188468225", "994949210188468225")</f>
        <v/>
      </c>
      <c r="B939" s="2" t="n">
        <v>43231.60822916667</v>
      </c>
      <c r="C939" t="n">
        <v>1</v>
      </c>
      <c r="D939" t="n">
        <v>0</v>
      </c>
      <c r="E939" t="s">
        <v>947</v>
      </c>
      <c r="F939" t="s"/>
      <c r="G939" t="s"/>
      <c r="H939" t="s"/>
      <c r="I939" t="s"/>
      <c r="J939" t="n">
        <v>-0.2023</v>
      </c>
      <c r="K939" t="n">
        <v>0.107</v>
      </c>
      <c r="L939" t="n">
        <v>0.8149999999999999</v>
      </c>
      <c r="M939" t="n">
        <v>0.078</v>
      </c>
    </row>
    <row r="940" spans="1:13">
      <c r="A940" s="1">
        <f>HYPERLINK("http://www.twitter.com/NathanBLawrence/status/994945983959195648", "994945983959195648")</f>
        <v/>
      </c>
      <c r="B940" s="2" t="n">
        <v>43231.59932870371</v>
      </c>
      <c r="C940" t="n">
        <v>0</v>
      </c>
      <c r="D940" t="n">
        <v>1</v>
      </c>
      <c r="E940" t="s">
        <v>948</v>
      </c>
      <c r="F940" t="s"/>
      <c r="G940" t="s"/>
      <c r="H940" t="s"/>
      <c r="I940" t="s"/>
      <c r="J940" t="n">
        <v>0</v>
      </c>
      <c r="K940" t="n">
        <v>0</v>
      </c>
      <c r="L940" t="n">
        <v>1</v>
      </c>
      <c r="M940" t="n">
        <v>0</v>
      </c>
    </row>
    <row r="941" spans="1:13">
      <c r="A941" s="1">
        <f>HYPERLINK("http://www.twitter.com/NathanBLawrence/status/994945523734990854", "994945523734990854")</f>
        <v/>
      </c>
      <c r="B941" s="2" t="n">
        <v>43231.59805555556</v>
      </c>
      <c r="C941" t="n">
        <v>50</v>
      </c>
      <c r="D941" t="n">
        <v>50</v>
      </c>
      <c r="E941" t="s">
        <v>949</v>
      </c>
      <c r="F941">
        <f>HYPERLINK("http://pbs.twimg.com/media/Dc7BrMVV4AIT3UF.jpg", "http://pbs.twimg.com/media/Dc7BrMVV4AIT3UF.jpg")</f>
        <v/>
      </c>
      <c r="G941" t="s"/>
      <c r="H941" t="s"/>
      <c r="I941" t="s"/>
      <c r="J941" t="n">
        <v>0</v>
      </c>
      <c r="K941" t="n">
        <v>0</v>
      </c>
      <c r="L941" t="n">
        <v>1</v>
      </c>
      <c r="M941" t="n">
        <v>0</v>
      </c>
    </row>
    <row r="942" spans="1:13">
      <c r="A942" s="1">
        <f>HYPERLINK("http://www.twitter.com/NathanBLawrence/status/994944803254296576", "994944803254296576")</f>
        <v/>
      </c>
      <c r="B942" s="2" t="n">
        <v>43231.59606481482</v>
      </c>
      <c r="C942" t="n">
        <v>6</v>
      </c>
      <c r="D942" t="n">
        <v>2</v>
      </c>
      <c r="E942" t="s">
        <v>950</v>
      </c>
      <c r="F942" t="s"/>
      <c r="G942" t="s"/>
      <c r="H942" t="s"/>
      <c r="I942" t="s"/>
      <c r="J942" t="n">
        <v>-0.5809</v>
      </c>
      <c r="K942" t="n">
        <v>0.239</v>
      </c>
      <c r="L942" t="n">
        <v>0.761</v>
      </c>
      <c r="M942" t="n">
        <v>0</v>
      </c>
    </row>
    <row r="943" spans="1:13">
      <c r="A943" s="1">
        <f>HYPERLINK("http://www.twitter.com/NathanBLawrence/status/994944026146234368", "994944026146234368")</f>
        <v/>
      </c>
      <c r="B943" s="2" t="n">
        <v>43231.59392361111</v>
      </c>
      <c r="C943" t="n">
        <v>0</v>
      </c>
      <c r="D943" t="n">
        <v>39</v>
      </c>
      <c r="E943" t="s">
        <v>951</v>
      </c>
      <c r="F943" t="s"/>
      <c r="G943" t="s"/>
      <c r="H943" t="s"/>
      <c r="I943" t="s"/>
      <c r="J943" t="n">
        <v>0</v>
      </c>
      <c r="K943" t="n">
        <v>0</v>
      </c>
      <c r="L943" t="n">
        <v>1</v>
      </c>
      <c r="M943" t="n">
        <v>0</v>
      </c>
    </row>
    <row r="944" spans="1:13">
      <c r="A944" s="1">
        <f>HYPERLINK("http://www.twitter.com/NathanBLawrence/status/994943857291866113", "994943857291866113")</f>
        <v/>
      </c>
      <c r="B944" s="2" t="n">
        <v>43231.59346064815</v>
      </c>
      <c r="C944" t="n">
        <v>2</v>
      </c>
      <c r="D944" t="n">
        <v>1</v>
      </c>
      <c r="E944" t="s">
        <v>952</v>
      </c>
      <c r="F944" t="s"/>
      <c r="G944" t="s"/>
      <c r="H944" t="s"/>
      <c r="I944" t="s"/>
      <c r="J944" t="n">
        <v>0.128</v>
      </c>
      <c r="K944" t="n">
        <v>0</v>
      </c>
      <c r="L944" t="n">
        <v>0.857</v>
      </c>
      <c r="M944" t="n">
        <v>0.143</v>
      </c>
    </row>
    <row r="945" spans="1:13">
      <c r="A945" s="1">
        <f>HYPERLINK("http://www.twitter.com/NathanBLawrence/status/994943436016046081", "994943436016046081")</f>
        <v/>
      </c>
      <c r="B945" s="2" t="n">
        <v>43231.59229166667</v>
      </c>
      <c r="C945" t="n">
        <v>0</v>
      </c>
      <c r="D945" t="n">
        <v>533</v>
      </c>
      <c r="E945" t="s">
        <v>953</v>
      </c>
      <c r="F945" t="s"/>
      <c r="G945" t="s"/>
      <c r="H945" t="s"/>
      <c r="I945" t="s"/>
      <c r="J945" t="n">
        <v>-0.891</v>
      </c>
      <c r="K945" t="n">
        <v>0.382</v>
      </c>
      <c r="L945" t="n">
        <v>0.541</v>
      </c>
      <c r="M945" t="n">
        <v>0.076</v>
      </c>
    </row>
    <row r="946" spans="1:13">
      <c r="A946" s="1">
        <f>HYPERLINK("http://www.twitter.com/NathanBLawrence/status/994943311097094144", "994943311097094144")</f>
        <v/>
      </c>
      <c r="B946" s="2" t="n">
        <v>43231.59195601852</v>
      </c>
      <c r="C946" t="n">
        <v>0</v>
      </c>
      <c r="D946" t="n">
        <v>20</v>
      </c>
      <c r="E946" t="s">
        <v>954</v>
      </c>
      <c r="F946" t="s"/>
      <c r="G946" t="s"/>
      <c r="H946" t="s"/>
      <c r="I946" t="s"/>
      <c r="J946" t="n">
        <v>-0.6588000000000001</v>
      </c>
      <c r="K946" t="n">
        <v>0.215</v>
      </c>
      <c r="L946" t="n">
        <v>0.785</v>
      </c>
      <c r="M946" t="n">
        <v>0</v>
      </c>
    </row>
    <row r="947" spans="1:13">
      <c r="A947" s="1">
        <f>HYPERLINK("http://www.twitter.com/NathanBLawrence/status/994943039658430464", "994943039658430464")</f>
        <v/>
      </c>
      <c r="B947" s="2" t="n">
        <v>43231.59120370371</v>
      </c>
      <c r="C947" t="n">
        <v>0</v>
      </c>
      <c r="D947" t="n">
        <v>0</v>
      </c>
      <c r="E947" t="s">
        <v>955</v>
      </c>
      <c r="F947" t="s"/>
      <c r="G947" t="s"/>
      <c r="H947" t="s"/>
      <c r="I947" t="s"/>
      <c r="J947" t="n">
        <v>0.4404</v>
      </c>
      <c r="K947" t="n">
        <v>0</v>
      </c>
      <c r="L947" t="n">
        <v>0.58</v>
      </c>
      <c r="M947" t="n">
        <v>0.42</v>
      </c>
    </row>
    <row r="948" spans="1:13">
      <c r="A948" s="1">
        <f>HYPERLINK("http://www.twitter.com/NathanBLawrence/status/994942416510685185", "994942416510685185")</f>
        <v/>
      </c>
      <c r="B948" s="2" t="n">
        <v>43231.58947916667</v>
      </c>
      <c r="C948" t="n">
        <v>6</v>
      </c>
      <c r="D948" t="n">
        <v>2</v>
      </c>
      <c r="E948" t="s">
        <v>956</v>
      </c>
      <c r="F948" t="s"/>
      <c r="G948" t="s"/>
      <c r="H948" t="s"/>
      <c r="I948" t="s"/>
      <c r="J948" t="n">
        <v>-0.296</v>
      </c>
      <c r="K948" t="n">
        <v>0.145</v>
      </c>
      <c r="L948" t="n">
        <v>0.855</v>
      </c>
      <c r="M948" t="n">
        <v>0</v>
      </c>
    </row>
    <row r="949" spans="1:13">
      <c r="A949" s="1">
        <f>HYPERLINK("http://www.twitter.com/NathanBLawrence/status/994940509209710592", "994940509209710592")</f>
        <v/>
      </c>
      <c r="B949" s="2" t="n">
        <v>43231.58422453704</v>
      </c>
      <c r="C949" t="n">
        <v>0</v>
      </c>
      <c r="D949" t="n">
        <v>73</v>
      </c>
      <c r="E949" t="s">
        <v>957</v>
      </c>
      <c r="F949">
        <f>HYPERLINK("http://pbs.twimg.com/media/Dc68wRjXcAI_8T-.jpg", "http://pbs.twimg.com/media/Dc68wRjXcAI_8T-.jpg")</f>
        <v/>
      </c>
      <c r="G949" t="s"/>
      <c r="H949" t="s"/>
      <c r="I949" t="s"/>
      <c r="J949" t="n">
        <v>0.7506</v>
      </c>
      <c r="K949" t="n">
        <v>0</v>
      </c>
      <c r="L949" t="n">
        <v>0.67</v>
      </c>
      <c r="M949" t="n">
        <v>0.33</v>
      </c>
    </row>
    <row r="950" spans="1:13">
      <c r="A950" s="1">
        <f>HYPERLINK("http://www.twitter.com/NathanBLawrence/status/994940015984676864", "994940015984676864")</f>
        <v/>
      </c>
      <c r="B950" s="2" t="n">
        <v>43231.5828587963</v>
      </c>
      <c r="C950" t="n">
        <v>12</v>
      </c>
      <c r="D950" t="n">
        <v>15</v>
      </c>
      <c r="E950" t="s">
        <v>958</v>
      </c>
      <c r="F950" t="s"/>
      <c r="G950" t="s"/>
      <c r="H950" t="s"/>
      <c r="I950" t="s"/>
      <c r="J950" t="n">
        <v>-0.3818</v>
      </c>
      <c r="K950" t="n">
        <v>0.096</v>
      </c>
      <c r="L950" t="n">
        <v>0.855</v>
      </c>
      <c r="M950" t="n">
        <v>0.049</v>
      </c>
    </row>
    <row r="951" spans="1:13">
      <c r="A951" s="1">
        <f>HYPERLINK("http://www.twitter.com/NathanBLawrence/status/994934442350272512", "994934442350272512")</f>
        <v/>
      </c>
      <c r="B951" s="2" t="n">
        <v>43231.56747685185</v>
      </c>
      <c r="C951" t="n">
        <v>0</v>
      </c>
      <c r="D951" t="n">
        <v>2</v>
      </c>
      <c r="E951" t="s">
        <v>959</v>
      </c>
      <c r="F951" t="s"/>
      <c r="G951" t="s"/>
      <c r="H951" t="s"/>
      <c r="I951" t="s"/>
      <c r="J951" t="n">
        <v>0.3109</v>
      </c>
      <c r="K951" t="n">
        <v>0.127</v>
      </c>
      <c r="L951" t="n">
        <v>0.6919999999999999</v>
      </c>
      <c r="M951" t="n">
        <v>0.182</v>
      </c>
    </row>
    <row r="952" spans="1:13">
      <c r="A952" s="1">
        <f>HYPERLINK("http://www.twitter.com/NathanBLawrence/status/994934301291663361", "994934301291663361")</f>
        <v/>
      </c>
      <c r="B952" s="2" t="n">
        <v>43231.5670949074</v>
      </c>
      <c r="C952" t="n">
        <v>2</v>
      </c>
      <c r="D952" t="n">
        <v>0</v>
      </c>
      <c r="E952" t="s">
        <v>960</v>
      </c>
      <c r="F952" t="s"/>
      <c r="G952" t="s"/>
      <c r="H952" t="s"/>
      <c r="I952" t="s"/>
      <c r="J952" t="n">
        <v>0</v>
      </c>
      <c r="K952" t="n">
        <v>0</v>
      </c>
      <c r="L952" t="n">
        <v>1</v>
      </c>
      <c r="M952" t="n">
        <v>0</v>
      </c>
    </row>
    <row r="953" spans="1:13">
      <c r="A953" s="1">
        <f>HYPERLINK("http://www.twitter.com/NathanBLawrence/status/994933766056497152", "994933766056497152")</f>
        <v/>
      </c>
      <c r="B953" s="2" t="n">
        <v>43231.56561342593</v>
      </c>
      <c r="C953" t="n">
        <v>0</v>
      </c>
      <c r="D953" t="n">
        <v>138</v>
      </c>
      <c r="E953" t="s">
        <v>961</v>
      </c>
      <c r="F953">
        <f>HYPERLINK("http://pbs.twimg.com/media/Dc3v7UWU8AYfBPC.jpg", "http://pbs.twimg.com/media/Dc3v7UWU8AYfBPC.jpg")</f>
        <v/>
      </c>
      <c r="G953" t="s"/>
      <c r="H953" t="s"/>
      <c r="I953" t="s"/>
      <c r="J953" t="n">
        <v>0</v>
      </c>
      <c r="K953" t="n">
        <v>0</v>
      </c>
      <c r="L953" t="n">
        <v>1</v>
      </c>
      <c r="M953" t="n">
        <v>0</v>
      </c>
    </row>
    <row r="954" spans="1:13">
      <c r="A954" s="1">
        <f>HYPERLINK("http://www.twitter.com/NathanBLawrence/status/994933539127857152", "994933539127857152")</f>
        <v/>
      </c>
      <c r="B954" s="2" t="n">
        <v>43231.56498842593</v>
      </c>
      <c r="C954" t="n">
        <v>0</v>
      </c>
      <c r="D954" t="n">
        <v>39</v>
      </c>
      <c r="E954" t="s">
        <v>962</v>
      </c>
      <c r="F954">
        <f>HYPERLINK("http://pbs.twimg.com/media/Dc6eoZUX0AApCEk.jpg", "http://pbs.twimg.com/media/Dc6eoZUX0AApCEk.jpg")</f>
        <v/>
      </c>
      <c r="G954" t="s"/>
      <c r="H954" t="s"/>
      <c r="I954" t="s"/>
      <c r="J954" t="n">
        <v>-0.9186</v>
      </c>
      <c r="K954" t="n">
        <v>0.394</v>
      </c>
      <c r="L954" t="n">
        <v>0.606</v>
      </c>
      <c r="M954" t="n">
        <v>0</v>
      </c>
    </row>
    <row r="955" spans="1:13">
      <c r="A955" s="1">
        <f>HYPERLINK("http://www.twitter.com/NathanBLawrence/status/994933367576645632", "994933367576645632")</f>
        <v/>
      </c>
      <c r="B955" s="2" t="n">
        <v>43231.56451388889</v>
      </c>
      <c r="C955" t="n">
        <v>0</v>
      </c>
      <c r="D955" t="n">
        <v>6</v>
      </c>
      <c r="E955" t="s">
        <v>963</v>
      </c>
      <c r="F955" t="s"/>
      <c r="G955" t="s"/>
      <c r="H955" t="s"/>
      <c r="I955" t="s"/>
      <c r="J955" t="n">
        <v>0</v>
      </c>
      <c r="K955" t="n">
        <v>0</v>
      </c>
      <c r="L955" t="n">
        <v>1</v>
      </c>
      <c r="M955" t="n">
        <v>0</v>
      </c>
    </row>
    <row r="956" spans="1:13">
      <c r="A956" s="1">
        <f>HYPERLINK("http://www.twitter.com/NathanBLawrence/status/994933271141273600", "994933271141273600")</f>
        <v/>
      </c>
      <c r="B956" s="2" t="n">
        <v>43231.56424768519</v>
      </c>
      <c r="C956" t="n">
        <v>0</v>
      </c>
      <c r="D956" t="n">
        <v>749</v>
      </c>
      <c r="E956" t="s">
        <v>964</v>
      </c>
      <c r="F956">
        <f>HYPERLINK("https://video.twimg.com/amplify_video/994894893356142592/vid/720x720/sNYa2pcoMNLxfusL.mp4?tag=2", "https://video.twimg.com/amplify_video/994894893356142592/vid/720x720/sNYa2pcoMNLxfusL.mp4?tag=2")</f>
        <v/>
      </c>
      <c r="G956" t="s"/>
      <c r="H956" t="s"/>
      <c r="I956" t="s"/>
      <c r="J956" t="n">
        <v>0.8625</v>
      </c>
      <c r="K956" t="n">
        <v>0</v>
      </c>
      <c r="L956" t="n">
        <v>0.676</v>
      </c>
      <c r="M956" t="n">
        <v>0.324</v>
      </c>
    </row>
    <row r="957" spans="1:13">
      <c r="A957" s="1">
        <f>HYPERLINK("http://www.twitter.com/NathanBLawrence/status/994932979645415424", "994932979645415424")</f>
        <v/>
      </c>
      <c r="B957" s="2" t="n">
        <v>43231.5634375</v>
      </c>
      <c r="C957" t="n">
        <v>0</v>
      </c>
      <c r="D957" t="n">
        <v>2078</v>
      </c>
      <c r="E957" t="s">
        <v>965</v>
      </c>
      <c r="F957">
        <f>HYPERLINK("http://pbs.twimg.com/media/DassAptW4AAHv6W.jpg", "http://pbs.twimg.com/media/DassAptW4AAHv6W.jpg")</f>
        <v/>
      </c>
      <c r="G957" t="s"/>
      <c r="H957" t="s"/>
      <c r="I957" t="s"/>
      <c r="J957" t="n">
        <v>0</v>
      </c>
      <c r="K957" t="n">
        <v>0</v>
      </c>
      <c r="L957" t="n">
        <v>1</v>
      </c>
      <c r="M957" t="n">
        <v>0</v>
      </c>
    </row>
    <row r="958" spans="1:13">
      <c r="A958" s="1">
        <f>HYPERLINK("http://www.twitter.com/NathanBLawrence/status/994932853149458433", "994932853149458433")</f>
        <v/>
      </c>
      <c r="B958" s="2" t="n">
        <v>43231.56309027778</v>
      </c>
      <c r="C958" t="n">
        <v>0</v>
      </c>
      <c r="D958" t="n">
        <v>157</v>
      </c>
      <c r="E958" t="s">
        <v>966</v>
      </c>
      <c r="F958">
        <f>HYPERLINK("http://pbs.twimg.com/media/Dc6wqhuXUAAPJ-Q.jpg", "http://pbs.twimg.com/media/Dc6wqhuXUAAPJ-Q.jpg")</f>
        <v/>
      </c>
      <c r="G958">
        <f>HYPERLINK("http://pbs.twimg.com/media/Dc6wqhuX0AQW0z2.jpg", "http://pbs.twimg.com/media/Dc6wqhuX0AQW0z2.jpg")</f>
        <v/>
      </c>
      <c r="H958" t="s"/>
      <c r="I958" t="s"/>
      <c r="J958" t="n">
        <v>0.7506</v>
      </c>
      <c r="K958" t="n">
        <v>0.068</v>
      </c>
      <c r="L958" t="n">
        <v>0.6820000000000001</v>
      </c>
      <c r="M958" t="n">
        <v>0.25</v>
      </c>
    </row>
    <row r="959" spans="1:13">
      <c r="A959" s="1">
        <f>HYPERLINK("http://www.twitter.com/NathanBLawrence/status/994932611528253440", "994932611528253440")</f>
        <v/>
      </c>
      <c r="B959" s="2" t="n">
        <v>43231.56243055555</v>
      </c>
      <c r="C959" t="n">
        <v>6</v>
      </c>
      <c r="D959" t="n">
        <v>5</v>
      </c>
      <c r="E959" t="s">
        <v>967</v>
      </c>
      <c r="F959" t="s"/>
      <c r="G959" t="s"/>
      <c r="H959" t="s"/>
      <c r="I959" t="s"/>
      <c r="J959" t="n">
        <v>-0.4588</v>
      </c>
      <c r="K959" t="n">
        <v>0.231</v>
      </c>
      <c r="L959" t="n">
        <v>0.769</v>
      </c>
      <c r="M959" t="n">
        <v>0</v>
      </c>
    </row>
    <row r="960" spans="1:13">
      <c r="A960" s="1">
        <f>HYPERLINK("http://www.twitter.com/NathanBLawrence/status/994932332783112192", "994932332783112192")</f>
        <v/>
      </c>
      <c r="B960" s="2" t="n">
        <v>43231.56165509259</v>
      </c>
      <c r="C960" t="n">
        <v>0</v>
      </c>
      <c r="D960" t="n">
        <v>63</v>
      </c>
      <c r="E960" t="s">
        <v>968</v>
      </c>
      <c r="F960" t="s"/>
      <c r="G960" t="s"/>
      <c r="H960" t="s"/>
      <c r="I960" t="s"/>
      <c r="J960" t="n">
        <v>0</v>
      </c>
      <c r="K960" t="n">
        <v>0</v>
      </c>
      <c r="L960" t="n">
        <v>1</v>
      </c>
      <c r="M960" t="n">
        <v>0</v>
      </c>
    </row>
    <row r="961" spans="1:13">
      <c r="A961" s="1">
        <f>HYPERLINK("http://www.twitter.com/NathanBLawrence/status/994930526292234241", "994930526292234241")</f>
        <v/>
      </c>
      <c r="B961" s="2" t="n">
        <v>43231.55667824074</v>
      </c>
      <c r="C961" t="n">
        <v>0</v>
      </c>
      <c r="D961" t="n">
        <v>24</v>
      </c>
      <c r="E961" t="s">
        <v>969</v>
      </c>
      <c r="F961">
        <f>HYPERLINK("http://pbs.twimg.com/media/DViTUOVVQAAd1_G.jpg", "http://pbs.twimg.com/media/DViTUOVVQAAd1_G.jpg")</f>
        <v/>
      </c>
      <c r="G961" t="s"/>
      <c r="H961" t="s"/>
      <c r="I961" t="s"/>
      <c r="J961" t="n">
        <v>0</v>
      </c>
      <c r="K961" t="n">
        <v>0</v>
      </c>
      <c r="L961" t="n">
        <v>1</v>
      </c>
      <c r="M961" t="n">
        <v>0</v>
      </c>
    </row>
    <row r="962" spans="1:13">
      <c r="A962" s="1">
        <f>HYPERLINK("http://www.twitter.com/NathanBLawrence/status/994930490380611584", "994930490380611584")</f>
        <v/>
      </c>
      <c r="B962" s="2" t="n">
        <v>43231.55657407407</v>
      </c>
      <c r="C962" t="n">
        <v>0</v>
      </c>
      <c r="D962" t="n">
        <v>73</v>
      </c>
      <c r="E962" t="s">
        <v>970</v>
      </c>
      <c r="F962">
        <f>HYPERLINK("http://pbs.twimg.com/media/DVF2xd3V4AAuH8K.jpg", "http://pbs.twimg.com/media/DVF2xd3V4AAuH8K.jpg")</f>
        <v/>
      </c>
      <c r="G962" t="s"/>
      <c r="H962" t="s"/>
      <c r="I962" t="s"/>
      <c r="J962" t="n">
        <v>0.6249</v>
      </c>
      <c r="K962" t="n">
        <v>0.15</v>
      </c>
      <c r="L962" t="n">
        <v>0.623</v>
      </c>
      <c r="M962" t="n">
        <v>0.227</v>
      </c>
    </row>
    <row r="963" spans="1:13">
      <c r="A963" s="1">
        <f>HYPERLINK("http://www.twitter.com/NathanBLawrence/status/994930386366017537", "994930386366017537")</f>
        <v/>
      </c>
      <c r="B963" s="2" t="n">
        <v>43231.55628472222</v>
      </c>
      <c r="C963" t="n">
        <v>0</v>
      </c>
      <c r="D963" t="n">
        <v>4</v>
      </c>
      <c r="E963" t="s">
        <v>971</v>
      </c>
      <c r="F963">
        <f>HYPERLINK("http://pbs.twimg.com/media/DTmxt1cU8AAPKK7.jpg", "http://pbs.twimg.com/media/DTmxt1cU8AAPKK7.jpg")</f>
        <v/>
      </c>
      <c r="G963" t="s"/>
      <c r="H963" t="s"/>
      <c r="I963" t="s"/>
      <c r="J963" t="n">
        <v>0.4019</v>
      </c>
      <c r="K963" t="n">
        <v>0</v>
      </c>
      <c r="L963" t="n">
        <v>0.847</v>
      </c>
      <c r="M963" t="n">
        <v>0.153</v>
      </c>
    </row>
    <row r="964" spans="1:13">
      <c r="A964" s="1">
        <f>HYPERLINK("http://www.twitter.com/NathanBLawrence/status/994930315524177920", "994930315524177920")</f>
        <v/>
      </c>
      <c r="B964" s="2" t="n">
        <v>43231.55608796296</v>
      </c>
      <c r="C964" t="n">
        <v>0</v>
      </c>
      <c r="D964" t="n">
        <v>62</v>
      </c>
      <c r="E964" t="s">
        <v>972</v>
      </c>
      <c r="F964">
        <f>HYPERLINK("http://pbs.twimg.com/media/DSTP06iU8AE8Zjw.jpg", "http://pbs.twimg.com/media/DSTP06iU8AE8Zjw.jpg")</f>
        <v/>
      </c>
      <c r="G964" t="s"/>
      <c r="H964" t="s"/>
      <c r="I964" t="s"/>
      <c r="J964" t="n">
        <v>0.9311</v>
      </c>
      <c r="K964" t="n">
        <v>0</v>
      </c>
      <c r="L964" t="n">
        <v>0.583</v>
      </c>
      <c r="M964" t="n">
        <v>0.417</v>
      </c>
    </row>
    <row r="965" spans="1:13">
      <c r="A965" s="1">
        <f>HYPERLINK("http://www.twitter.com/NathanBLawrence/status/994930286042533888", "994930286042533888")</f>
        <v/>
      </c>
      <c r="B965" s="2" t="n">
        <v>43231.55600694445</v>
      </c>
      <c r="C965" t="n">
        <v>0</v>
      </c>
      <c r="D965" t="n">
        <v>426</v>
      </c>
      <c r="E965" t="s">
        <v>973</v>
      </c>
      <c r="F965">
        <f>HYPERLINK("http://pbs.twimg.com/media/DVYCYvIVoAAUGOB.jpg", "http://pbs.twimg.com/media/DVYCYvIVoAAUGOB.jpg")</f>
        <v/>
      </c>
      <c r="G965" t="s"/>
      <c r="H965" t="s"/>
      <c r="I965" t="s"/>
      <c r="J965" t="n">
        <v>0.4404</v>
      </c>
      <c r="K965" t="n">
        <v>0</v>
      </c>
      <c r="L965" t="n">
        <v>0.861</v>
      </c>
      <c r="M965" t="n">
        <v>0.139</v>
      </c>
    </row>
    <row r="966" spans="1:13">
      <c r="A966" s="1">
        <f>HYPERLINK("http://www.twitter.com/NathanBLawrence/status/994929433256570881", "994929433256570881")</f>
        <v/>
      </c>
      <c r="B966" s="2" t="n">
        <v>43231.55365740741</v>
      </c>
      <c r="C966" t="n">
        <v>6</v>
      </c>
      <c r="D966" t="n">
        <v>7</v>
      </c>
      <c r="E966" t="s">
        <v>974</v>
      </c>
      <c r="F966">
        <f>HYPERLINK("http://pbs.twimg.com/media/Dc6zCiAV4AIlEzL.jpg", "http://pbs.twimg.com/media/Dc6zCiAV4AIlEzL.jpg")</f>
        <v/>
      </c>
      <c r="G966" t="s"/>
      <c r="H966" t="s"/>
      <c r="I966" t="s"/>
      <c r="J966" t="n">
        <v>0.4019</v>
      </c>
      <c r="K966" t="n">
        <v>0</v>
      </c>
      <c r="L966" t="n">
        <v>0.787</v>
      </c>
      <c r="M966" t="n">
        <v>0.213</v>
      </c>
    </row>
    <row r="967" spans="1:13">
      <c r="A967" s="1">
        <f>HYPERLINK("http://www.twitter.com/NathanBLawrence/status/994929420199714816", "994929420199714816")</f>
        <v/>
      </c>
      <c r="B967" s="2" t="n">
        <v>43231.55362268518</v>
      </c>
      <c r="C967" t="n">
        <v>33</v>
      </c>
      <c r="D967" t="n">
        <v>33</v>
      </c>
      <c r="E967" t="s">
        <v>975</v>
      </c>
      <c r="F967">
        <f>HYPERLINK("http://pbs.twimg.com/media/Dc6zB2zV4AIpq5U.jpg", "http://pbs.twimg.com/media/Dc6zB2zV4AIpq5U.jpg")</f>
        <v/>
      </c>
      <c r="G967" t="s"/>
      <c r="H967" t="s"/>
      <c r="I967" t="s"/>
      <c r="J967" t="n">
        <v>0.2263</v>
      </c>
      <c r="K967" t="n">
        <v>0</v>
      </c>
      <c r="L967" t="n">
        <v>0.929</v>
      </c>
      <c r="M967" t="n">
        <v>0.07099999999999999</v>
      </c>
    </row>
    <row r="968" spans="1:13">
      <c r="A968" s="1">
        <f>HYPERLINK("http://www.twitter.com/NathanBLawrence/status/994916817536782336", "994916817536782336")</f>
        <v/>
      </c>
      <c r="B968" s="2" t="n">
        <v>43231.5188425926</v>
      </c>
      <c r="C968" t="n">
        <v>0</v>
      </c>
      <c r="D968" t="n">
        <v>1</v>
      </c>
      <c r="E968" t="s">
        <v>976</v>
      </c>
      <c r="F968" t="s"/>
      <c r="G968" t="s"/>
      <c r="H968" t="s"/>
      <c r="I968" t="s"/>
      <c r="J968" t="n">
        <v>0</v>
      </c>
      <c r="K968" t="n">
        <v>0</v>
      </c>
      <c r="L968" t="n">
        <v>1</v>
      </c>
      <c r="M968" t="n">
        <v>0</v>
      </c>
    </row>
    <row r="969" spans="1:13">
      <c r="A969" s="1">
        <f>HYPERLINK("http://www.twitter.com/NathanBLawrence/status/994788911087013888", "994788911087013888")</f>
        <v/>
      </c>
      <c r="B969" s="2" t="n">
        <v>43231.1658912037</v>
      </c>
      <c r="C969" t="n">
        <v>2</v>
      </c>
      <c r="D969" t="n">
        <v>0</v>
      </c>
      <c r="E969" t="s">
        <v>977</v>
      </c>
      <c r="F969" t="s"/>
      <c r="G969" t="s"/>
      <c r="H969" t="s"/>
      <c r="I969" t="s"/>
      <c r="J969" t="n">
        <v>0</v>
      </c>
      <c r="K969" t="n">
        <v>0</v>
      </c>
      <c r="L969" t="n">
        <v>1</v>
      </c>
      <c r="M969" t="n">
        <v>0</v>
      </c>
    </row>
    <row r="970" spans="1:13">
      <c r="A970" s="1">
        <f>HYPERLINK("http://www.twitter.com/NathanBLawrence/status/994788773224501253", "994788773224501253")</f>
        <v/>
      </c>
      <c r="B970" s="2" t="n">
        <v>43231.16550925926</v>
      </c>
      <c r="C970" t="n">
        <v>0</v>
      </c>
      <c r="D970" t="n">
        <v>0</v>
      </c>
      <c r="E970" t="s">
        <v>978</v>
      </c>
      <c r="F970" t="s"/>
      <c r="G970" t="s"/>
      <c r="H970" t="s"/>
      <c r="I970" t="s"/>
      <c r="J970" t="n">
        <v>0.3612</v>
      </c>
      <c r="K970" t="n">
        <v>0</v>
      </c>
      <c r="L970" t="n">
        <v>0.286</v>
      </c>
      <c r="M970" t="n">
        <v>0.714</v>
      </c>
    </row>
    <row r="971" spans="1:13">
      <c r="A971" s="1">
        <f>HYPERLINK("http://www.twitter.com/NathanBLawrence/status/994758513330180096", "994758513330180096")</f>
        <v/>
      </c>
      <c r="B971" s="2" t="n">
        <v>43231.08200231481</v>
      </c>
      <c r="C971" t="n">
        <v>4</v>
      </c>
      <c r="D971" t="n">
        <v>2</v>
      </c>
      <c r="E971" t="s">
        <v>979</v>
      </c>
      <c r="F971" t="s"/>
      <c r="G971" t="s"/>
      <c r="H971" t="s"/>
      <c r="I971" t="s"/>
      <c r="J971" t="n">
        <v>0.4404</v>
      </c>
      <c r="K971" t="n">
        <v>0</v>
      </c>
      <c r="L971" t="n">
        <v>0.633</v>
      </c>
      <c r="M971" t="n">
        <v>0.367</v>
      </c>
    </row>
    <row r="972" spans="1:13">
      <c r="A972" s="1">
        <f>HYPERLINK("http://www.twitter.com/NathanBLawrence/status/994757791301689344", "994757791301689344")</f>
        <v/>
      </c>
      <c r="B972" s="2" t="n">
        <v>43231.08001157407</v>
      </c>
      <c r="C972" t="n">
        <v>3</v>
      </c>
      <c r="D972" t="n">
        <v>1</v>
      </c>
      <c r="E972" t="s">
        <v>980</v>
      </c>
      <c r="F972" t="s"/>
      <c r="G972" t="s"/>
      <c r="H972" t="s"/>
      <c r="I972" t="s"/>
      <c r="J972" t="n">
        <v>0.5859</v>
      </c>
      <c r="K972" t="n">
        <v>0</v>
      </c>
      <c r="L972" t="n">
        <v>0.648</v>
      </c>
      <c r="M972" t="n">
        <v>0.352</v>
      </c>
    </row>
    <row r="973" spans="1:13">
      <c r="A973" s="1">
        <f>HYPERLINK("http://www.twitter.com/NathanBLawrence/status/994757485922869248", "994757485922869248")</f>
        <v/>
      </c>
      <c r="B973" s="2" t="n">
        <v>43231.07917824074</v>
      </c>
      <c r="C973" t="n">
        <v>1</v>
      </c>
      <c r="D973" t="n">
        <v>0</v>
      </c>
      <c r="E973" t="s">
        <v>981</v>
      </c>
      <c r="F973" t="s"/>
      <c r="G973" t="s"/>
      <c r="H973" t="s"/>
      <c r="I973" t="s"/>
      <c r="J973" t="n">
        <v>0.2732</v>
      </c>
      <c r="K973" t="n">
        <v>0</v>
      </c>
      <c r="L973" t="n">
        <v>0.323</v>
      </c>
      <c r="M973" t="n">
        <v>0.677</v>
      </c>
    </row>
    <row r="974" spans="1:13">
      <c r="A974" s="1">
        <f>HYPERLINK("http://www.twitter.com/NathanBLawrence/status/994757046091337733", "994757046091337733")</f>
        <v/>
      </c>
      <c r="B974" s="2" t="n">
        <v>43231.07796296296</v>
      </c>
      <c r="C974" t="n">
        <v>0</v>
      </c>
      <c r="D974" t="n">
        <v>0</v>
      </c>
      <c r="E974" t="s">
        <v>982</v>
      </c>
      <c r="F974" t="s"/>
      <c r="G974" t="s"/>
      <c r="H974" t="s"/>
      <c r="I974" t="s"/>
      <c r="J974" t="n">
        <v>0</v>
      </c>
      <c r="K974" t="n">
        <v>0</v>
      </c>
      <c r="L974" t="n">
        <v>1</v>
      </c>
      <c r="M974" t="n">
        <v>0</v>
      </c>
    </row>
    <row r="975" spans="1:13">
      <c r="A975" s="1">
        <f>HYPERLINK("http://www.twitter.com/NathanBLawrence/status/994756895301947392", "994756895301947392")</f>
        <v/>
      </c>
      <c r="B975" s="2" t="n">
        <v>43231.0775462963</v>
      </c>
      <c r="C975" t="n">
        <v>0</v>
      </c>
      <c r="D975" t="n">
        <v>79</v>
      </c>
      <c r="E975" t="s">
        <v>983</v>
      </c>
      <c r="F975">
        <f>HYPERLINK("http://pbs.twimg.com/media/Dc4VYTTWsAEAefM.jpg", "http://pbs.twimg.com/media/Dc4VYTTWsAEAefM.jpg")</f>
        <v/>
      </c>
      <c r="G975" t="s"/>
      <c r="H975" t="s"/>
      <c r="I975" t="s"/>
      <c r="J975" t="n">
        <v>-0.3945</v>
      </c>
      <c r="K975" t="n">
        <v>0.125</v>
      </c>
      <c r="L975" t="n">
        <v>0.8179999999999999</v>
      </c>
      <c r="M975" t="n">
        <v>0.057</v>
      </c>
    </row>
    <row r="976" spans="1:13">
      <c r="A976" s="1">
        <f>HYPERLINK("http://www.twitter.com/NathanBLawrence/status/994756758693347328", "994756758693347328")</f>
        <v/>
      </c>
      <c r="B976" s="2" t="n">
        <v>43231.07716435185</v>
      </c>
      <c r="C976" t="n">
        <v>0</v>
      </c>
      <c r="D976" t="n">
        <v>3</v>
      </c>
      <c r="E976" t="s">
        <v>984</v>
      </c>
      <c r="F976">
        <f>HYPERLINK("http://pbs.twimg.com/media/Dc4UzlWXkAEtApU.jpg", "http://pbs.twimg.com/media/Dc4UzlWXkAEtApU.jpg")</f>
        <v/>
      </c>
      <c r="G976" t="s"/>
      <c r="H976" t="s"/>
      <c r="I976" t="s"/>
      <c r="J976" t="n">
        <v>0</v>
      </c>
      <c r="K976" t="n">
        <v>0</v>
      </c>
      <c r="L976" t="n">
        <v>1</v>
      </c>
      <c r="M976" t="n">
        <v>0</v>
      </c>
    </row>
    <row r="977" spans="1:13">
      <c r="A977" s="1">
        <f>HYPERLINK("http://www.twitter.com/NathanBLawrence/status/994756692884774912", "994756692884774912")</f>
        <v/>
      </c>
      <c r="B977" s="2" t="n">
        <v>43231.07697916667</v>
      </c>
      <c r="C977" t="n">
        <v>0</v>
      </c>
      <c r="D977" t="n">
        <v>15</v>
      </c>
      <c r="E977" t="s">
        <v>985</v>
      </c>
      <c r="F977" t="s"/>
      <c r="G977" t="s"/>
      <c r="H977" t="s"/>
      <c r="I977" t="s"/>
      <c r="J977" t="n">
        <v>0</v>
      </c>
      <c r="K977" t="n">
        <v>0</v>
      </c>
      <c r="L977" t="n">
        <v>1</v>
      </c>
      <c r="M977" t="n">
        <v>0</v>
      </c>
    </row>
    <row r="978" spans="1:13">
      <c r="A978" s="1">
        <f>HYPERLINK("http://www.twitter.com/NathanBLawrence/status/994756636706263040", "994756636706263040")</f>
        <v/>
      </c>
      <c r="B978" s="2" t="n">
        <v>43231.07682870371</v>
      </c>
      <c r="C978" t="n">
        <v>0</v>
      </c>
      <c r="D978" t="n">
        <v>588</v>
      </c>
      <c r="E978" t="s">
        <v>986</v>
      </c>
      <c r="F978" t="s"/>
      <c r="G978" t="s"/>
      <c r="H978" t="s"/>
      <c r="I978" t="s"/>
      <c r="J978" t="n">
        <v>0.7262999999999999</v>
      </c>
      <c r="K978" t="n">
        <v>0.233</v>
      </c>
      <c r="L978" t="n">
        <v>0.424</v>
      </c>
      <c r="M978" t="n">
        <v>0.342</v>
      </c>
    </row>
    <row r="979" spans="1:13">
      <c r="A979" s="1">
        <f>HYPERLINK("http://www.twitter.com/NathanBLawrence/status/994756497358934016", "994756497358934016")</f>
        <v/>
      </c>
      <c r="B979" s="2" t="n">
        <v>43231.07644675926</v>
      </c>
      <c r="C979" t="n">
        <v>0</v>
      </c>
      <c r="D979" t="n">
        <v>7</v>
      </c>
      <c r="E979" t="s">
        <v>987</v>
      </c>
      <c r="F979" t="s"/>
      <c r="G979" t="s"/>
      <c r="H979" t="s"/>
      <c r="I979" t="s"/>
      <c r="J979" t="n">
        <v>0</v>
      </c>
      <c r="K979" t="n">
        <v>0</v>
      </c>
      <c r="L979" t="n">
        <v>1</v>
      </c>
      <c r="M979" t="n">
        <v>0</v>
      </c>
    </row>
    <row r="980" spans="1:13">
      <c r="A980" s="1">
        <f>HYPERLINK("http://www.twitter.com/NathanBLawrence/status/994755807664328705", "994755807664328705")</f>
        <v/>
      </c>
      <c r="B980" s="2" t="n">
        <v>43231.07453703704</v>
      </c>
      <c r="C980" t="n">
        <v>0</v>
      </c>
      <c r="D980" t="n">
        <v>7084</v>
      </c>
      <c r="E980" t="s">
        <v>988</v>
      </c>
      <c r="F980">
        <f>HYPERLINK("http://pbs.twimg.com/media/Dc2rrxjVQAEk0Ac.jpg", "http://pbs.twimg.com/media/Dc2rrxjVQAEk0Ac.jpg")</f>
        <v/>
      </c>
      <c r="G980" t="s"/>
      <c r="H980" t="s"/>
      <c r="I980" t="s"/>
      <c r="J980" t="n">
        <v>0</v>
      </c>
      <c r="K980" t="n">
        <v>0</v>
      </c>
      <c r="L980" t="n">
        <v>1</v>
      </c>
      <c r="M980" t="n">
        <v>0</v>
      </c>
    </row>
    <row r="981" spans="1:13">
      <c r="A981" s="1">
        <f>HYPERLINK("http://www.twitter.com/NathanBLawrence/status/994755745525755905", "994755745525755905")</f>
        <v/>
      </c>
      <c r="B981" s="2" t="n">
        <v>43231.074375</v>
      </c>
      <c r="C981" t="n">
        <v>2</v>
      </c>
      <c r="D981" t="n">
        <v>0</v>
      </c>
      <c r="E981" t="s">
        <v>989</v>
      </c>
      <c r="F981" t="s"/>
      <c r="G981" t="s"/>
      <c r="H981" t="s"/>
      <c r="I981" t="s"/>
      <c r="J981" t="n">
        <v>0</v>
      </c>
      <c r="K981" t="n">
        <v>0</v>
      </c>
      <c r="L981" t="n">
        <v>1</v>
      </c>
      <c r="M981" t="n">
        <v>0</v>
      </c>
    </row>
    <row r="982" spans="1:13">
      <c r="A982" s="1">
        <f>HYPERLINK("http://www.twitter.com/NathanBLawrence/status/994755700764151808", "994755700764151808")</f>
        <v/>
      </c>
      <c r="B982" s="2" t="n">
        <v>43231.07424768519</v>
      </c>
      <c r="C982" t="n">
        <v>0</v>
      </c>
      <c r="D982" t="n">
        <v>78</v>
      </c>
      <c r="E982" t="s">
        <v>990</v>
      </c>
      <c r="F982">
        <f>HYPERLINK("http://pbs.twimg.com/media/Dc4TwRSXkAINlpk.jpg", "http://pbs.twimg.com/media/Dc4TwRSXkAINlpk.jpg")</f>
        <v/>
      </c>
      <c r="G982" t="s"/>
      <c r="H982" t="s"/>
      <c r="I982" t="s"/>
      <c r="J982" t="n">
        <v>0.8126</v>
      </c>
      <c r="K982" t="n">
        <v>0</v>
      </c>
      <c r="L982" t="n">
        <v>0.63</v>
      </c>
      <c r="M982" t="n">
        <v>0.37</v>
      </c>
    </row>
    <row r="983" spans="1:13">
      <c r="A983" s="1">
        <f>HYPERLINK("http://www.twitter.com/NathanBLawrence/status/994755571478859777", "994755571478859777")</f>
        <v/>
      </c>
      <c r="B983" s="2" t="n">
        <v>43231.07388888889</v>
      </c>
      <c r="C983" t="n">
        <v>0</v>
      </c>
      <c r="D983" t="n">
        <v>1638</v>
      </c>
      <c r="E983" t="s">
        <v>991</v>
      </c>
      <c r="F983">
        <f>HYPERLINK("http://pbs.twimg.com/media/Dc4UTfgXUAU-Y0u.jpg", "http://pbs.twimg.com/media/Dc4UTfgXUAU-Y0u.jpg")</f>
        <v/>
      </c>
      <c r="G983">
        <f>HYPERLINK("http://pbs.twimg.com/media/Dc4UTfgX0AA5ahe.jpg", "http://pbs.twimg.com/media/Dc4UTfgX0AA5ahe.jpg")</f>
        <v/>
      </c>
      <c r="H983">
        <f>HYPERLINK("http://pbs.twimg.com/media/Dc4UTfhW0AUgyII.jpg", "http://pbs.twimg.com/media/Dc4UTfhW0AUgyII.jpg")</f>
        <v/>
      </c>
      <c r="I983">
        <f>HYPERLINK("http://pbs.twimg.com/media/Dc4UTflX4AAWh2d.jpg", "http://pbs.twimg.com/media/Dc4UTflX4AAWh2d.jpg")</f>
        <v/>
      </c>
      <c r="J983" t="n">
        <v>0.6808</v>
      </c>
      <c r="K983" t="n">
        <v>0</v>
      </c>
      <c r="L983" t="n">
        <v>0.781</v>
      </c>
      <c r="M983" t="n">
        <v>0.219</v>
      </c>
    </row>
    <row r="984" spans="1:13">
      <c r="A984" s="1">
        <f>HYPERLINK("http://www.twitter.com/NathanBLawrence/status/994754347161542656", "994754347161542656")</f>
        <v/>
      </c>
      <c r="B984" s="2" t="n">
        <v>43231.07050925926</v>
      </c>
      <c r="C984" t="n">
        <v>0</v>
      </c>
      <c r="D984" t="n">
        <v>33</v>
      </c>
      <c r="E984" t="s">
        <v>992</v>
      </c>
      <c r="F984">
        <f>HYPERLINK("http://pbs.twimg.com/media/DcTAlELUQAAPzPS.jpg", "http://pbs.twimg.com/media/DcTAlELUQAAPzPS.jpg")</f>
        <v/>
      </c>
      <c r="G984" t="s"/>
      <c r="H984" t="s"/>
      <c r="I984" t="s"/>
      <c r="J984" t="n">
        <v>0</v>
      </c>
      <c r="K984" t="n">
        <v>0</v>
      </c>
      <c r="L984" t="n">
        <v>1</v>
      </c>
      <c r="M984" t="n">
        <v>0</v>
      </c>
    </row>
    <row r="985" spans="1:13">
      <c r="A985" s="1">
        <f>HYPERLINK("http://www.twitter.com/NathanBLawrence/status/994754337892073472", "994754337892073472")</f>
        <v/>
      </c>
      <c r="B985" s="2" t="n">
        <v>43231.07048611111</v>
      </c>
      <c r="C985" t="n">
        <v>0</v>
      </c>
      <c r="D985" t="n">
        <v>12</v>
      </c>
      <c r="E985" t="s">
        <v>993</v>
      </c>
      <c r="F985">
        <f>HYPERLINK("https://video.twimg.com/ext_tw_video/992129468666822656/pu/vid/1280x720/7M-4fua7RxD2GFqS.mp4?tag=3", "https://video.twimg.com/ext_tw_video/992129468666822656/pu/vid/1280x720/7M-4fua7RxD2GFqS.mp4?tag=3")</f>
        <v/>
      </c>
      <c r="G985" t="s"/>
      <c r="H985" t="s"/>
      <c r="I985" t="s"/>
      <c r="J985" t="n">
        <v>0</v>
      </c>
      <c r="K985" t="n">
        <v>0</v>
      </c>
      <c r="L985" t="n">
        <v>1</v>
      </c>
      <c r="M985" t="n">
        <v>0</v>
      </c>
    </row>
    <row r="986" spans="1:13">
      <c r="A986" s="1">
        <f>HYPERLINK("http://www.twitter.com/NathanBLawrence/status/994754326961803264", "994754326961803264")</f>
        <v/>
      </c>
      <c r="B986" s="2" t="n">
        <v>43231.07045138889</v>
      </c>
      <c r="C986" t="n">
        <v>0</v>
      </c>
      <c r="D986" t="n">
        <v>26</v>
      </c>
      <c r="E986" t="s">
        <v>994</v>
      </c>
      <c r="F986">
        <f>HYPERLINK("https://video.twimg.com/ext_tw_video/992129158154108928/pu/vid/1280x720/aBT-aNM4PfLTaLp-.mp4?tag=3", "https://video.twimg.com/ext_tw_video/992129158154108928/pu/vid/1280x720/aBT-aNM4PfLTaLp-.mp4?tag=3")</f>
        <v/>
      </c>
      <c r="G986" t="s"/>
      <c r="H986" t="s"/>
      <c r="I986" t="s"/>
      <c r="J986" t="n">
        <v>0</v>
      </c>
      <c r="K986" t="n">
        <v>0</v>
      </c>
      <c r="L986" t="n">
        <v>1</v>
      </c>
      <c r="M986" t="n">
        <v>0</v>
      </c>
    </row>
    <row r="987" spans="1:13">
      <c r="A987" s="1">
        <f>HYPERLINK("http://www.twitter.com/NathanBLawrence/status/994741011850186752", "994741011850186752")</f>
        <v/>
      </c>
      <c r="B987" s="2" t="n">
        <v>43231.03371527778</v>
      </c>
      <c r="C987" t="n">
        <v>0</v>
      </c>
      <c r="D987" t="n">
        <v>20</v>
      </c>
      <c r="E987" t="s">
        <v>995</v>
      </c>
      <c r="F987" t="s"/>
      <c r="G987" t="s"/>
      <c r="H987" t="s"/>
      <c r="I987" t="s"/>
      <c r="J987" t="n">
        <v>0</v>
      </c>
      <c r="K987" t="n">
        <v>0</v>
      </c>
      <c r="L987" t="n">
        <v>1</v>
      </c>
      <c r="M987" t="n">
        <v>0</v>
      </c>
    </row>
    <row r="988" spans="1:13">
      <c r="A988" s="1">
        <f>HYPERLINK("http://www.twitter.com/NathanBLawrence/status/994740339129929728", "994740339129929728")</f>
        <v/>
      </c>
      <c r="B988" s="2" t="n">
        <v>43231.03185185185</v>
      </c>
      <c r="C988" t="n">
        <v>4</v>
      </c>
      <c r="D988" t="n">
        <v>1</v>
      </c>
      <c r="E988" t="s">
        <v>996</v>
      </c>
      <c r="F988" t="s"/>
      <c r="G988" t="s"/>
      <c r="H988" t="s"/>
      <c r="I988" t="s"/>
      <c r="J988" t="n">
        <v>0</v>
      </c>
      <c r="K988" t="n">
        <v>0</v>
      </c>
      <c r="L988" t="n">
        <v>1</v>
      </c>
      <c r="M988" t="n">
        <v>0</v>
      </c>
    </row>
    <row r="989" spans="1:13">
      <c r="A989" s="1">
        <f>HYPERLINK("http://www.twitter.com/NathanBLawrence/status/994739985139019776", "994739985139019776")</f>
        <v/>
      </c>
      <c r="B989" s="2" t="n">
        <v>43231.03087962963</v>
      </c>
      <c r="C989" t="n">
        <v>7</v>
      </c>
      <c r="D989" t="n">
        <v>3</v>
      </c>
      <c r="E989" t="s">
        <v>997</v>
      </c>
      <c r="F989" t="s"/>
      <c r="G989" t="s"/>
      <c r="H989" t="s"/>
      <c r="I989" t="s"/>
      <c r="J989" t="n">
        <v>0.4404</v>
      </c>
      <c r="K989" t="n">
        <v>0</v>
      </c>
      <c r="L989" t="n">
        <v>0.9429999999999999</v>
      </c>
      <c r="M989" t="n">
        <v>0.057</v>
      </c>
    </row>
    <row r="990" spans="1:13">
      <c r="A990" s="1">
        <f>HYPERLINK("http://www.twitter.com/NathanBLawrence/status/994739225886187520", "994739225886187520")</f>
        <v/>
      </c>
      <c r="B990" s="2" t="n">
        <v>43231.02878472222</v>
      </c>
      <c r="C990" t="n">
        <v>0</v>
      </c>
      <c r="D990" t="n">
        <v>13</v>
      </c>
      <c r="E990" t="s">
        <v>998</v>
      </c>
      <c r="F990" t="s"/>
      <c r="G990" t="s"/>
      <c r="H990" t="s"/>
      <c r="I990" t="s"/>
      <c r="J990" t="n">
        <v>0.5777</v>
      </c>
      <c r="K990" t="n">
        <v>0</v>
      </c>
      <c r="L990" t="n">
        <v>0.828</v>
      </c>
      <c r="M990" t="n">
        <v>0.172</v>
      </c>
    </row>
    <row r="991" spans="1:13">
      <c r="A991" s="1">
        <f>HYPERLINK("http://www.twitter.com/NathanBLawrence/status/994739199428481025", "994739199428481025")</f>
        <v/>
      </c>
      <c r="B991" s="2" t="n">
        <v>43231.02871527777</v>
      </c>
      <c r="C991" t="n">
        <v>0</v>
      </c>
      <c r="D991" t="n">
        <v>52</v>
      </c>
      <c r="E991" t="s">
        <v>999</v>
      </c>
      <c r="F991">
        <f>HYPERLINK("http://pbs.twimg.com/media/DObnmzfVQAE7AQA.jpg", "http://pbs.twimg.com/media/DObnmzfVQAE7AQA.jpg")</f>
        <v/>
      </c>
      <c r="G991" t="s"/>
      <c r="H991" t="s"/>
      <c r="I991" t="s"/>
      <c r="J991" t="n">
        <v>0.4019</v>
      </c>
      <c r="K991" t="n">
        <v>0</v>
      </c>
      <c r="L991" t="n">
        <v>0.6899999999999999</v>
      </c>
      <c r="M991" t="n">
        <v>0.31</v>
      </c>
    </row>
    <row r="992" spans="1:13">
      <c r="A992" s="1">
        <f>HYPERLINK("http://www.twitter.com/NathanBLawrence/status/994739183053869056", "994739183053869056")</f>
        <v/>
      </c>
      <c r="B992" s="2" t="n">
        <v>43231.02866898148</v>
      </c>
      <c r="C992" t="n">
        <v>0</v>
      </c>
      <c r="D992" t="n">
        <v>61</v>
      </c>
      <c r="E992" t="s">
        <v>1000</v>
      </c>
      <c r="F992">
        <f>HYPERLINK("http://pbs.twimg.com/media/DObnJiyVoAAY1jC.jpg", "http://pbs.twimg.com/media/DObnJiyVoAAY1jC.jpg")</f>
        <v/>
      </c>
      <c r="G992" t="s"/>
      <c r="H992" t="s"/>
      <c r="I992" t="s"/>
      <c r="J992" t="n">
        <v>0.4019</v>
      </c>
      <c r="K992" t="n">
        <v>0</v>
      </c>
      <c r="L992" t="n">
        <v>0.6899999999999999</v>
      </c>
      <c r="M992" t="n">
        <v>0.31</v>
      </c>
    </row>
    <row r="993" spans="1:13">
      <c r="A993" s="1">
        <f>HYPERLINK("http://www.twitter.com/NathanBLawrence/status/994739170454188032", "994739170454188032")</f>
        <v/>
      </c>
      <c r="B993" s="2" t="n">
        <v>43231.02863425926</v>
      </c>
      <c r="C993" t="n">
        <v>0</v>
      </c>
      <c r="D993" t="n">
        <v>72</v>
      </c>
      <c r="E993" t="s">
        <v>1001</v>
      </c>
      <c r="F993">
        <f>HYPERLINK("http://pbs.twimg.com/media/DObnbZLUIAA7iua.jpg", "http://pbs.twimg.com/media/DObnbZLUIAA7iua.jpg")</f>
        <v/>
      </c>
      <c r="G993" t="s"/>
      <c r="H993" t="s"/>
      <c r="I993" t="s"/>
      <c r="J993" t="n">
        <v>0.4019</v>
      </c>
      <c r="K993" t="n">
        <v>0</v>
      </c>
      <c r="L993" t="n">
        <v>0.6899999999999999</v>
      </c>
      <c r="M993" t="n">
        <v>0.31</v>
      </c>
    </row>
    <row r="994" spans="1:13">
      <c r="A994" s="1">
        <f>HYPERLINK("http://www.twitter.com/NathanBLawrence/status/994739095309115397", "994739095309115397")</f>
        <v/>
      </c>
      <c r="B994" s="2" t="n">
        <v>43231.02842592593</v>
      </c>
      <c r="C994" t="n">
        <v>0</v>
      </c>
      <c r="D994" t="n">
        <v>26</v>
      </c>
      <c r="E994" t="s">
        <v>1002</v>
      </c>
      <c r="F994">
        <f>HYPERLINK("http://pbs.twimg.com/media/DOiv7-LWkAALYPV.jpg", "http://pbs.twimg.com/media/DOiv7-LWkAALYPV.jpg")</f>
        <v/>
      </c>
      <c r="G994" t="s"/>
      <c r="H994" t="s"/>
      <c r="I994" t="s"/>
      <c r="J994" t="n">
        <v>0</v>
      </c>
      <c r="K994" t="n">
        <v>0</v>
      </c>
      <c r="L994" t="n">
        <v>1</v>
      </c>
      <c r="M994" t="n">
        <v>0</v>
      </c>
    </row>
    <row r="995" spans="1:13">
      <c r="A995" s="1">
        <f>HYPERLINK("http://www.twitter.com/NathanBLawrence/status/994739042465013760", "994739042465013760")</f>
        <v/>
      </c>
      <c r="B995" s="2" t="n">
        <v>43231.02827546297</v>
      </c>
      <c r="C995" t="n">
        <v>0</v>
      </c>
      <c r="D995" t="n">
        <v>3</v>
      </c>
      <c r="E995" t="s">
        <v>1003</v>
      </c>
      <c r="F995" t="s"/>
      <c r="G995" t="s"/>
      <c r="H995" t="s"/>
      <c r="I995" t="s"/>
      <c r="J995" t="n">
        <v>-0.1154</v>
      </c>
      <c r="K995" t="n">
        <v>0.075</v>
      </c>
      <c r="L995" t="n">
        <v>0.925</v>
      </c>
      <c r="M995" t="n">
        <v>0</v>
      </c>
    </row>
    <row r="996" spans="1:13">
      <c r="A996" s="1">
        <f>HYPERLINK("http://www.twitter.com/NathanBLawrence/status/994738968448196609", "994738968448196609")</f>
        <v/>
      </c>
      <c r="B996" s="2" t="n">
        <v>43231.0280787037</v>
      </c>
      <c r="C996" t="n">
        <v>0</v>
      </c>
      <c r="D996" t="n">
        <v>100</v>
      </c>
      <c r="E996" t="s">
        <v>1004</v>
      </c>
      <c r="F996">
        <f>HYPERLINK("http://pbs.twimg.com/media/DOcJ1TXXkAIcwsE.jpg", "http://pbs.twimg.com/media/DOcJ1TXXkAIcwsE.jpg")</f>
        <v/>
      </c>
      <c r="G996">
        <f>HYPERLINK("http://pbs.twimg.com/media/DOcJ1UeXkAEsMxl.jpg", "http://pbs.twimg.com/media/DOcJ1UeXkAEsMxl.jpg")</f>
        <v/>
      </c>
      <c r="H996">
        <f>HYPERLINK("http://pbs.twimg.com/media/DOcJ1SCWsAEogzn.jpg", "http://pbs.twimg.com/media/DOcJ1SCWsAEogzn.jpg")</f>
        <v/>
      </c>
      <c r="I996">
        <f>HYPERLINK("http://pbs.twimg.com/media/DOcJ1T3WsAINJAw.jpg", "http://pbs.twimg.com/media/DOcJ1T3WsAINJAw.jpg")</f>
        <v/>
      </c>
      <c r="J996" t="n">
        <v>0</v>
      </c>
      <c r="K996" t="n">
        <v>0</v>
      </c>
      <c r="L996" t="n">
        <v>1</v>
      </c>
      <c r="M996" t="n">
        <v>0</v>
      </c>
    </row>
    <row r="997" spans="1:13">
      <c r="A997" s="1">
        <f>HYPERLINK("http://www.twitter.com/NathanBLawrence/status/994738932259672065", "994738932259672065")</f>
        <v/>
      </c>
      <c r="B997" s="2" t="n">
        <v>43231.02797453704</v>
      </c>
      <c r="C997" t="n">
        <v>0</v>
      </c>
      <c r="D997" t="n">
        <v>16</v>
      </c>
      <c r="E997" t="s">
        <v>1005</v>
      </c>
      <c r="F997">
        <f>HYPERLINK("http://pbs.twimg.com/media/DYmMlwJWsAEP7xg.jpg", "http://pbs.twimg.com/media/DYmMlwJWsAEP7xg.jpg")</f>
        <v/>
      </c>
      <c r="G997">
        <f>HYPERLINK("http://pbs.twimg.com/media/DYmMmI9WAAEwEf1.jpg", "http://pbs.twimg.com/media/DYmMmI9WAAEwEf1.jpg")</f>
        <v/>
      </c>
      <c r="H997">
        <f>HYPERLINK("http://pbs.twimg.com/media/DYmMmlmWAAEZchT.jpg", "http://pbs.twimg.com/media/DYmMmlmWAAEZchT.jpg")</f>
        <v/>
      </c>
      <c r="I997">
        <f>HYPERLINK("http://pbs.twimg.com/media/DYmMm8cW4AEz3iM.jpg", "http://pbs.twimg.com/media/DYmMm8cW4AEz3iM.jpg")</f>
        <v/>
      </c>
      <c r="J997" t="n">
        <v>0</v>
      </c>
      <c r="K997" t="n">
        <v>0</v>
      </c>
      <c r="L997" t="n">
        <v>1</v>
      </c>
      <c r="M997" t="n">
        <v>0</v>
      </c>
    </row>
    <row r="998" spans="1:13">
      <c r="A998" s="1">
        <f>HYPERLINK("http://www.twitter.com/NathanBLawrence/status/994738902392016896", "994738902392016896")</f>
        <v/>
      </c>
      <c r="B998" s="2" t="n">
        <v>43231.02789351852</v>
      </c>
      <c r="C998" t="n">
        <v>0</v>
      </c>
      <c r="D998" t="n">
        <v>69</v>
      </c>
      <c r="E998" t="s">
        <v>1006</v>
      </c>
      <c r="F998">
        <f>HYPERLINK("http://pbs.twimg.com/media/DOboNFUVoAAoyUc.jpg", "http://pbs.twimg.com/media/DOboNFUVoAAoyUc.jpg")</f>
        <v/>
      </c>
      <c r="G998" t="s"/>
      <c r="H998" t="s"/>
      <c r="I998" t="s"/>
      <c r="J998" t="n">
        <v>0</v>
      </c>
      <c r="K998" t="n">
        <v>0.129</v>
      </c>
      <c r="L998" t="n">
        <v>0.743</v>
      </c>
      <c r="M998" t="n">
        <v>0.129</v>
      </c>
    </row>
    <row r="999" spans="1:13">
      <c r="A999" s="1">
        <f>HYPERLINK("http://www.twitter.com/NathanBLawrence/status/994738863217303552", "994738863217303552")</f>
        <v/>
      </c>
      <c r="B999" s="2" t="n">
        <v>43231.02778935185</v>
      </c>
      <c r="C999" t="n">
        <v>0</v>
      </c>
      <c r="D999" t="n">
        <v>11</v>
      </c>
      <c r="E999" t="s">
        <v>1007</v>
      </c>
      <c r="F999" t="s"/>
      <c r="G999" t="s"/>
      <c r="H999" t="s"/>
      <c r="I999" t="s"/>
      <c r="J999" t="n">
        <v>-0.5449000000000001</v>
      </c>
      <c r="K999" t="n">
        <v>0.182</v>
      </c>
      <c r="L999" t="n">
        <v>0.733</v>
      </c>
      <c r="M999" t="n">
        <v>0.08500000000000001</v>
      </c>
    </row>
    <row r="1000" spans="1:13">
      <c r="A1000" s="1">
        <f>HYPERLINK("http://www.twitter.com/NathanBLawrence/status/994738834922491906", "994738834922491906")</f>
        <v/>
      </c>
      <c r="B1000" s="2" t="n">
        <v>43231.02770833333</v>
      </c>
      <c r="C1000" t="n">
        <v>0</v>
      </c>
      <c r="D1000" t="n">
        <v>28</v>
      </c>
      <c r="E1000" t="s">
        <v>1008</v>
      </c>
      <c r="F1000" t="s"/>
      <c r="G1000" t="s"/>
      <c r="H1000" t="s"/>
      <c r="I1000" t="s"/>
      <c r="J1000" t="n">
        <v>0.3818</v>
      </c>
      <c r="K1000" t="n">
        <v>0</v>
      </c>
      <c r="L1000" t="n">
        <v>0.735</v>
      </c>
      <c r="M1000" t="n">
        <v>0.265</v>
      </c>
    </row>
    <row r="1001" spans="1:13">
      <c r="A1001" s="1">
        <f>HYPERLINK("http://www.twitter.com/NathanBLawrence/status/994738814051606528", "994738814051606528")</f>
        <v/>
      </c>
      <c r="B1001" s="2" t="n">
        <v>43231.02765046297</v>
      </c>
      <c r="C1001" t="n">
        <v>0</v>
      </c>
      <c r="D1001" t="n">
        <v>5</v>
      </c>
      <c r="E1001" t="s">
        <v>1009</v>
      </c>
      <c r="F1001" t="s"/>
      <c r="G1001" t="s"/>
      <c r="H1001" t="s"/>
      <c r="I1001" t="s"/>
      <c r="J1001" t="n">
        <v>0</v>
      </c>
      <c r="K1001" t="n">
        <v>0</v>
      </c>
      <c r="L1001" t="n">
        <v>1</v>
      </c>
      <c r="M1001" t="n">
        <v>0</v>
      </c>
    </row>
    <row r="1002" spans="1:13">
      <c r="A1002" s="1">
        <f>HYPERLINK("http://www.twitter.com/NathanBLawrence/status/994738785907769346", "994738785907769346")</f>
        <v/>
      </c>
      <c r="B1002" s="2" t="n">
        <v>43231.02756944444</v>
      </c>
      <c r="C1002" t="n">
        <v>0</v>
      </c>
      <c r="D1002" t="n">
        <v>846</v>
      </c>
      <c r="E1002" t="s">
        <v>1010</v>
      </c>
      <c r="F1002">
        <f>HYPERLINK("https://video.twimg.com/ext_tw_video/929680822256287744/pu/vid/1280x720/Nc8G-A6HfV_ViCty.mp4", "https://video.twimg.com/ext_tw_video/929680822256287744/pu/vid/1280x720/Nc8G-A6HfV_ViCty.mp4")</f>
        <v/>
      </c>
      <c r="G1002" t="s"/>
      <c r="H1002" t="s"/>
      <c r="I1002" t="s"/>
      <c r="J1002" t="n">
        <v>-0.501</v>
      </c>
      <c r="K1002" t="n">
        <v>0.237</v>
      </c>
      <c r="L1002" t="n">
        <v>0.642</v>
      </c>
      <c r="M1002" t="n">
        <v>0.121</v>
      </c>
    </row>
    <row r="1003" spans="1:13">
      <c r="A1003" s="1">
        <f>HYPERLINK("http://www.twitter.com/NathanBLawrence/status/994738729486110725", "994738729486110725")</f>
        <v/>
      </c>
      <c r="B1003" s="2" t="n">
        <v>43231.02741898148</v>
      </c>
      <c r="C1003" t="n">
        <v>0</v>
      </c>
      <c r="D1003" t="n">
        <v>8</v>
      </c>
      <c r="E1003" t="s">
        <v>1011</v>
      </c>
      <c r="F1003" t="s"/>
      <c r="G1003" t="s"/>
      <c r="H1003" t="s"/>
      <c r="I1003" t="s"/>
      <c r="J1003" t="n">
        <v>0.5399</v>
      </c>
      <c r="K1003" t="n">
        <v>0</v>
      </c>
      <c r="L1003" t="n">
        <v>0.8090000000000001</v>
      </c>
      <c r="M1003" t="n">
        <v>0.191</v>
      </c>
    </row>
    <row r="1004" spans="1:13">
      <c r="A1004" s="1">
        <f>HYPERLINK("http://www.twitter.com/NathanBLawrence/status/994738570731704320", "994738570731704320")</f>
        <v/>
      </c>
      <c r="B1004" s="2" t="n">
        <v>43231.02697916667</v>
      </c>
      <c r="C1004" t="n">
        <v>0</v>
      </c>
      <c r="D1004" t="n">
        <v>2</v>
      </c>
      <c r="E1004" t="s">
        <v>1012</v>
      </c>
      <c r="F1004" t="s"/>
      <c r="G1004" t="s"/>
      <c r="H1004" t="s"/>
      <c r="I1004" t="s"/>
      <c r="J1004" t="n">
        <v>0</v>
      </c>
      <c r="K1004" t="n">
        <v>0</v>
      </c>
      <c r="L1004" t="n">
        <v>1</v>
      </c>
      <c r="M1004" t="n">
        <v>0</v>
      </c>
    </row>
    <row r="1005" spans="1:13">
      <c r="A1005" s="1">
        <f>HYPERLINK("http://www.twitter.com/NathanBLawrence/status/994738501634674688", "994738501634674688")</f>
        <v/>
      </c>
      <c r="B1005" s="2" t="n">
        <v>43231.02678240741</v>
      </c>
      <c r="C1005" t="n">
        <v>0</v>
      </c>
      <c r="D1005" t="n">
        <v>10</v>
      </c>
      <c r="E1005" t="s">
        <v>1013</v>
      </c>
      <c r="F1005" t="s"/>
      <c r="G1005" t="s"/>
      <c r="H1005" t="s"/>
      <c r="I1005" t="s"/>
      <c r="J1005" t="n">
        <v>0</v>
      </c>
      <c r="K1005" t="n">
        <v>0</v>
      </c>
      <c r="L1005" t="n">
        <v>1</v>
      </c>
      <c r="M1005" t="n">
        <v>0</v>
      </c>
    </row>
    <row r="1006" spans="1:13">
      <c r="A1006" s="1">
        <f>HYPERLINK("http://www.twitter.com/NathanBLawrence/status/994738484421300224", "994738484421300224")</f>
        <v/>
      </c>
      <c r="B1006" s="2" t="n">
        <v>43231.02673611111</v>
      </c>
      <c r="C1006" t="n">
        <v>0</v>
      </c>
      <c r="D1006" t="n">
        <v>11</v>
      </c>
      <c r="E1006" t="s">
        <v>1014</v>
      </c>
      <c r="F1006" t="s"/>
      <c r="G1006" t="s"/>
      <c r="H1006" t="s"/>
      <c r="I1006" t="s"/>
      <c r="J1006" t="n">
        <v>0</v>
      </c>
      <c r="K1006" t="n">
        <v>0</v>
      </c>
      <c r="L1006" t="n">
        <v>1</v>
      </c>
      <c r="M1006" t="n">
        <v>0</v>
      </c>
    </row>
    <row r="1007" spans="1:13">
      <c r="A1007" s="1">
        <f>HYPERLINK("http://www.twitter.com/NathanBLawrence/status/994738464666079233", "994738464666079233")</f>
        <v/>
      </c>
      <c r="B1007" s="2" t="n">
        <v>43231.02667824074</v>
      </c>
      <c r="C1007" t="n">
        <v>0</v>
      </c>
      <c r="D1007" t="n">
        <v>28</v>
      </c>
      <c r="E1007" t="s">
        <v>1015</v>
      </c>
      <c r="F1007">
        <f>HYPERLINK("http://pbs.twimg.com/media/DOS_KuwVAAEkX9l.jpg", "http://pbs.twimg.com/media/DOS_KuwVAAEkX9l.jpg")</f>
        <v/>
      </c>
      <c r="G1007" t="s"/>
      <c r="H1007" t="s"/>
      <c r="I1007" t="s"/>
      <c r="J1007" t="n">
        <v>0</v>
      </c>
      <c r="K1007" t="n">
        <v>0</v>
      </c>
      <c r="L1007" t="n">
        <v>1</v>
      </c>
      <c r="M1007" t="n">
        <v>0</v>
      </c>
    </row>
    <row r="1008" spans="1:13">
      <c r="A1008" s="1">
        <f>HYPERLINK("http://www.twitter.com/NathanBLawrence/status/994738449444896768", "994738449444896768")</f>
        <v/>
      </c>
      <c r="B1008" s="2" t="n">
        <v>43231.02664351852</v>
      </c>
      <c r="C1008" t="n">
        <v>0</v>
      </c>
      <c r="D1008" t="n">
        <v>19</v>
      </c>
      <c r="E1008" t="s">
        <v>1016</v>
      </c>
      <c r="F1008">
        <f>HYPERLINK("http://pbs.twimg.com/media/DaqU4SSUMAAmb2M.jpg", "http://pbs.twimg.com/media/DaqU4SSUMAAmb2M.jpg")</f>
        <v/>
      </c>
      <c r="G1008" t="s"/>
      <c r="H1008" t="s"/>
      <c r="I1008" t="s"/>
      <c r="J1008" t="n">
        <v>0</v>
      </c>
      <c r="K1008" t="n">
        <v>0</v>
      </c>
      <c r="L1008" t="n">
        <v>1</v>
      </c>
      <c r="M1008" t="n">
        <v>0</v>
      </c>
    </row>
    <row r="1009" spans="1:13">
      <c r="A1009" s="1">
        <f>HYPERLINK("http://www.twitter.com/NathanBLawrence/status/994738311695609857", "994738311695609857")</f>
        <v/>
      </c>
      <c r="B1009" s="2" t="n">
        <v>43231.02626157407</v>
      </c>
      <c r="C1009" t="n">
        <v>0</v>
      </c>
      <c r="D1009" t="n">
        <v>1</v>
      </c>
      <c r="E1009" t="s">
        <v>1017</v>
      </c>
      <c r="F1009" t="s"/>
      <c r="G1009" t="s"/>
      <c r="H1009" t="s"/>
      <c r="I1009" t="s"/>
      <c r="J1009" t="n">
        <v>-0.6408</v>
      </c>
      <c r="K1009" t="n">
        <v>0.145</v>
      </c>
      <c r="L1009" t="n">
        <v>0.855</v>
      </c>
      <c r="M1009" t="n">
        <v>0</v>
      </c>
    </row>
    <row r="1010" spans="1:13">
      <c r="A1010" s="1">
        <f>HYPERLINK("http://www.twitter.com/NathanBLawrence/status/994738269693841409", "994738269693841409")</f>
        <v/>
      </c>
      <c r="B1010" s="2" t="n">
        <v>43231.02614583333</v>
      </c>
      <c r="C1010" t="n">
        <v>0</v>
      </c>
      <c r="D1010" t="n">
        <v>8</v>
      </c>
      <c r="E1010" t="s">
        <v>1018</v>
      </c>
      <c r="F1010" t="s"/>
      <c r="G1010" t="s"/>
      <c r="H1010" t="s"/>
      <c r="I1010" t="s"/>
      <c r="J1010" t="n">
        <v>0</v>
      </c>
      <c r="K1010" t="n">
        <v>0</v>
      </c>
      <c r="L1010" t="n">
        <v>1</v>
      </c>
      <c r="M1010" t="n">
        <v>0</v>
      </c>
    </row>
    <row r="1011" spans="1:13">
      <c r="A1011" s="1">
        <f>HYPERLINK("http://www.twitter.com/NathanBLawrence/status/994738243538178049", "994738243538178049")</f>
        <v/>
      </c>
      <c r="B1011" s="2" t="n">
        <v>43231.02607638889</v>
      </c>
      <c r="C1011" t="n">
        <v>0</v>
      </c>
      <c r="D1011" t="n">
        <v>1</v>
      </c>
      <c r="E1011" t="s">
        <v>1019</v>
      </c>
      <c r="F1011" t="s"/>
      <c r="G1011" t="s"/>
      <c r="H1011" t="s"/>
      <c r="I1011" t="s"/>
      <c r="J1011" t="n">
        <v>-0.6093</v>
      </c>
      <c r="K1011" t="n">
        <v>0.306</v>
      </c>
      <c r="L1011" t="n">
        <v>0.694</v>
      </c>
      <c r="M1011" t="n">
        <v>0</v>
      </c>
    </row>
    <row r="1012" spans="1:13">
      <c r="A1012" s="1">
        <f>HYPERLINK("http://www.twitter.com/NathanBLawrence/status/994738223564849152", "994738223564849152")</f>
        <v/>
      </c>
      <c r="B1012" s="2" t="n">
        <v>43231.02601851852</v>
      </c>
      <c r="C1012" t="n">
        <v>0</v>
      </c>
      <c r="D1012" t="n">
        <v>32</v>
      </c>
      <c r="E1012" t="s">
        <v>1020</v>
      </c>
      <c r="F1012">
        <f>HYPERLINK("http://pbs.twimg.com/media/DOS_GkYUIAA7SKg.jpg", "http://pbs.twimg.com/media/DOS_GkYUIAA7SKg.jpg")</f>
        <v/>
      </c>
      <c r="G1012" t="s"/>
      <c r="H1012" t="s"/>
      <c r="I1012" t="s"/>
      <c r="J1012" t="n">
        <v>0</v>
      </c>
      <c r="K1012" t="n">
        <v>0</v>
      </c>
      <c r="L1012" t="n">
        <v>1</v>
      </c>
      <c r="M1012" t="n">
        <v>0</v>
      </c>
    </row>
    <row r="1013" spans="1:13">
      <c r="A1013" s="1">
        <f>HYPERLINK("http://www.twitter.com/NathanBLawrence/status/994738133563559936", "994738133563559936")</f>
        <v/>
      </c>
      <c r="B1013" s="2" t="n">
        <v>43231.02577546296</v>
      </c>
      <c r="C1013" t="n">
        <v>0</v>
      </c>
      <c r="D1013" t="n">
        <v>74</v>
      </c>
      <c r="E1013" t="s">
        <v>1021</v>
      </c>
      <c r="F1013" t="s"/>
      <c r="G1013" t="s"/>
      <c r="H1013" t="s"/>
      <c r="I1013" t="s"/>
      <c r="J1013" t="n">
        <v>0</v>
      </c>
      <c r="K1013" t="n">
        <v>0</v>
      </c>
      <c r="L1013" t="n">
        <v>1</v>
      </c>
      <c r="M1013" t="n">
        <v>0</v>
      </c>
    </row>
    <row r="1014" spans="1:13">
      <c r="A1014" s="1">
        <f>HYPERLINK("http://www.twitter.com/NathanBLawrence/status/994738094476791808", "994738094476791808")</f>
        <v/>
      </c>
      <c r="B1014" s="2" t="n">
        <v>43231.02565972223</v>
      </c>
      <c r="C1014" t="n">
        <v>0</v>
      </c>
      <c r="D1014" t="n">
        <v>24</v>
      </c>
      <c r="E1014" t="s">
        <v>1022</v>
      </c>
      <c r="F1014">
        <f>HYPERLINK("http://pbs.twimg.com/media/DaqUmhyUMAAlOjA.jpg", "http://pbs.twimg.com/media/DaqUmhyUMAAlOjA.jpg")</f>
        <v/>
      </c>
      <c r="G1014" t="s"/>
      <c r="H1014" t="s"/>
      <c r="I1014" t="s"/>
      <c r="J1014" t="n">
        <v>-0.5871</v>
      </c>
      <c r="K1014" t="n">
        <v>0.175</v>
      </c>
      <c r="L1014" t="n">
        <v>0.825</v>
      </c>
      <c r="M1014" t="n">
        <v>0</v>
      </c>
    </row>
    <row r="1015" spans="1:13">
      <c r="A1015" s="1">
        <f>HYPERLINK("http://www.twitter.com/NathanBLawrence/status/994737927509946369", "994737927509946369")</f>
        <v/>
      </c>
      <c r="B1015" s="2" t="n">
        <v>43231.02519675926</v>
      </c>
      <c r="C1015" t="n">
        <v>0</v>
      </c>
      <c r="D1015" t="n">
        <v>5</v>
      </c>
      <c r="E1015" t="s">
        <v>1023</v>
      </c>
      <c r="F1015" t="s"/>
      <c r="G1015" t="s"/>
      <c r="H1015" t="s"/>
      <c r="I1015" t="s"/>
      <c r="J1015" t="n">
        <v>0</v>
      </c>
      <c r="K1015" t="n">
        <v>0</v>
      </c>
      <c r="L1015" t="n">
        <v>1</v>
      </c>
      <c r="M1015" t="n">
        <v>0</v>
      </c>
    </row>
    <row r="1016" spans="1:13">
      <c r="A1016" s="1">
        <f>HYPERLINK("http://www.twitter.com/NathanBLawrence/status/994737888238678016", "994737888238678016")</f>
        <v/>
      </c>
      <c r="B1016" s="2" t="n">
        <v>43231.02509259259</v>
      </c>
      <c r="C1016" t="n">
        <v>0</v>
      </c>
      <c r="D1016" t="n">
        <v>38</v>
      </c>
      <c r="E1016" t="s">
        <v>1024</v>
      </c>
      <c r="F1016">
        <f>HYPERLINK("http://pbs.twimg.com/media/DaqVOKwU8AU04Qu.jpg", "http://pbs.twimg.com/media/DaqVOKwU8AU04Qu.jpg")</f>
        <v/>
      </c>
      <c r="G1016" t="s"/>
      <c r="H1016" t="s"/>
      <c r="I1016" t="s"/>
      <c r="J1016" t="n">
        <v>0.6774</v>
      </c>
      <c r="K1016" t="n">
        <v>0.131</v>
      </c>
      <c r="L1016" t="n">
        <v>0.49</v>
      </c>
      <c r="M1016" t="n">
        <v>0.379</v>
      </c>
    </row>
    <row r="1017" spans="1:13">
      <c r="A1017" s="1">
        <f>HYPERLINK("http://www.twitter.com/NathanBLawrence/status/994737868693278720", "994737868693278720")</f>
        <v/>
      </c>
      <c r="B1017" s="2" t="n">
        <v>43231.02503472222</v>
      </c>
      <c r="C1017" t="n">
        <v>0</v>
      </c>
      <c r="D1017" t="n">
        <v>15</v>
      </c>
      <c r="E1017" t="s">
        <v>1025</v>
      </c>
      <c r="F1017">
        <f>HYPERLINK("http://pbs.twimg.com/media/DPBiQzyUQAAhJw8.jpg", "http://pbs.twimg.com/media/DPBiQzyUQAAhJw8.jpg")</f>
        <v/>
      </c>
      <c r="G1017">
        <f>HYPERLINK("http://pbs.twimg.com/media/DPBiQ_uUQAA2qcu.jpg", "http://pbs.twimg.com/media/DPBiQ_uUQAA2qcu.jpg")</f>
        <v/>
      </c>
      <c r="H1017">
        <f>HYPERLINK("http://pbs.twimg.com/media/DPBiQn8U8AAYsRZ.jpg", "http://pbs.twimg.com/media/DPBiQn8U8AAYsRZ.jpg")</f>
        <v/>
      </c>
      <c r="I1017">
        <f>HYPERLINK("http://pbs.twimg.com/media/DPBiP-TVoAAs6MO.jpg", "http://pbs.twimg.com/media/DPBiP-TVoAAs6MO.jpg")</f>
        <v/>
      </c>
      <c r="J1017" t="n">
        <v>0</v>
      </c>
      <c r="K1017" t="n">
        <v>0</v>
      </c>
      <c r="L1017" t="n">
        <v>1</v>
      </c>
      <c r="M1017" t="n">
        <v>0</v>
      </c>
    </row>
    <row r="1018" spans="1:13">
      <c r="A1018" s="1">
        <f>HYPERLINK("http://www.twitter.com/NathanBLawrence/status/994737841438683137", "994737841438683137")</f>
        <v/>
      </c>
      <c r="B1018" s="2" t="n">
        <v>43231.02496527778</v>
      </c>
      <c r="C1018" t="n">
        <v>0</v>
      </c>
      <c r="D1018" t="n">
        <v>3</v>
      </c>
      <c r="E1018" t="s">
        <v>1026</v>
      </c>
      <c r="F1018" t="s"/>
      <c r="G1018" t="s"/>
      <c r="H1018" t="s"/>
      <c r="I1018" t="s"/>
      <c r="J1018" t="n">
        <v>0.6249</v>
      </c>
      <c r="K1018" t="n">
        <v>0</v>
      </c>
      <c r="L1018" t="n">
        <v>0.594</v>
      </c>
      <c r="M1018" t="n">
        <v>0.406</v>
      </c>
    </row>
    <row r="1019" spans="1:13">
      <c r="A1019" s="1">
        <f>HYPERLINK("http://www.twitter.com/NathanBLawrence/status/994737829438779392", "994737829438779392")</f>
        <v/>
      </c>
      <c r="B1019" s="2" t="n">
        <v>43231.02493055556</v>
      </c>
      <c r="C1019" t="n">
        <v>0</v>
      </c>
      <c r="D1019" t="n">
        <v>25</v>
      </c>
      <c r="E1019" t="s">
        <v>1027</v>
      </c>
      <c r="F1019">
        <f>HYPERLINK("http://pbs.twimg.com/media/DPBd1_VUQAAfKP5.jpg", "http://pbs.twimg.com/media/DPBd1_VUQAAfKP5.jpg")</f>
        <v/>
      </c>
      <c r="G1019" t="s"/>
      <c r="H1019" t="s"/>
      <c r="I1019" t="s"/>
      <c r="J1019" t="n">
        <v>0</v>
      </c>
      <c r="K1019" t="n">
        <v>0</v>
      </c>
      <c r="L1019" t="n">
        <v>1</v>
      </c>
      <c r="M1019" t="n">
        <v>0</v>
      </c>
    </row>
    <row r="1020" spans="1:13">
      <c r="A1020" s="1">
        <f>HYPERLINK("http://www.twitter.com/NathanBLawrence/status/994737808207220736", "994737808207220736")</f>
        <v/>
      </c>
      <c r="B1020" s="2" t="n">
        <v>43231.02487268519</v>
      </c>
      <c r="C1020" t="n">
        <v>0</v>
      </c>
      <c r="D1020" t="n">
        <v>17</v>
      </c>
      <c r="E1020" t="s">
        <v>1028</v>
      </c>
      <c r="F1020" t="s"/>
      <c r="G1020" t="s"/>
      <c r="H1020" t="s"/>
      <c r="I1020" t="s"/>
      <c r="J1020" t="n">
        <v>0</v>
      </c>
      <c r="K1020" t="n">
        <v>0</v>
      </c>
      <c r="L1020" t="n">
        <v>1</v>
      </c>
      <c r="M1020" t="n">
        <v>0</v>
      </c>
    </row>
    <row r="1021" spans="1:13">
      <c r="A1021" s="1">
        <f>HYPERLINK("http://www.twitter.com/NathanBLawrence/status/994737778951847937", "994737778951847937")</f>
        <v/>
      </c>
      <c r="B1021" s="2" t="n">
        <v>43231.02479166666</v>
      </c>
      <c r="C1021" t="n">
        <v>0</v>
      </c>
      <c r="D1021" t="n">
        <v>2</v>
      </c>
      <c r="E1021" t="s">
        <v>1029</v>
      </c>
      <c r="F1021" t="s"/>
      <c r="G1021" t="s"/>
      <c r="H1021" t="s"/>
      <c r="I1021" t="s"/>
      <c r="J1021" t="n">
        <v>-0.296</v>
      </c>
      <c r="K1021" t="n">
        <v>0.109</v>
      </c>
      <c r="L1021" t="n">
        <v>0.891</v>
      </c>
      <c r="M1021" t="n">
        <v>0</v>
      </c>
    </row>
    <row r="1022" spans="1:13">
      <c r="A1022" s="1">
        <f>HYPERLINK("http://www.twitter.com/NathanBLawrence/status/994737750782959616", "994737750782959616")</f>
        <v/>
      </c>
      <c r="B1022" s="2" t="n">
        <v>43231.02471064815</v>
      </c>
      <c r="C1022" t="n">
        <v>0</v>
      </c>
      <c r="D1022" t="n">
        <v>19</v>
      </c>
      <c r="E1022" t="s">
        <v>1030</v>
      </c>
      <c r="F1022" t="s"/>
      <c r="G1022" t="s"/>
      <c r="H1022" t="s"/>
      <c r="I1022" t="s"/>
      <c r="J1022" t="n">
        <v>0.7845</v>
      </c>
      <c r="K1022" t="n">
        <v>0</v>
      </c>
      <c r="L1022" t="n">
        <v>0.655</v>
      </c>
      <c r="M1022" t="n">
        <v>0.345</v>
      </c>
    </row>
    <row r="1023" spans="1:13">
      <c r="A1023" s="1">
        <f>HYPERLINK("http://www.twitter.com/NathanBLawrence/status/994737744432828417", "994737744432828417")</f>
        <v/>
      </c>
      <c r="B1023" s="2" t="n">
        <v>43231.02469907407</v>
      </c>
      <c r="C1023" t="n">
        <v>0</v>
      </c>
      <c r="D1023" t="n">
        <v>3</v>
      </c>
      <c r="E1023" t="s">
        <v>1031</v>
      </c>
      <c r="F1023" t="s"/>
      <c r="G1023" t="s"/>
      <c r="H1023" t="s"/>
      <c r="I1023" t="s"/>
      <c r="J1023" t="n">
        <v>0.5106000000000001</v>
      </c>
      <c r="K1023" t="n">
        <v>0</v>
      </c>
      <c r="L1023" t="n">
        <v>0.752</v>
      </c>
      <c r="M1023" t="n">
        <v>0.248</v>
      </c>
    </row>
    <row r="1024" spans="1:13">
      <c r="A1024" s="1">
        <f>HYPERLINK("http://www.twitter.com/NathanBLawrence/status/994737711855669248", "994737711855669248")</f>
        <v/>
      </c>
      <c r="B1024" s="2" t="n">
        <v>43231.02460648148</v>
      </c>
      <c r="C1024" t="n">
        <v>0</v>
      </c>
      <c r="D1024" t="n">
        <v>329</v>
      </c>
      <c r="E1024" t="s">
        <v>1032</v>
      </c>
      <c r="F1024">
        <f>HYPERLINK("https://video.twimg.com/ext_tw_video/929055968754728961/pu/vid/1280x720/PJtq-2ckoGzt_e9v.mp4", "https://video.twimg.com/ext_tw_video/929055968754728961/pu/vid/1280x720/PJtq-2ckoGzt_e9v.mp4")</f>
        <v/>
      </c>
      <c r="G1024" t="s"/>
      <c r="H1024" t="s"/>
      <c r="I1024" t="s"/>
      <c r="J1024" t="n">
        <v>0.2732</v>
      </c>
      <c r="K1024" t="n">
        <v>0.129</v>
      </c>
      <c r="L1024" t="n">
        <v>0.6909999999999999</v>
      </c>
      <c r="M1024" t="n">
        <v>0.18</v>
      </c>
    </row>
    <row r="1025" spans="1:13">
      <c r="A1025" s="1">
        <f>HYPERLINK("http://www.twitter.com/NathanBLawrence/status/994737588882812928", "994737588882812928")</f>
        <v/>
      </c>
      <c r="B1025" s="2" t="n">
        <v>43231.02427083333</v>
      </c>
      <c r="C1025" t="n">
        <v>0</v>
      </c>
      <c r="D1025" t="n">
        <v>3</v>
      </c>
      <c r="E1025" t="s">
        <v>1033</v>
      </c>
      <c r="F1025">
        <f>HYPERLINK("http://pbs.twimg.com/media/DOTgjlbUEAAIEyL.jpg", "http://pbs.twimg.com/media/DOTgjlbUEAAIEyL.jpg")</f>
        <v/>
      </c>
      <c r="G1025" t="s"/>
      <c r="H1025" t="s"/>
      <c r="I1025" t="s"/>
      <c r="J1025" t="n">
        <v>0</v>
      </c>
      <c r="K1025" t="n">
        <v>0</v>
      </c>
      <c r="L1025" t="n">
        <v>1</v>
      </c>
      <c r="M1025" t="n">
        <v>0</v>
      </c>
    </row>
    <row r="1026" spans="1:13">
      <c r="A1026" s="1">
        <f>HYPERLINK("http://www.twitter.com/NathanBLawrence/status/994737548944605186", "994737548944605186")</f>
        <v/>
      </c>
      <c r="B1026" s="2" t="n">
        <v>43231.02415509259</v>
      </c>
      <c r="C1026" t="n">
        <v>0</v>
      </c>
      <c r="D1026" t="n">
        <v>32</v>
      </c>
      <c r="E1026" t="s">
        <v>1034</v>
      </c>
      <c r="F1026">
        <f>HYPERLINK("http://pbs.twimg.com/media/DOTk2uIVwAA0nEj.jpg", "http://pbs.twimg.com/media/DOTk2uIVwAA0nEj.jpg")</f>
        <v/>
      </c>
      <c r="G1026" t="s"/>
      <c r="H1026" t="s"/>
      <c r="I1026" t="s"/>
      <c r="J1026" t="n">
        <v>0</v>
      </c>
      <c r="K1026" t="n">
        <v>0</v>
      </c>
      <c r="L1026" t="n">
        <v>1</v>
      </c>
      <c r="M1026" t="n">
        <v>0</v>
      </c>
    </row>
    <row r="1027" spans="1:13">
      <c r="A1027" s="1">
        <f>HYPERLINK("http://www.twitter.com/NathanBLawrence/status/994737532142317568", "994737532142317568")</f>
        <v/>
      </c>
      <c r="B1027" s="2" t="n">
        <v>43231.02410879629</v>
      </c>
      <c r="C1027" t="n">
        <v>0</v>
      </c>
      <c r="D1027" t="n">
        <v>19</v>
      </c>
      <c r="E1027" t="s">
        <v>1035</v>
      </c>
      <c r="F1027" t="s"/>
      <c r="G1027" t="s"/>
      <c r="H1027" t="s"/>
      <c r="I1027" t="s"/>
      <c r="J1027" t="n">
        <v>-0.5859</v>
      </c>
      <c r="K1027" t="n">
        <v>0.257</v>
      </c>
      <c r="L1027" t="n">
        <v>0.743</v>
      </c>
      <c r="M1027" t="n">
        <v>0</v>
      </c>
    </row>
    <row r="1028" spans="1:13">
      <c r="A1028" s="1">
        <f>HYPERLINK("http://www.twitter.com/NathanBLawrence/status/994737507219791872", "994737507219791872")</f>
        <v/>
      </c>
      <c r="B1028" s="2" t="n">
        <v>43231.02403935185</v>
      </c>
      <c r="C1028" t="n">
        <v>0</v>
      </c>
      <c r="D1028" t="n">
        <v>206</v>
      </c>
      <c r="E1028" t="s">
        <v>1036</v>
      </c>
      <c r="F1028">
        <f>HYPERLINK("https://video.twimg.com/ext_tw_video/929074559252393984/pu/vid/1280x720/b9WtUeWy4ueiII4Y.mp4", "https://video.twimg.com/ext_tw_video/929074559252393984/pu/vid/1280x720/b9WtUeWy4ueiII4Y.mp4")</f>
        <v/>
      </c>
      <c r="G1028" t="s"/>
      <c r="H1028" t="s"/>
      <c r="I1028" t="s"/>
      <c r="J1028" t="n">
        <v>-0.5965</v>
      </c>
      <c r="K1028" t="n">
        <v>0.32</v>
      </c>
      <c r="L1028" t="n">
        <v>0.445</v>
      </c>
      <c r="M1028" t="n">
        <v>0.235</v>
      </c>
    </row>
    <row r="1029" spans="1:13">
      <c r="A1029" s="1">
        <f>HYPERLINK("http://www.twitter.com/NathanBLawrence/status/994737352848396289", "994737352848396289")</f>
        <v/>
      </c>
      <c r="B1029" s="2" t="n">
        <v>43231.02361111111</v>
      </c>
      <c r="C1029" t="n">
        <v>0</v>
      </c>
      <c r="D1029" t="n">
        <v>31</v>
      </c>
      <c r="E1029" t="s">
        <v>1037</v>
      </c>
      <c r="F1029">
        <f>HYPERLINK("http://pbs.twimg.com/media/DOTko-UVAAAO33z.jpg", "http://pbs.twimg.com/media/DOTko-UVAAAO33z.jpg")</f>
        <v/>
      </c>
      <c r="G1029" t="s"/>
      <c r="H1029" t="s"/>
      <c r="I1029" t="s"/>
      <c r="J1029" t="n">
        <v>0</v>
      </c>
      <c r="K1029" t="n">
        <v>0</v>
      </c>
      <c r="L1029" t="n">
        <v>1</v>
      </c>
      <c r="M1029" t="n">
        <v>0</v>
      </c>
    </row>
    <row r="1030" spans="1:13">
      <c r="A1030" s="1">
        <f>HYPERLINK("http://www.twitter.com/NathanBLawrence/status/994737326256476162", "994737326256476162")</f>
        <v/>
      </c>
      <c r="B1030" s="2" t="n">
        <v>43231.02354166667</v>
      </c>
      <c r="C1030" t="n">
        <v>0</v>
      </c>
      <c r="D1030" t="n">
        <v>19</v>
      </c>
      <c r="E1030" t="s">
        <v>1038</v>
      </c>
      <c r="F1030" t="s"/>
      <c r="G1030" t="s"/>
      <c r="H1030" t="s"/>
      <c r="I1030" t="s"/>
      <c r="J1030" t="n">
        <v>0</v>
      </c>
      <c r="K1030" t="n">
        <v>0</v>
      </c>
      <c r="L1030" t="n">
        <v>1</v>
      </c>
      <c r="M1030" t="n">
        <v>0</v>
      </c>
    </row>
    <row r="1031" spans="1:13">
      <c r="A1031" s="1">
        <f>HYPERLINK("http://www.twitter.com/NathanBLawrence/status/994737309642842113", "994737309642842113")</f>
        <v/>
      </c>
      <c r="B1031" s="2" t="n">
        <v>43231.02349537037</v>
      </c>
      <c r="C1031" t="n">
        <v>0</v>
      </c>
      <c r="D1031" t="n">
        <v>39</v>
      </c>
      <c r="E1031" t="s">
        <v>1039</v>
      </c>
      <c r="F1031">
        <f>HYPERLINK("http://pbs.twimg.com/media/DOTksQpUEAI8lUs.jpg", "http://pbs.twimg.com/media/DOTksQpUEAI8lUs.jpg")</f>
        <v/>
      </c>
      <c r="G1031" t="s"/>
      <c r="H1031" t="s"/>
      <c r="I1031" t="s"/>
      <c r="J1031" t="n">
        <v>0</v>
      </c>
      <c r="K1031" t="n">
        <v>0</v>
      </c>
      <c r="L1031" t="n">
        <v>1</v>
      </c>
      <c r="M1031" t="n">
        <v>0</v>
      </c>
    </row>
    <row r="1032" spans="1:13">
      <c r="A1032" s="1">
        <f>HYPERLINK("http://www.twitter.com/NathanBLawrence/status/994736221615214592", "994736221615214592")</f>
        <v/>
      </c>
      <c r="B1032" s="2" t="n">
        <v>43231.02049768518</v>
      </c>
      <c r="C1032" t="n">
        <v>0</v>
      </c>
      <c r="D1032" t="n">
        <v>299</v>
      </c>
      <c r="E1032" t="s">
        <v>1040</v>
      </c>
      <c r="F1032">
        <f>HYPERLINK("https://video.twimg.com/ext_tw_video/929092007674253313/pu/vid/1280x720/4gZx4NAc9gCz0_6S.mp4", "https://video.twimg.com/ext_tw_video/929092007674253313/pu/vid/1280x720/4gZx4NAc9gCz0_6S.mp4")</f>
        <v/>
      </c>
      <c r="G1032" t="s"/>
      <c r="H1032" t="s"/>
      <c r="I1032" t="s"/>
      <c r="J1032" t="n">
        <v>0.0377</v>
      </c>
      <c r="K1032" t="n">
        <v>0.101</v>
      </c>
      <c r="L1032" t="n">
        <v>0.792</v>
      </c>
      <c r="M1032" t="n">
        <v>0.107</v>
      </c>
    </row>
    <row r="1033" spans="1:13">
      <c r="A1033" s="1">
        <f>HYPERLINK("http://www.twitter.com/NathanBLawrence/status/994736126148702210", "994736126148702210")</f>
        <v/>
      </c>
      <c r="B1033" s="2" t="n">
        <v>43231.02023148148</v>
      </c>
      <c r="C1033" t="n">
        <v>0</v>
      </c>
      <c r="D1033" t="n">
        <v>1</v>
      </c>
      <c r="E1033" t="s">
        <v>1041</v>
      </c>
      <c r="F1033" t="s"/>
      <c r="G1033" t="s"/>
      <c r="H1033" t="s"/>
      <c r="I1033" t="s"/>
      <c r="J1033" t="n">
        <v>0.6249</v>
      </c>
      <c r="K1033" t="n">
        <v>0</v>
      </c>
      <c r="L1033" t="n">
        <v>0.745</v>
      </c>
      <c r="M1033" t="n">
        <v>0.255</v>
      </c>
    </row>
    <row r="1034" spans="1:13">
      <c r="A1034" s="1">
        <f>HYPERLINK("http://www.twitter.com/NathanBLawrence/status/994736078358802432", "994736078358802432")</f>
        <v/>
      </c>
      <c r="B1034" s="2" t="n">
        <v>43231.02010416667</v>
      </c>
      <c r="C1034" t="n">
        <v>0</v>
      </c>
      <c r="D1034" t="n">
        <v>1</v>
      </c>
      <c r="E1034" t="s">
        <v>1042</v>
      </c>
      <c r="F1034" t="s"/>
      <c r="G1034" t="s"/>
      <c r="H1034" t="s"/>
      <c r="I1034" t="s"/>
      <c r="J1034" t="n">
        <v>0</v>
      </c>
      <c r="K1034" t="n">
        <v>0</v>
      </c>
      <c r="L1034" t="n">
        <v>1</v>
      </c>
      <c r="M1034" t="n">
        <v>0</v>
      </c>
    </row>
    <row r="1035" spans="1:13">
      <c r="A1035" s="1">
        <f>HYPERLINK("http://www.twitter.com/NathanBLawrence/status/994736016090165249", "994736016090165249")</f>
        <v/>
      </c>
      <c r="B1035" s="2" t="n">
        <v>43231.01993055556</v>
      </c>
      <c r="C1035" t="n">
        <v>0</v>
      </c>
      <c r="D1035" t="n">
        <v>24</v>
      </c>
      <c r="E1035" t="s">
        <v>1043</v>
      </c>
      <c r="F1035">
        <f>HYPERLINK("http://pbs.twimg.com/media/DOTlMp3VwAAi1s0.jpg", "http://pbs.twimg.com/media/DOTlMp3VwAAi1s0.jpg")</f>
        <v/>
      </c>
      <c r="G1035" t="s"/>
      <c r="H1035" t="s"/>
      <c r="I1035" t="s"/>
      <c r="J1035" t="n">
        <v>0</v>
      </c>
      <c r="K1035" t="n">
        <v>0</v>
      </c>
      <c r="L1035" t="n">
        <v>1</v>
      </c>
      <c r="M1035" t="n">
        <v>0</v>
      </c>
    </row>
    <row r="1036" spans="1:13">
      <c r="A1036" s="1">
        <f>HYPERLINK("http://www.twitter.com/NathanBLawrence/status/994735997043855360", "994735997043855360")</f>
        <v/>
      </c>
      <c r="B1036" s="2" t="n">
        <v>43231.01987268519</v>
      </c>
      <c r="C1036" t="n">
        <v>0</v>
      </c>
      <c r="D1036" t="n">
        <v>33</v>
      </c>
      <c r="E1036" t="s">
        <v>1044</v>
      </c>
      <c r="F1036">
        <f>HYPERLINK("http://pbs.twimg.com/media/DOTr4SJW0AApqkZ.jpg", "http://pbs.twimg.com/media/DOTr4SJW0AApqkZ.jpg")</f>
        <v/>
      </c>
      <c r="G1036" t="s"/>
      <c r="H1036" t="s"/>
      <c r="I1036" t="s"/>
      <c r="J1036" t="n">
        <v>0</v>
      </c>
      <c r="K1036" t="n">
        <v>0</v>
      </c>
      <c r="L1036" t="n">
        <v>1</v>
      </c>
      <c r="M1036" t="n">
        <v>0</v>
      </c>
    </row>
    <row r="1037" spans="1:13">
      <c r="A1037" s="1">
        <f>HYPERLINK("http://www.twitter.com/NathanBLawrence/status/994735976206528512", "994735976206528512")</f>
        <v/>
      </c>
      <c r="B1037" s="2" t="n">
        <v>43231.01981481481</v>
      </c>
      <c r="C1037" t="n">
        <v>0</v>
      </c>
      <c r="D1037" t="n">
        <v>5</v>
      </c>
      <c r="E1037" t="s">
        <v>1045</v>
      </c>
      <c r="F1037" t="s"/>
      <c r="G1037" t="s"/>
      <c r="H1037" t="s"/>
      <c r="I1037" t="s"/>
      <c r="J1037" t="n">
        <v>-0.3818</v>
      </c>
      <c r="K1037" t="n">
        <v>0.14</v>
      </c>
      <c r="L1037" t="n">
        <v>0.86</v>
      </c>
      <c r="M1037" t="n">
        <v>0</v>
      </c>
    </row>
    <row r="1038" spans="1:13">
      <c r="A1038" s="1">
        <f>HYPERLINK("http://www.twitter.com/NathanBLawrence/status/994735874746265600", "994735874746265600")</f>
        <v/>
      </c>
      <c r="B1038" s="2" t="n">
        <v>43231.01953703703</v>
      </c>
      <c r="C1038" t="n">
        <v>4</v>
      </c>
      <c r="D1038" t="n">
        <v>5</v>
      </c>
      <c r="E1038" t="s">
        <v>1046</v>
      </c>
      <c r="F1038" t="s"/>
      <c r="G1038" t="s"/>
      <c r="H1038" t="s"/>
      <c r="I1038" t="s"/>
      <c r="J1038" t="n">
        <v>-0.128</v>
      </c>
      <c r="K1038" t="n">
        <v>0.11</v>
      </c>
      <c r="L1038" t="n">
        <v>0.822</v>
      </c>
      <c r="M1038" t="n">
        <v>0.068</v>
      </c>
    </row>
    <row r="1039" spans="1:13">
      <c r="A1039" s="1">
        <f>HYPERLINK("http://www.twitter.com/NathanBLawrence/status/994735004050710528", "994735004050710528")</f>
        <v/>
      </c>
      <c r="B1039" s="2" t="n">
        <v>43231.01712962963</v>
      </c>
      <c r="C1039" t="n">
        <v>1</v>
      </c>
      <c r="D1039" t="n">
        <v>0</v>
      </c>
      <c r="E1039" t="s">
        <v>1047</v>
      </c>
      <c r="F1039" t="s"/>
      <c r="G1039" t="s"/>
      <c r="H1039" t="s"/>
      <c r="I1039" t="s"/>
      <c r="J1039" t="n">
        <v>0</v>
      </c>
      <c r="K1039" t="n">
        <v>0</v>
      </c>
      <c r="L1039" t="n">
        <v>1</v>
      </c>
      <c r="M1039" t="n">
        <v>0</v>
      </c>
    </row>
    <row r="1040" spans="1:13">
      <c r="A1040" s="1">
        <f>HYPERLINK("http://www.twitter.com/NathanBLawrence/status/994734914821115905", "994734914821115905")</f>
        <v/>
      </c>
      <c r="B1040" s="2" t="n">
        <v>43231.01688657407</v>
      </c>
      <c r="C1040" t="n">
        <v>0</v>
      </c>
      <c r="D1040" t="n">
        <v>1</v>
      </c>
      <c r="E1040" t="s">
        <v>1048</v>
      </c>
      <c r="F1040" t="s"/>
      <c r="G1040" t="s"/>
      <c r="H1040" t="s"/>
      <c r="I1040" t="s"/>
      <c r="J1040" t="n">
        <v>0.7506</v>
      </c>
      <c r="K1040" t="n">
        <v>0</v>
      </c>
      <c r="L1040" t="n">
        <v>0.775</v>
      </c>
      <c r="M1040" t="n">
        <v>0.225</v>
      </c>
    </row>
    <row r="1041" spans="1:13">
      <c r="A1041" s="1">
        <f>HYPERLINK("http://www.twitter.com/NathanBLawrence/status/994734545919512577", "994734545919512577")</f>
        <v/>
      </c>
      <c r="B1041" s="2" t="n">
        <v>43231.01586805555</v>
      </c>
      <c r="C1041" t="n">
        <v>0</v>
      </c>
      <c r="D1041" t="n">
        <v>6</v>
      </c>
      <c r="E1041" t="s">
        <v>1049</v>
      </c>
      <c r="F1041">
        <f>HYPERLINK("http://pbs.twimg.com/media/DYih4KMU8AE6vg_.jpg", "http://pbs.twimg.com/media/DYih4KMU8AE6vg_.jpg")</f>
        <v/>
      </c>
      <c r="G1041" t="s"/>
      <c r="H1041" t="s"/>
      <c r="I1041" t="s"/>
      <c r="J1041" t="n">
        <v>0</v>
      </c>
      <c r="K1041" t="n">
        <v>0</v>
      </c>
      <c r="L1041" t="n">
        <v>1</v>
      </c>
      <c r="M1041" t="n">
        <v>0</v>
      </c>
    </row>
    <row r="1042" spans="1:13">
      <c r="A1042" s="1">
        <f>HYPERLINK("http://www.twitter.com/NathanBLawrence/status/994734519042396161", "994734519042396161")</f>
        <v/>
      </c>
      <c r="B1042" s="2" t="n">
        <v>43231.01579861111</v>
      </c>
      <c r="C1042" t="n">
        <v>0</v>
      </c>
      <c r="D1042" t="n">
        <v>15</v>
      </c>
      <c r="E1042" t="s">
        <v>1038</v>
      </c>
      <c r="F1042" t="s"/>
      <c r="G1042" t="s"/>
      <c r="H1042" t="s"/>
      <c r="I1042" t="s"/>
      <c r="J1042" t="n">
        <v>0</v>
      </c>
      <c r="K1042" t="n">
        <v>0</v>
      </c>
      <c r="L1042" t="n">
        <v>1</v>
      </c>
      <c r="M1042" t="n">
        <v>0</v>
      </c>
    </row>
    <row r="1043" spans="1:13">
      <c r="A1043" s="1">
        <f>HYPERLINK("http://www.twitter.com/NathanBLawrence/status/994734503875743746", "994734503875743746")</f>
        <v/>
      </c>
      <c r="B1043" s="2" t="n">
        <v>43231.01575231482</v>
      </c>
      <c r="C1043" t="n">
        <v>0</v>
      </c>
      <c r="D1043" t="n">
        <v>42</v>
      </c>
      <c r="E1043" t="s">
        <v>1050</v>
      </c>
      <c r="F1043">
        <f>HYPERLINK("http://pbs.twimg.com/media/DOTlINyUEAABCnf.jpg", "http://pbs.twimg.com/media/DOTlINyUEAABCnf.jpg")</f>
        <v/>
      </c>
      <c r="G1043" t="s"/>
      <c r="H1043" t="s"/>
      <c r="I1043" t="s"/>
      <c r="J1043" t="n">
        <v>0</v>
      </c>
      <c r="K1043" t="n">
        <v>0</v>
      </c>
      <c r="L1043" t="n">
        <v>1</v>
      </c>
      <c r="M1043" t="n">
        <v>0</v>
      </c>
    </row>
    <row r="1044" spans="1:13">
      <c r="A1044" s="1">
        <f>HYPERLINK("http://www.twitter.com/NathanBLawrence/status/994734485911560194", "994734485911560194")</f>
        <v/>
      </c>
      <c r="B1044" s="2" t="n">
        <v>43231.01570601852</v>
      </c>
      <c r="C1044" t="n">
        <v>0</v>
      </c>
      <c r="D1044" t="n">
        <v>284</v>
      </c>
      <c r="E1044" t="s">
        <v>1051</v>
      </c>
      <c r="F1044">
        <f>HYPERLINK("https://video.twimg.com/ext_tw_video/929111121163796480/pu/vid/1280x720/SDz-l35tFFoZCGUj.mp4", "https://video.twimg.com/ext_tw_video/929111121163796480/pu/vid/1280x720/SDz-l35tFFoZCGUj.mp4")</f>
        <v/>
      </c>
      <c r="G1044" t="s"/>
      <c r="H1044" t="s"/>
      <c r="I1044" t="s"/>
      <c r="J1044" t="n">
        <v>0.0772</v>
      </c>
      <c r="K1044" t="n">
        <v>0.096</v>
      </c>
      <c r="L1044" t="n">
        <v>0.753</v>
      </c>
      <c r="M1044" t="n">
        <v>0.151</v>
      </c>
    </row>
    <row r="1045" spans="1:13">
      <c r="A1045" s="1">
        <f>HYPERLINK("http://www.twitter.com/NathanBLawrence/status/994734362531979266", "994734362531979266")</f>
        <v/>
      </c>
      <c r="B1045" s="2" t="n">
        <v>43231.0153587963</v>
      </c>
      <c r="C1045" t="n">
        <v>3</v>
      </c>
      <c r="D1045" t="n">
        <v>1</v>
      </c>
      <c r="E1045" t="s">
        <v>1052</v>
      </c>
      <c r="F1045" t="s"/>
      <c r="G1045" t="s"/>
      <c r="H1045" t="s"/>
      <c r="I1045" t="s"/>
      <c r="J1045" t="n">
        <v>-0.2732</v>
      </c>
      <c r="K1045" t="n">
        <v>0.046</v>
      </c>
      <c r="L1045" t="n">
        <v>0.954</v>
      </c>
      <c r="M1045" t="n">
        <v>0</v>
      </c>
    </row>
    <row r="1046" spans="1:13">
      <c r="A1046" s="1">
        <f>HYPERLINK("http://www.twitter.com/NathanBLawrence/status/994703339475668995", "994703339475668995")</f>
        <v/>
      </c>
      <c r="B1046" s="2" t="n">
        <v>43230.92975694445</v>
      </c>
      <c r="C1046" t="n">
        <v>0</v>
      </c>
      <c r="D1046" t="n">
        <v>12</v>
      </c>
      <c r="E1046" t="s">
        <v>1053</v>
      </c>
      <c r="F1046">
        <f>HYPERLINK("http://pbs.twimg.com/media/Dc3kvAOU8AMmI0P.jpg", "http://pbs.twimg.com/media/Dc3kvAOU8AMmI0P.jpg")</f>
        <v/>
      </c>
      <c r="G1046">
        <f>HYPERLINK("http://pbs.twimg.com/media/Dc3kvU8U8AIv9Ql.jpg", "http://pbs.twimg.com/media/Dc3kvU8U8AIv9Ql.jpg")</f>
        <v/>
      </c>
      <c r="H1046" t="s"/>
      <c r="I1046" t="s"/>
      <c r="J1046" t="n">
        <v>0</v>
      </c>
      <c r="K1046" t="n">
        <v>0</v>
      </c>
      <c r="L1046" t="n">
        <v>1</v>
      </c>
      <c r="M1046" t="n">
        <v>0</v>
      </c>
    </row>
    <row r="1047" spans="1:13">
      <c r="A1047" s="1">
        <f>HYPERLINK("http://www.twitter.com/NathanBLawrence/status/994703233422692357", "994703233422692357")</f>
        <v/>
      </c>
      <c r="B1047" s="2" t="n">
        <v>43230.92946759259</v>
      </c>
      <c r="C1047" t="n">
        <v>0</v>
      </c>
      <c r="D1047" t="n">
        <v>16</v>
      </c>
      <c r="E1047" t="s">
        <v>1054</v>
      </c>
      <c r="F1047">
        <f>HYPERLINK("http://pbs.twimg.com/media/Dc3iBliX0AAAyDw.jpg", "http://pbs.twimg.com/media/Dc3iBliX0AAAyDw.jpg")</f>
        <v/>
      </c>
      <c r="G1047" t="s"/>
      <c r="H1047" t="s"/>
      <c r="I1047" t="s"/>
      <c r="J1047" t="n">
        <v>-0.4981</v>
      </c>
      <c r="K1047" t="n">
        <v>0.187</v>
      </c>
      <c r="L1047" t="n">
        <v>0.8129999999999999</v>
      </c>
      <c r="M1047" t="n">
        <v>0</v>
      </c>
    </row>
    <row r="1048" spans="1:13">
      <c r="A1048" s="1">
        <f>HYPERLINK("http://www.twitter.com/NathanBLawrence/status/994702454238466048", "994702454238466048")</f>
        <v/>
      </c>
      <c r="B1048" s="2" t="n">
        <v>43230.92731481481</v>
      </c>
      <c r="C1048" t="n">
        <v>2</v>
      </c>
      <c r="D1048" t="n">
        <v>0</v>
      </c>
      <c r="E1048" t="s">
        <v>1055</v>
      </c>
      <c r="F1048" t="s"/>
      <c r="G1048" t="s"/>
      <c r="H1048" t="s"/>
      <c r="I1048" t="s"/>
      <c r="J1048" t="n">
        <v>-0.6908</v>
      </c>
      <c r="K1048" t="n">
        <v>0.258</v>
      </c>
      <c r="L1048" t="n">
        <v>0.6870000000000001</v>
      </c>
      <c r="M1048" t="n">
        <v>0.056</v>
      </c>
    </row>
    <row r="1049" spans="1:13">
      <c r="A1049" s="1">
        <f>HYPERLINK("http://www.twitter.com/NathanBLawrence/status/994702159894794241", "994702159894794241")</f>
        <v/>
      </c>
      <c r="B1049" s="2" t="n">
        <v>43230.92650462963</v>
      </c>
      <c r="C1049" t="n">
        <v>0</v>
      </c>
      <c r="D1049" t="n">
        <v>41</v>
      </c>
      <c r="E1049" t="s">
        <v>1056</v>
      </c>
      <c r="F1049" t="s"/>
      <c r="G1049" t="s"/>
      <c r="H1049" t="s"/>
      <c r="I1049" t="s"/>
      <c r="J1049" t="n">
        <v>0.0516</v>
      </c>
      <c r="K1049" t="n">
        <v>0.06900000000000001</v>
      </c>
      <c r="L1049" t="n">
        <v>0.851</v>
      </c>
      <c r="M1049" t="n">
        <v>0.08</v>
      </c>
    </row>
    <row r="1050" spans="1:13">
      <c r="A1050" s="1">
        <f>HYPERLINK("http://www.twitter.com/NathanBLawrence/status/994702089795272704", "994702089795272704")</f>
        <v/>
      </c>
      <c r="B1050" s="2" t="n">
        <v>43230.92630787037</v>
      </c>
      <c r="C1050" t="n">
        <v>0</v>
      </c>
      <c r="D1050" t="n">
        <v>7</v>
      </c>
      <c r="E1050" t="s">
        <v>1057</v>
      </c>
      <c r="F1050" t="s"/>
      <c r="G1050" t="s"/>
      <c r="H1050" t="s"/>
      <c r="I1050" t="s"/>
      <c r="J1050" t="n">
        <v>-0.1486</v>
      </c>
      <c r="K1050" t="n">
        <v>0.073</v>
      </c>
      <c r="L1050" t="n">
        <v>0.927</v>
      </c>
      <c r="M1050" t="n">
        <v>0</v>
      </c>
    </row>
    <row r="1051" spans="1:13">
      <c r="A1051" s="1">
        <f>HYPERLINK("http://www.twitter.com/NathanBLawrence/status/994701859116998658", "994701859116998658")</f>
        <v/>
      </c>
      <c r="B1051" s="2" t="n">
        <v>43230.9256712963</v>
      </c>
      <c r="C1051" t="n">
        <v>21</v>
      </c>
      <c r="D1051" t="n">
        <v>15</v>
      </c>
      <c r="E1051" t="s">
        <v>1058</v>
      </c>
      <c r="F1051">
        <f>HYPERLINK("http://pbs.twimg.com/media/Dc3kEWuVQAAfZpT.jpg", "http://pbs.twimg.com/media/Dc3kEWuVQAAfZpT.jpg")</f>
        <v/>
      </c>
      <c r="G1051" t="s"/>
      <c r="H1051" t="s"/>
      <c r="I1051" t="s"/>
      <c r="J1051" t="n">
        <v>0</v>
      </c>
      <c r="K1051" t="n">
        <v>0</v>
      </c>
      <c r="L1051" t="n">
        <v>1</v>
      </c>
      <c r="M1051" t="n">
        <v>0</v>
      </c>
    </row>
    <row r="1052" spans="1:13">
      <c r="A1052" s="1">
        <f>HYPERLINK("http://www.twitter.com/NathanBLawrence/status/994701205472505856", "994701205472505856")</f>
        <v/>
      </c>
      <c r="B1052" s="2" t="n">
        <v>43230.92386574074</v>
      </c>
      <c r="C1052" t="n">
        <v>0</v>
      </c>
      <c r="D1052" t="n">
        <v>0</v>
      </c>
      <c r="E1052" t="s">
        <v>1059</v>
      </c>
      <c r="F1052" t="s"/>
      <c r="G1052" t="s"/>
      <c r="H1052" t="s"/>
      <c r="I1052" t="s"/>
      <c r="J1052" t="n">
        <v>0</v>
      </c>
      <c r="K1052" t="n">
        <v>0</v>
      </c>
      <c r="L1052" t="n">
        <v>1</v>
      </c>
      <c r="M1052" t="n">
        <v>0</v>
      </c>
    </row>
    <row r="1053" spans="1:13">
      <c r="A1053" s="1">
        <f>HYPERLINK("http://www.twitter.com/NathanBLawrence/status/994700514657996801", "994700514657996801")</f>
        <v/>
      </c>
      <c r="B1053" s="2" t="n">
        <v>43230.92195601852</v>
      </c>
      <c r="C1053" t="n">
        <v>0</v>
      </c>
      <c r="D1053" t="n">
        <v>473</v>
      </c>
      <c r="E1053" t="s">
        <v>1060</v>
      </c>
      <c r="F1053" t="s"/>
      <c r="G1053" t="s"/>
      <c r="H1053" t="s"/>
      <c r="I1053" t="s"/>
      <c r="J1053" t="n">
        <v>0.7227</v>
      </c>
      <c r="K1053" t="n">
        <v>0.05</v>
      </c>
      <c r="L1053" t="n">
        <v>0.673</v>
      </c>
      <c r="M1053" t="n">
        <v>0.277</v>
      </c>
    </row>
    <row r="1054" spans="1:13">
      <c r="A1054" s="1">
        <f>HYPERLINK("http://www.twitter.com/NathanBLawrence/status/994684781479723008", "994684781479723008")</f>
        <v/>
      </c>
      <c r="B1054" s="2" t="n">
        <v>43230.87854166667</v>
      </c>
      <c r="C1054" t="n">
        <v>20</v>
      </c>
      <c r="D1054" t="n">
        <v>9</v>
      </c>
      <c r="E1054" t="s">
        <v>1061</v>
      </c>
      <c r="F1054" t="s"/>
      <c r="G1054" t="s"/>
      <c r="H1054" t="s"/>
      <c r="I1054" t="s"/>
      <c r="J1054" t="n">
        <v>0.34</v>
      </c>
      <c r="K1054" t="n">
        <v>0</v>
      </c>
      <c r="L1054" t="n">
        <v>0.921</v>
      </c>
      <c r="M1054" t="n">
        <v>0.079</v>
      </c>
    </row>
    <row r="1055" spans="1:13">
      <c r="A1055" s="1">
        <f>HYPERLINK("http://www.twitter.com/NathanBLawrence/status/994683494939885569", "994683494939885569")</f>
        <v/>
      </c>
      <c r="B1055" s="2" t="n">
        <v>43230.875</v>
      </c>
      <c r="C1055" t="n">
        <v>0</v>
      </c>
      <c r="D1055" t="n">
        <v>0</v>
      </c>
      <c r="E1055" t="s">
        <v>1062</v>
      </c>
      <c r="F1055" t="s"/>
      <c r="G1055" t="s"/>
      <c r="H1055" t="s"/>
      <c r="I1055" t="s"/>
      <c r="J1055" t="n">
        <v>0</v>
      </c>
      <c r="K1055" t="n">
        <v>0</v>
      </c>
      <c r="L1055" t="n">
        <v>1</v>
      </c>
      <c r="M1055" t="n">
        <v>0</v>
      </c>
    </row>
    <row r="1056" spans="1:13">
      <c r="A1056" s="1">
        <f>HYPERLINK("http://www.twitter.com/NathanBLawrence/status/994683434088960001", "994683434088960001")</f>
        <v/>
      </c>
      <c r="B1056" s="2" t="n">
        <v>43230.87482638889</v>
      </c>
      <c r="C1056" t="n">
        <v>0</v>
      </c>
      <c r="D1056" t="n">
        <v>5</v>
      </c>
      <c r="E1056" t="s">
        <v>1063</v>
      </c>
      <c r="F1056" t="s"/>
      <c r="G1056" t="s"/>
      <c r="H1056" t="s"/>
      <c r="I1056" t="s"/>
      <c r="J1056" t="n">
        <v>0.4019</v>
      </c>
      <c r="K1056" t="n">
        <v>0</v>
      </c>
      <c r="L1056" t="n">
        <v>0.881</v>
      </c>
      <c r="M1056" t="n">
        <v>0.119</v>
      </c>
    </row>
    <row r="1057" spans="1:13">
      <c r="A1057" s="1">
        <f>HYPERLINK("http://www.twitter.com/NathanBLawrence/status/994682893476786176", "994682893476786176")</f>
        <v/>
      </c>
      <c r="B1057" s="2" t="n">
        <v>43230.87333333334</v>
      </c>
      <c r="C1057" t="n">
        <v>1</v>
      </c>
      <c r="D1057" t="n">
        <v>0</v>
      </c>
      <c r="E1057" t="s">
        <v>1064</v>
      </c>
      <c r="F1057" t="s"/>
      <c r="G1057" t="s"/>
      <c r="H1057" t="s"/>
      <c r="I1057" t="s"/>
      <c r="J1057" t="n">
        <v>0.4215</v>
      </c>
      <c r="K1057" t="n">
        <v>0</v>
      </c>
      <c r="L1057" t="n">
        <v>0.417</v>
      </c>
      <c r="M1057" t="n">
        <v>0.583</v>
      </c>
    </row>
    <row r="1058" spans="1:13">
      <c r="A1058" s="1">
        <f>HYPERLINK("http://www.twitter.com/NathanBLawrence/status/994682829589098496", "994682829589098496")</f>
        <v/>
      </c>
      <c r="B1058" s="2" t="n">
        <v>43230.87315972222</v>
      </c>
      <c r="C1058" t="n">
        <v>0</v>
      </c>
      <c r="D1058" t="n">
        <v>56</v>
      </c>
      <c r="E1058" t="s">
        <v>1065</v>
      </c>
      <c r="F1058" t="s"/>
      <c r="G1058" t="s"/>
      <c r="H1058" t="s"/>
      <c r="I1058" t="s"/>
      <c r="J1058" t="n">
        <v>-0.2247</v>
      </c>
      <c r="K1058" t="n">
        <v>0.126</v>
      </c>
      <c r="L1058" t="n">
        <v>0.781</v>
      </c>
      <c r="M1058" t="n">
        <v>0.093</v>
      </c>
    </row>
    <row r="1059" spans="1:13">
      <c r="A1059" s="1">
        <f>HYPERLINK("http://www.twitter.com/NathanBLawrence/status/994682421613342720", "994682421613342720")</f>
        <v/>
      </c>
      <c r="B1059" s="2" t="n">
        <v>43230.87203703704</v>
      </c>
      <c r="C1059" t="n">
        <v>1</v>
      </c>
      <c r="D1059" t="n">
        <v>0</v>
      </c>
      <c r="E1059" t="s">
        <v>1066</v>
      </c>
      <c r="F1059">
        <f>HYPERLINK("http://pbs.twimg.com/media/Dc3SYmAVMAAoIwm.jpg", "http://pbs.twimg.com/media/Dc3SYmAVMAAoIwm.jpg")</f>
        <v/>
      </c>
      <c r="G1059" t="s"/>
      <c r="H1059" t="s"/>
      <c r="I1059" t="s"/>
      <c r="J1059" t="n">
        <v>0.2023</v>
      </c>
      <c r="K1059" t="n">
        <v>0.162</v>
      </c>
      <c r="L1059" t="n">
        <v>0.615</v>
      </c>
      <c r="M1059" t="n">
        <v>0.223</v>
      </c>
    </row>
    <row r="1060" spans="1:13">
      <c r="A1060" s="1">
        <f>HYPERLINK("http://www.twitter.com/NathanBLawrence/status/994681313696387073", "994681313696387073")</f>
        <v/>
      </c>
      <c r="B1060" s="2" t="n">
        <v>43230.86898148148</v>
      </c>
      <c r="C1060" t="n">
        <v>0</v>
      </c>
      <c r="D1060" t="n">
        <v>1</v>
      </c>
      <c r="E1060" t="s">
        <v>1067</v>
      </c>
      <c r="F1060">
        <f>HYPERLINK("http://pbs.twimg.com/media/Dc3QN7pXkAEjz1e.jpg", "http://pbs.twimg.com/media/Dc3QN7pXkAEjz1e.jpg")</f>
        <v/>
      </c>
      <c r="G1060" t="s"/>
      <c r="H1060" t="s"/>
      <c r="I1060" t="s"/>
      <c r="J1060" t="n">
        <v>-0.296</v>
      </c>
      <c r="K1060" t="n">
        <v>0.145</v>
      </c>
      <c r="L1060" t="n">
        <v>0.855</v>
      </c>
      <c r="M1060" t="n">
        <v>0</v>
      </c>
    </row>
    <row r="1061" spans="1:13">
      <c r="A1061" s="1">
        <f>HYPERLINK("http://www.twitter.com/NathanBLawrence/status/994681293630853121", "994681293630853121")</f>
        <v/>
      </c>
      <c r="B1061" s="2" t="n">
        <v>43230.86892361111</v>
      </c>
      <c r="C1061" t="n">
        <v>0</v>
      </c>
      <c r="D1061" t="n">
        <v>3</v>
      </c>
      <c r="E1061" t="s">
        <v>1068</v>
      </c>
      <c r="F1061" t="s"/>
      <c r="G1061" t="s"/>
      <c r="H1061" t="s"/>
      <c r="I1061" t="s"/>
      <c r="J1061" t="n">
        <v>0</v>
      </c>
      <c r="K1061" t="n">
        <v>0</v>
      </c>
      <c r="L1061" t="n">
        <v>1</v>
      </c>
      <c r="M1061" t="n">
        <v>0</v>
      </c>
    </row>
    <row r="1062" spans="1:13">
      <c r="A1062" s="1">
        <f>HYPERLINK("http://www.twitter.com/NathanBLawrence/status/994680688782860291", "994680688782860291")</f>
        <v/>
      </c>
      <c r="B1062" s="2" t="n">
        <v>43230.86725694445</v>
      </c>
      <c r="C1062" t="n">
        <v>0</v>
      </c>
      <c r="D1062" t="n">
        <v>30091</v>
      </c>
      <c r="E1062" t="s">
        <v>1069</v>
      </c>
      <c r="F1062" t="s"/>
      <c r="G1062" t="s"/>
      <c r="H1062" t="s"/>
      <c r="I1062" t="s"/>
      <c r="J1062" t="n">
        <v>-0.6597</v>
      </c>
      <c r="K1062" t="n">
        <v>0.205</v>
      </c>
      <c r="L1062" t="n">
        <v>0.795</v>
      </c>
      <c r="M1062" t="n">
        <v>0</v>
      </c>
    </row>
    <row r="1063" spans="1:13">
      <c r="A1063" s="1">
        <f>HYPERLINK("http://www.twitter.com/NathanBLawrence/status/994680433458728960", "994680433458728960")</f>
        <v/>
      </c>
      <c r="B1063" s="2" t="n">
        <v>43230.86655092592</v>
      </c>
      <c r="C1063" t="n">
        <v>0</v>
      </c>
      <c r="D1063" t="n">
        <v>26599</v>
      </c>
      <c r="E1063" t="s">
        <v>1070</v>
      </c>
      <c r="F1063" t="s"/>
      <c r="G1063" t="s"/>
      <c r="H1063" t="s"/>
      <c r="I1063" t="s"/>
      <c r="J1063" t="n">
        <v>0</v>
      </c>
      <c r="K1063" t="n">
        <v>0</v>
      </c>
      <c r="L1063" t="n">
        <v>1</v>
      </c>
      <c r="M1063" t="n">
        <v>0</v>
      </c>
    </row>
    <row r="1064" spans="1:13">
      <c r="A1064" s="1">
        <f>HYPERLINK("http://www.twitter.com/NathanBLawrence/status/994680334292799488", "994680334292799488")</f>
        <v/>
      </c>
      <c r="B1064" s="2" t="n">
        <v>43230.86627314815</v>
      </c>
      <c r="C1064" t="n">
        <v>0</v>
      </c>
      <c r="D1064" t="n">
        <v>16577</v>
      </c>
      <c r="E1064" t="s">
        <v>1071</v>
      </c>
      <c r="F1064" t="s"/>
      <c r="G1064" t="s"/>
      <c r="H1064" t="s"/>
      <c r="I1064" t="s"/>
      <c r="J1064" t="n">
        <v>0</v>
      </c>
      <c r="K1064" t="n">
        <v>0</v>
      </c>
      <c r="L1064" t="n">
        <v>1</v>
      </c>
      <c r="M1064" t="n">
        <v>0</v>
      </c>
    </row>
    <row r="1065" spans="1:13">
      <c r="A1065" s="1">
        <f>HYPERLINK("http://www.twitter.com/NathanBLawrence/status/994680221453471744", "994680221453471744")</f>
        <v/>
      </c>
      <c r="B1065" s="2" t="n">
        <v>43230.86596064815</v>
      </c>
      <c r="C1065" t="n">
        <v>0</v>
      </c>
      <c r="D1065" t="n">
        <v>3760</v>
      </c>
      <c r="E1065" t="s">
        <v>1072</v>
      </c>
      <c r="F1065">
        <f>HYPERLINK("http://pbs.twimg.com/media/DcDVrfwVwAAiydR.jpg", "http://pbs.twimg.com/media/DcDVrfwVwAAiydR.jpg")</f>
        <v/>
      </c>
      <c r="G1065" t="s"/>
      <c r="H1065" t="s"/>
      <c r="I1065" t="s"/>
      <c r="J1065" t="n">
        <v>0</v>
      </c>
      <c r="K1065" t="n">
        <v>0</v>
      </c>
      <c r="L1065" t="n">
        <v>1</v>
      </c>
      <c r="M1065" t="n">
        <v>0</v>
      </c>
    </row>
    <row r="1066" spans="1:13">
      <c r="A1066" s="1">
        <f>HYPERLINK("http://www.twitter.com/NathanBLawrence/status/994680003458686976", "994680003458686976")</f>
        <v/>
      </c>
      <c r="B1066" s="2" t="n">
        <v>43230.8653587963</v>
      </c>
      <c r="C1066" t="n">
        <v>0</v>
      </c>
      <c r="D1066" t="n">
        <v>16415</v>
      </c>
      <c r="E1066" t="s">
        <v>1073</v>
      </c>
      <c r="F1066" t="s"/>
      <c r="G1066" t="s"/>
      <c r="H1066" t="s"/>
      <c r="I1066" t="s"/>
      <c r="J1066" t="n">
        <v>-0.3818</v>
      </c>
      <c r="K1066" t="n">
        <v>0.133</v>
      </c>
      <c r="L1066" t="n">
        <v>0.867</v>
      </c>
      <c r="M1066" t="n">
        <v>0</v>
      </c>
    </row>
    <row r="1067" spans="1:13">
      <c r="A1067" s="1">
        <f>HYPERLINK("http://www.twitter.com/NathanBLawrence/status/994679686184783872", "994679686184783872")</f>
        <v/>
      </c>
      <c r="B1067" s="2" t="n">
        <v>43230.86449074074</v>
      </c>
      <c r="C1067" t="n">
        <v>0</v>
      </c>
      <c r="D1067" t="n">
        <v>55577</v>
      </c>
      <c r="E1067" t="s">
        <v>1074</v>
      </c>
      <c r="F1067" t="s"/>
      <c r="G1067" t="s"/>
      <c r="H1067" t="s"/>
      <c r="I1067" t="s"/>
      <c r="J1067" t="n">
        <v>0.802</v>
      </c>
      <c r="K1067" t="n">
        <v>0</v>
      </c>
      <c r="L1067" t="n">
        <v>0.41</v>
      </c>
      <c r="M1067" t="n">
        <v>0.59</v>
      </c>
    </row>
    <row r="1068" spans="1:13">
      <c r="A1068" s="1">
        <f>HYPERLINK("http://www.twitter.com/NathanBLawrence/status/994679333200580609", "994679333200580609")</f>
        <v/>
      </c>
      <c r="B1068" s="2" t="n">
        <v>43230.86350694444</v>
      </c>
      <c r="C1068" t="n">
        <v>16</v>
      </c>
      <c r="D1068" t="n">
        <v>14</v>
      </c>
      <c r="E1068" t="s">
        <v>1075</v>
      </c>
      <c r="F1068">
        <f>HYPERLINK("http://pbs.twimg.com/media/Dc3Pk2RVQAEps4f.jpg", "http://pbs.twimg.com/media/Dc3Pk2RVQAEps4f.jpg")</f>
        <v/>
      </c>
      <c r="G1068" t="s"/>
      <c r="H1068" t="s"/>
      <c r="I1068" t="s"/>
      <c r="J1068" t="n">
        <v>0.2732</v>
      </c>
      <c r="K1068" t="n">
        <v>0</v>
      </c>
      <c r="L1068" t="n">
        <v>0.8110000000000001</v>
      </c>
      <c r="M1068" t="n">
        <v>0.189</v>
      </c>
    </row>
    <row r="1069" spans="1:13">
      <c r="A1069" s="1">
        <f>HYPERLINK("http://www.twitter.com/NathanBLawrence/status/994677636831039489", "994677636831039489")</f>
        <v/>
      </c>
      <c r="B1069" s="2" t="n">
        <v>43230.85883101852</v>
      </c>
      <c r="C1069" t="n">
        <v>15</v>
      </c>
      <c r="D1069" t="n">
        <v>15</v>
      </c>
      <c r="E1069" t="s">
        <v>1076</v>
      </c>
      <c r="F1069" t="s"/>
      <c r="G1069" t="s"/>
      <c r="H1069" t="s"/>
      <c r="I1069" t="s"/>
      <c r="J1069" t="n">
        <v>-0.5423</v>
      </c>
      <c r="K1069" t="n">
        <v>0.096</v>
      </c>
      <c r="L1069" t="n">
        <v>0.904</v>
      </c>
      <c r="M1069" t="n">
        <v>0</v>
      </c>
    </row>
    <row r="1070" spans="1:13">
      <c r="A1070" s="1">
        <f>HYPERLINK("http://www.twitter.com/NathanBLawrence/status/994674337314672644", "994674337314672644")</f>
        <v/>
      </c>
      <c r="B1070" s="2" t="n">
        <v>43230.84972222222</v>
      </c>
      <c r="C1070" t="n">
        <v>0</v>
      </c>
      <c r="D1070" t="n">
        <v>13</v>
      </c>
      <c r="E1070" t="s">
        <v>1077</v>
      </c>
      <c r="F1070" t="s"/>
      <c r="G1070" t="s"/>
      <c r="H1070" t="s"/>
      <c r="I1070" t="s"/>
      <c r="J1070" t="n">
        <v>0</v>
      </c>
      <c r="K1070" t="n">
        <v>0</v>
      </c>
      <c r="L1070" t="n">
        <v>1</v>
      </c>
      <c r="M1070" t="n">
        <v>0</v>
      </c>
    </row>
    <row r="1071" spans="1:13">
      <c r="A1071" s="1">
        <f>HYPERLINK("http://www.twitter.com/NathanBLawrence/status/994674305618374656", "994674305618374656")</f>
        <v/>
      </c>
      <c r="B1071" s="2" t="n">
        <v>43230.84964120371</v>
      </c>
      <c r="C1071" t="n">
        <v>0</v>
      </c>
      <c r="D1071" t="n">
        <v>25</v>
      </c>
      <c r="E1071" t="s">
        <v>1078</v>
      </c>
      <c r="F1071">
        <f>HYPERLINK("http://pbs.twimg.com/media/DYNXQsEUQAAFNr4.jpg", "http://pbs.twimg.com/media/DYNXQsEUQAAFNr4.jpg")</f>
        <v/>
      </c>
      <c r="G1071" t="s"/>
      <c r="H1071" t="s"/>
      <c r="I1071" t="s"/>
      <c r="J1071" t="n">
        <v>-0.296</v>
      </c>
      <c r="K1071" t="n">
        <v>0.109</v>
      </c>
      <c r="L1071" t="n">
        <v>0.891</v>
      </c>
      <c r="M1071" t="n">
        <v>0</v>
      </c>
    </row>
    <row r="1072" spans="1:13">
      <c r="A1072" s="1">
        <f>HYPERLINK("http://www.twitter.com/NathanBLawrence/status/994674155487465472", "994674155487465472")</f>
        <v/>
      </c>
      <c r="B1072" s="2" t="n">
        <v>43230.84922453704</v>
      </c>
      <c r="C1072" t="n">
        <v>0</v>
      </c>
      <c r="D1072" t="n">
        <v>4</v>
      </c>
      <c r="E1072" t="s">
        <v>1079</v>
      </c>
      <c r="F1072" t="s"/>
      <c r="G1072" t="s"/>
      <c r="H1072" t="s"/>
      <c r="I1072" t="s"/>
      <c r="J1072" t="n">
        <v>0</v>
      </c>
      <c r="K1072" t="n">
        <v>0</v>
      </c>
      <c r="L1072" t="n">
        <v>1</v>
      </c>
      <c r="M1072" t="n">
        <v>0</v>
      </c>
    </row>
    <row r="1073" spans="1:13">
      <c r="A1073" s="1">
        <f>HYPERLINK("http://www.twitter.com/NathanBLawrence/status/994674115289210880", "994674115289210880")</f>
        <v/>
      </c>
      <c r="B1073" s="2" t="n">
        <v>43230.8491087963</v>
      </c>
      <c r="C1073" t="n">
        <v>0</v>
      </c>
      <c r="D1073" t="n">
        <v>21</v>
      </c>
      <c r="E1073" t="s">
        <v>1080</v>
      </c>
      <c r="F1073" t="s"/>
      <c r="G1073" t="s"/>
      <c r="H1073" t="s"/>
      <c r="I1073" t="s"/>
      <c r="J1073" t="n">
        <v>0</v>
      </c>
      <c r="K1073" t="n">
        <v>0</v>
      </c>
      <c r="L1073" t="n">
        <v>1</v>
      </c>
      <c r="M1073" t="n">
        <v>0</v>
      </c>
    </row>
    <row r="1074" spans="1:13">
      <c r="A1074" s="1">
        <f>HYPERLINK("http://www.twitter.com/NathanBLawrence/status/994674093298470913", "994674093298470913")</f>
        <v/>
      </c>
      <c r="B1074" s="2" t="n">
        <v>43230.84905092593</v>
      </c>
      <c r="C1074" t="n">
        <v>0</v>
      </c>
      <c r="D1074" t="n">
        <v>32</v>
      </c>
      <c r="E1074" t="s">
        <v>1081</v>
      </c>
      <c r="F1074" t="s"/>
      <c r="G1074" t="s"/>
      <c r="H1074" t="s"/>
      <c r="I1074" t="s"/>
      <c r="J1074" t="n">
        <v>0.7096</v>
      </c>
      <c r="K1074" t="n">
        <v>0</v>
      </c>
      <c r="L1074" t="n">
        <v>0.67</v>
      </c>
      <c r="M1074" t="n">
        <v>0.33</v>
      </c>
    </row>
    <row r="1075" spans="1:13">
      <c r="A1075" s="1">
        <f>HYPERLINK("http://www.twitter.com/NathanBLawrence/status/994673857700270080", "994673857700270080")</f>
        <v/>
      </c>
      <c r="B1075" s="2" t="n">
        <v>43230.84840277778</v>
      </c>
      <c r="C1075" t="n">
        <v>0</v>
      </c>
      <c r="D1075" t="n">
        <v>16318</v>
      </c>
      <c r="E1075" t="s">
        <v>1082</v>
      </c>
      <c r="F1075" t="s"/>
      <c r="G1075" t="s"/>
      <c r="H1075" t="s"/>
      <c r="I1075" t="s"/>
      <c r="J1075" t="n">
        <v>0</v>
      </c>
      <c r="K1075" t="n">
        <v>0</v>
      </c>
      <c r="L1075" t="n">
        <v>1</v>
      </c>
      <c r="M1075" t="n">
        <v>0</v>
      </c>
    </row>
    <row r="1076" spans="1:13">
      <c r="A1076" s="1">
        <f>HYPERLINK("http://www.twitter.com/NathanBLawrence/status/994673358171144207", "994673358171144207")</f>
        <v/>
      </c>
      <c r="B1076" s="2" t="n">
        <v>43230.84702546296</v>
      </c>
      <c r="C1076" t="n">
        <v>0</v>
      </c>
      <c r="D1076" t="n">
        <v>0</v>
      </c>
      <c r="E1076" t="s">
        <v>1083</v>
      </c>
      <c r="F1076" t="s"/>
      <c r="G1076" t="s"/>
      <c r="H1076" t="s"/>
      <c r="I1076" t="s"/>
      <c r="J1076" t="n">
        <v>0</v>
      </c>
      <c r="K1076" t="n">
        <v>0</v>
      </c>
      <c r="L1076" t="n">
        <v>1</v>
      </c>
      <c r="M1076" t="n">
        <v>0</v>
      </c>
    </row>
    <row r="1077" spans="1:13">
      <c r="A1077" s="1">
        <f>HYPERLINK("http://www.twitter.com/NathanBLawrence/status/994670814619406336", "994670814619406336")</f>
        <v/>
      </c>
      <c r="B1077" s="2" t="n">
        <v>43230.84</v>
      </c>
      <c r="C1077" t="n">
        <v>5</v>
      </c>
      <c r="D1077" t="n">
        <v>1</v>
      </c>
      <c r="E1077" t="s">
        <v>1084</v>
      </c>
      <c r="F1077" t="s"/>
      <c r="G1077" t="s"/>
      <c r="H1077" t="s"/>
      <c r="I1077" t="s"/>
      <c r="J1077" t="n">
        <v>0</v>
      </c>
      <c r="K1077" t="n">
        <v>0</v>
      </c>
      <c r="L1077" t="n">
        <v>1</v>
      </c>
      <c r="M1077" t="n">
        <v>0</v>
      </c>
    </row>
    <row r="1078" spans="1:13">
      <c r="A1078" s="1">
        <f>HYPERLINK("http://www.twitter.com/NathanBLawrence/status/994670045019164674", "994670045019164674")</f>
        <v/>
      </c>
      <c r="B1078" s="2" t="n">
        <v>43230.83788194445</v>
      </c>
      <c r="C1078" t="n">
        <v>0</v>
      </c>
      <c r="D1078" t="n">
        <v>5</v>
      </c>
      <c r="E1078" t="s">
        <v>1085</v>
      </c>
      <c r="F1078">
        <f>HYPERLINK("http://pbs.twimg.com/media/Dc2-QphWkAEXw6f.jpg", "http://pbs.twimg.com/media/Dc2-QphWkAEXw6f.jpg")</f>
        <v/>
      </c>
      <c r="G1078" t="s"/>
      <c r="H1078" t="s"/>
      <c r="I1078" t="s"/>
      <c r="J1078" t="n">
        <v>0</v>
      </c>
      <c r="K1078" t="n">
        <v>0</v>
      </c>
      <c r="L1078" t="n">
        <v>1</v>
      </c>
      <c r="M1078" t="n">
        <v>0</v>
      </c>
    </row>
    <row r="1079" spans="1:13">
      <c r="A1079" s="1">
        <f>HYPERLINK("http://www.twitter.com/NathanBLawrence/status/994645861924732928", "994645861924732928")</f>
        <v/>
      </c>
      <c r="B1079" s="2" t="n">
        <v>43230.77114583334</v>
      </c>
      <c r="C1079" t="n">
        <v>0</v>
      </c>
      <c r="D1079" t="n">
        <v>29</v>
      </c>
      <c r="E1079" t="s">
        <v>1086</v>
      </c>
      <c r="F1079" t="s"/>
      <c r="G1079" t="s"/>
      <c r="H1079" t="s"/>
      <c r="I1079" t="s"/>
      <c r="J1079" t="n">
        <v>0.5106000000000001</v>
      </c>
      <c r="K1079" t="n">
        <v>0</v>
      </c>
      <c r="L1079" t="n">
        <v>0.829</v>
      </c>
      <c r="M1079" t="n">
        <v>0.171</v>
      </c>
    </row>
    <row r="1080" spans="1:13">
      <c r="A1080" s="1">
        <f>HYPERLINK("http://www.twitter.com/NathanBLawrence/status/994645837555826688", "994645837555826688")</f>
        <v/>
      </c>
      <c r="B1080" s="2" t="n">
        <v>43230.77107638889</v>
      </c>
      <c r="C1080" t="n">
        <v>0</v>
      </c>
      <c r="D1080" t="n">
        <v>17</v>
      </c>
      <c r="E1080" t="s">
        <v>1087</v>
      </c>
      <c r="F1080">
        <f>HYPERLINK("http://pbs.twimg.com/media/Dc2T7_TU8AANCuv.jpg", "http://pbs.twimg.com/media/Dc2T7_TU8AANCuv.jpg")</f>
        <v/>
      </c>
      <c r="G1080" t="s"/>
      <c r="H1080" t="s"/>
      <c r="I1080" t="s"/>
      <c r="J1080" t="n">
        <v>0.7506</v>
      </c>
      <c r="K1080" t="n">
        <v>0</v>
      </c>
      <c r="L1080" t="n">
        <v>0.709</v>
      </c>
      <c r="M1080" t="n">
        <v>0.291</v>
      </c>
    </row>
    <row r="1081" spans="1:13">
      <c r="A1081" s="1">
        <f>HYPERLINK("http://www.twitter.com/NathanBLawrence/status/994645816278159365", "994645816278159365")</f>
        <v/>
      </c>
      <c r="B1081" s="2" t="n">
        <v>43230.77101851852</v>
      </c>
      <c r="C1081" t="n">
        <v>0</v>
      </c>
      <c r="D1081" t="n">
        <v>21</v>
      </c>
      <c r="E1081" t="s">
        <v>1088</v>
      </c>
      <c r="F1081">
        <f>HYPERLINK("http://pbs.twimg.com/media/Dc2V5f0VMAAs7fn.jpg", "http://pbs.twimg.com/media/Dc2V5f0VMAAs7fn.jpg")</f>
        <v/>
      </c>
      <c r="G1081" t="s"/>
      <c r="H1081" t="s"/>
      <c r="I1081" t="s"/>
      <c r="J1081" t="n">
        <v>0.5848</v>
      </c>
      <c r="K1081" t="n">
        <v>0.08699999999999999</v>
      </c>
      <c r="L1081" t="n">
        <v>0.7</v>
      </c>
      <c r="M1081" t="n">
        <v>0.213</v>
      </c>
    </row>
    <row r="1082" spans="1:13">
      <c r="A1082" s="1">
        <f>HYPERLINK("http://www.twitter.com/NathanBLawrence/status/994630413988581377", "994630413988581377")</f>
        <v/>
      </c>
      <c r="B1082" s="2" t="n">
        <v>43230.72851851852</v>
      </c>
      <c r="C1082" t="n">
        <v>0</v>
      </c>
      <c r="D1082" t="n">
        <v>175</v>
      </c>
      <c r="E1082" t="s">
        <v>1089</v>
      </c>
      <c r="F1082" t="s"/>
      <c r="G1082" t="s"/>
      <c r="H1082" t="s"/>
      <c r="I1082" t="s"/>
      <c r="J1082" t="n">
        <v>0</v>
      </c>
      <c r="K1082" t="n">
        <v>0</v>
      </c>
      <c r="L1082" t="n">
        <v>1</v>
      </c>
      <c r="M1082" t="n">
        <v>0</v>
      </c>
    </row>
    <row r="1083" spans="1:13">
      <c r="A1083" s="1">
        <f>HYPERLINK("http://www.twitter.com/NathanBLawrence/status/994630256182087680", "994630256182087680")</f>
        <v/>
      </c>
      <c r="B1083" s="2" t="n">
        <v>43230.72809027778</v>
      </c>
      <c r="C1083" t="n">
        <v>0</v>
      </c>
      <c r="D1083" t="n">
        <v>29</v>
      </c>
      <c r="E1083" t="s">
        <v>1090</v>
      </c>
      <c r="F1083">
        <f>HYPERLINK("http://pbs.twimg.com/media/Dc2hEXUX4AAAgKK.jpg", "http://pbs.twimg.com/media/Dc2hEXUX4AAAgKK.jpg")</f>
        <v/>
      </c>
      <c r="G1083" t="s"/>
      <c r="H1083" t="s"/>
      <c r="I1083" t="s"/>
      <c r="J1083" t="n">
        <v>-0.7121</v>
      </c>
      <c r="K1083" t="n">
        <v>0.242</v>
      </c>
      <c r="L1083" t="n">
        <v>0.665</v>
      </c>
      <c r="M1083" t="n">
        <v>0.093</v>
      </c>
    </row>
    <row r="1084" spans="1:13">
      <c r="A1084" s="1">
        <f>HYPERLINK("http://www.twitter.com/NathanBLawrence/status/994630138401841152", "994630138401841152")</f>
        <v/>
      </c>
      <c r="B1084" s="2" t="n">
        <v>43230.72775462963</v>
      </c>
      <c r="C1084" t="n">
        <v>0</v>
      </c>
      <c r="D1084" t="n">
        <v>5</v>
      </c>
      <c r="E1084" t="s">
        <v>1091</v>
      </c>
      <c r="F1084">
        <f>HYPERLINK("http://pbs.twimg.com/media/Dcnn6IiUQAAqMSn.jpg", "http://pbs.twimg.com/media/Dcnn6IiUQAAqMSn.jpg")</f>
        <v/>
      </c>
      <c r="G1084" t="s"/>
      <c r="H1084" t="s"/>
      <c r="I1084" t="s"/>
      <c r="J1084" t="n">
        <v>-0.5266999999999999</v>
      </c>
      <c r="K1084" t="n">
        <v>0.139</v>
      </c>
      <c r="L1084" t="n">
        <v>0.861</v>
      </c>
      <c r="M1084" t="n">
        <v>0</v>
      </c>
    </row>
    <row r="1085" spans="1:13">
      <c r="A1085" s="1">
        <f>HYPERLINK("http://www.twitter.com/NathanBLawrence/status/994630124296462337", "994630124296462337")</f>
        <v/>
      </c>
      <c r="B1085" s="2" t="n">
        <v>43230.72771990741</v>
      </c>
      <c r="C1085" t="n">
        <v>0</v>
      </c>
      <c r="D1085" t="n">
        <v>4</v>
      </c>
      <c r="E1085" t="s">
        <v>1092</v>
      </c>
      <c r="F1085">
        <f>HYPERLINK("http://pbs.twimg.com/media/DcnmnoTUwAAazhw.jpg", "http://pbs.twimg.com/media/DcnmnoTUwAAazhw.jpg")</f>
        <v/>
      </c>
      <c r="G1085" t="s"/>
      <c r="H1085" t="s"/>
      <c r="I1085" t="s"/>
      <c r="J1085" t="n">
        <v>0</v>
      </c>
      <c r="K1085" t="n">
        <v>0</v>
      </c>
      <c r="L1085" t="n">
        <v>1</v>
      </c>
      <c r="M1085" t="n">
        <v>0</v>
      </c>
    </row>
    <row r="1086" spans="1:13">
      <c r="A1086" s="1">
        <f>HYPERLINK("http://www.twitter.com/NathanBLawrence/status/994629499701559297", "994629499701559297")</f>
        <v/>
      </c>
      <c r="B1086" s="2" t="n">
        <v>43230.72599537037</v>
      </c>
      <c r="C1086" t="n">
        <v>0</v>
      </c>
      <c r="D1086" t="n">
        <v>7</v>
      </c>
      <c r="E1086" t="s">
        <v>1093</v>
      </c>
      <c r="F1086">
        <f>HYPERLINK("http://pbs.twimg.com/media/Dcnom7LV0AMeSHp.jpg", "http://pbs.twimg.com/media/Dcnom7LV0AMeSHp.jpg")</f>
        <v/>
      </c>
      <c r="G1086" t="s"/>
      <c r="H1086" t="s"/>
      <c r="I1086" t="s"/>
      <c r="J1086" t="n">
        <v>-0.3818</v>
      </c>
      <c r="K1086" t="n">
        <v>0.115</v>
      </c>
      <c r="L1086" t="n">
        <v>0.885</v>
      </c>
      <c r="M1086" t="n">
        <v>0</v>
      </c>
    </row>
    <row r="1087" spans="1:13">
      <c r="A1087" s="1">
        <f>HYPERLINK("http://www.twitter.com/NathanBLawrence/status/994629454524805121", "994629454524805121")</f>
        <v/>
      </c>
      <c r="B1087" s="2" t="n">
        <v>43230.72586805555</v>
      </c>
      <c r="C1087" t="n">
        <v>0</v>
      </c>
      <c r="D1087" t="n">
        <v>10</v>
      </c>
      <c r="E1087" t="s">
        <v>1094</v>
      </c>
      <c r="F1087">
        <f>HYPERLINK("http://pbs.twimg.com/media/Dcnt56NVAAABA8g.jpg", "http://pbs.twimg.com/media/Dcnt56NVAAABA8g.jpg")</f>
        <v/>
      </c>
      <c r="G1087" t="s"/>
      <c r="H1087" t="s"/>
      <c r="I1087" t="s"/>
      <c r="J1087" t="n">
        <v>0.5052</v>
      </c>
      <c r="K1087" t="n">
        <v>0.108</v>
      </c>
      <c r="L1087" t="n">
        <v>0.627</v>
      </c>
      <c r="M1087" t="n">
        <v>0.265</v>
      </c>
    </row>
    <row r="1088" spans="1:13">
      <c r="A1088" s="1">
        <f>HYPERLINK("http://www.twitter.com/NathanBLawrence/status/994629441363079168", "994629441363079168")</f>
        <v/>
      </c>
      <c r="B1088" s="2" t="n">
        <v>43230.72583333333</v>
      </c>
      <c r="C1088" t="n">
        <v>0</v>
      </c>
      <c r="D1088" t="n">
        <v>10</v>
      </c>
      <c r="E1088" t="s">
        <v>1095</v>
      </c>
      <c r="F1088">
        <f>HYPERLINK("http://pbs.twimg.com/media/Dcns-1xVAAACqzL.jpg", "http://pbs.twimg.com/media/Dcns-1xVAAACqzL.jpg")</f>
        <v/>
      </c>
      <c r="G1088" t="s"/>
      <c r="H1088" t="s"/>
      <c r="I1088" t="s"/>
      <c r="J1088" t="n">
        <v>-0.4278</v>
      </c>
      <c r="K1088" t="n">
        <v>0.196</v>
      </c>
      <c r="L1088" t="n">
        <v>0.702</v>
      </c>
      <c r="M1088" t="n">
        <v>0.101</v>
      </c>
    </row>
    <row r="1089" spans="1:13">
      <c r="A1089" s="1">
        <f>HYPERLINK("http://www.twitter.com/NathanBLawrence/status/994629402016219136", "994629402016219136")</f>
        <v/>
      </c>
      <c r="B1089" s="2" t="n">
        <v>43230.72572916667</v>
      </c>
      <c r="C1089" t="n">
        <v>0</v>
      </c>
      <c r="D1089" t="n">
        <v>6</v>
      </c>
      <c r="E1089" t="s">
        <v>1096</v>
      </c>
      <c r="F1089" t="s"/>
      <c r="G1089" t="s"/>
      <c r="H1089" t="s"/>
      <c r="I1089" t="s"/>
      <c r="J1089" t="n">
        <v>-0.7882</v>
      </c>
      <c r="K1089" t="n">
        <v>0.303</v>
      </c>
      <c r="L1089" t="n">
        <v>0.697</v>
      </c>
      <c r="M1089" t="n">
        <v>0</v>
      </c>
    </row>
    <row r="1090" spans="1:13">
      <c r="A1090" s="1">
        <f>HYPERLINK("http://www.twitter.com/NathanBLawrence/status/994629266708029440", "994629266708029440")</f>
        <v/>
      </c>
      <c r="B1090" s="2" t="n">
        <v>43230.7253587963</v>
      </c>
      <c r="C1090" t="n">
        <v>0</v>
      </c>
      <c r="D1090" t="n">
        <v>11</v>
      </c>
      <c r="E1090" t="s">
        <v>1097</v>
      </c>
      <c r="F1090">
        <f>HYPERLINK("http://pbs.twimg.com/media/DcrMiLFU8AY3Ypa.jpg", "http://pbs.twimg.com/media/DcrMiLFU8AY3Ypa.jpg")</f>
        <v/>
      </c>
      <c r="G1090" t="s"/>
      <c r="H1090" t="s"/>
      <c r="I1090" t="s"/>
      <c r="J1090" t="n">
        <v>-0.1531</v>
      </c>
      <c r="K1090" t="n">
        <v>0.098</v>
      </c>
      <c r="L1090" t="n">
        <v>0.827</v>
      </c>
      <c r="M1090" t="n">
        <v>0.075</v>
      </c>
    </row>
    <row r="1091" spans="1:13">
      <c r="A1091" s="1">
        <f>HYPERLINK("http://www.twitter.com/NathanBLawrence/status/994629243496812547", "994629243496812547")</f>
        <v/>
      </c>
      <c r="B1091" s="2" t="n">
        <v>43230.72528935185</v>
      </c>
      <c r="C1091" t="n">
        <v>0</v>
      </c>
      <c r="D1091" t="n">
        <v>9</v>
      </c>
      <c r="E1091" t="s">
        <v>1098</v>
      </c>
      <c r="F1091">
        <f>HYPERLINK("http://pbs.twimg.com/media/DcrKh-xUQAI0EMo.jpg", "http://pbs.twimg.com/media/DcrKh-xUQAI0EMo.jpg")</f>
        <v/>
      </c>
      <c r="G1091" t="s"/>
      <c r="H1091" t="s"/>
      <c r="I1091" t="s"/>
      <c r="J1091" t="n">
        <v>-0.296</v>
      </c>
      <c r="K1091" t="n">
        <v>0.091</v>
      </c>
      <c r="L1091" t="n">
        <v>0.909</v>
      </c>
      <c r="M1091" t="n">
        <v>0</v>
      </c>
    </row>
    <row r="1092" spans="1:13">
      <c r="A1092" s="1">
        <f>HYPERLINK("http://www.twitter.com/NathanBLawrence/status/994629216267395073", "994629216267395073")</f>
        <v/>
      </c>
      <c r="B1092" s="2" t="n">
        <v>43230.72521990741</v>
      </c>
      <c r="C1092" t="n">
        <v>0</v>
      </c>
      <c r="D1092" t="n">
        <v>8</v>
      </c>
      <c r="E1092" t="s">
        <v>1099</v>
      </c>
      <c r="F1092">
        <f>HYPERLINK("http://pbs.twimg.com/media/DcrGVvNVAAESE2L.jpg", "http://pbs.twimg.com/media/DcrGVvNVAAESE2L.jpg")</f>
        <v/>
      </c>
      <c r="G1092" t="s"/>
      <c r="H1092" t="s"/>
      <c r="I1092" t="s"/>
      <c r="J1092" t="n">
        <v>-0.5266999999999999</v>
      </c>
      <c r="K1092" t="n">
        <v>0.18</v>
      </c>
      <c r="L1092" t="n">
        <v>0.82</v>
      </c>
      <c r="M1092" t="n">
        <v>0</v>
      </c>
    </row>
    <row r="1093" spans="1:13">
      <c r="A1093" s="1">
        <f>HYPERLINK("http://www.twitter.com/NathanBLawrence/status/994629087816757248", "994629087816757248")</f>
        <v/>
      </c>
      <c r="B1093" s="2" t="n">
        <v>43230.72486111111</v>
      </c>
      <c r="C1093" t="n">
        <v>0</v>
      </c>
      <c r="D1093" t="n">
        <v>8</v>
      </c>
      <c r="E1093" t="s">
        <v>1100</v>
      </c>
      <c r="F1093">
        <f>HYPERLINK("http://pbs.twimg.com/media/DcrEzpoV4AEo53F.jpg", "http://pbs.twimg.com/media/DcrEzpoV4AEo53F.jpg")</f>
        <v/>
      </c>
      <c r="G1093" t="s"/>
      <c r="H1093" t="s"/>
      <c r="I1093" t="s"/>
      <c r="J1093" t="n">
        <v>-0.9153</v>
      </c>
      <c r="K1093" t="n">
        <v>0.416</v>
      </c>
      <c r="L1093" t="n">
        <v>0.584</v>
      </c>
      <c r="M1093" t="n">
        <v>0</v>
      </c>
    </row>
    <row r="1094" spans="1:13">
      <c r="A1094" s="1">
        <f>HYPERLINK("http://www.twitter.com/NathanBLawrence/status/994629059375181830", "994629059375181830")</f>
        <v/>
      </c>
      <c r="B1094" s="2" t="n">
        <v>43230.72478009259</v>
      </c>
      <c r="C1094" t="n">
        <v>0</v>
      </c>
      <c r="D1094" t="n">
        <v>10</v>
      </c>
      <c r="E1094" t="s">
        <v>1101</v>
      </c>
      <c r="F1094">
        <f>HYPERLINK("http://pbs.twimg.com/media/DcrD0cfU0AAkF8O.jpg", "http://pbs.twimg.com/media/DcrD0cfU0AAkF8O.jpg")</f>
        <v/>
      </c>
      <c r="G1094" t="s"/>
      <c r="H1094" t="s"/>
      <c r="I1094" t="s"/>
      <c r="J1094" t="n">
        <v>0.296</v>
      </c>
      <c r="K1094" t="n">
        <v>0</v>
      </c>
      <c r="L1094" t="n">
        <v>0.916</v>
      </c>
      <c r="M1094" t="n">
        <v>0.08400000000000001</v>
      </c>
    </row>
    <row r="1095" spans="1:13">
      <c r="A1095" s="1">
        <f>HYPERLINK("http://www.twitter.com/NathanBLawrence/status/994628983798067202", "994628983798067202")</f>
        <v/>
      </c>
      <c r="B1095" s="2" t="n">
        <v>43230.72457175926</v>
      </c>
      <c r="C1095" t="n">
        <v>0</v>
      </c>
      <c r="D1095" t="n">
        <v>8</v>
      </c>
      <c r="E1095" t="s">
        <v>1102</v>
      </c>
      <c r="F1095">
        <f>HYPERLINK("http://pbs.twimg.com/media/DcrB4GsV4AAgLhB.jpg", "http://pbs.twimg.com/media/DcrB4GsV4AAgLhB.jpg")</f>
        <v/>
      </c>
      <c r="G1095" t="s"/>
      <c r="H1095" t="s"/>
      <c r="I1095" t="s"/>
      <c r="J1095" t="n">
        <v>0.5266999999999999</v>
      </c>
      <c r="K1095" t="n">
        <v>0</v>
      </c>
      <c r="L1095" t="n">
        <v>0.833</v>
      </c>
      <c r="M1095" t="n">
        <v>0.167</v>
      </c>
    </row>
    <row r="1096" spans="1:13">
      <c r="A1096" s="1">
        <f>HYPERLINK("http://www.twitter.com/NathanBLawrence/status/994628763668316160", "994628763668316160")</f>
        <v/>
      </c>
      <c r="B1096" s="2" t="n">
        <v>43230.72396990741</v>
      </c>
      <c r="C1096" t="n">
        <v>0</v>
      </c>
      <c r="D1096" t="n">
        <v>11</v>
      </c>
      <c r="E1096" t="s">
        <v>1103</v>
      </c>
      <c r="F1096" t="s"/>
      <c r="G1096" t="s"/>
      <c r="H1096" t="s"/>
      <c r="I1096" t="s"/>
      <c r="J1096" t="n">
        <v>0</v>
      </c>
      <c r="K1096" t="n">
        <v>0</v>
      </c>
      <c r="L1096" t="n">
        <v>1</v>
      </c>
      <c r="M1096" t="n">
        <v>0</v>
      </c>
    </row>
    <row r="1097" spans="1:13">
      <c r="A1097" s="1">
        <f>HYPERLINK("http://www.twitter.com/NathanBLawrence/status/994628725630267395", "994628725630267395")</f>
        <v/>
      </c>
      <c r="B1097" s="2" t="n">
        <v>43230.72386574074</v>
      </c>
      <c r="C1097" t="n">
        <v>0</v>
      </c>
      <c r="D1097" t="n">
        <v>10</v>
      </c>
      <c r="E1097" t="s">
        <v>1104</v>
      </c>
      <c r="F1097">
        <f>HYPERLINK("http://pbs.twimg.com/media/Dc2YpqeXUAAfLRM.jpg", "http://pbs.twimg.com/media/Dc2YpqeXUAAfLRM.jpg")</f>
        <v/>
      </c>
      <c r="G1097" t="s"/>
      <c r="H1097" t="s"/>
      <c r="I1097" t="s"/>
      <c r="J1097" t="n">
        <v>0</v>
      </c>
      <c r="K1097" t="n">
        <v>0</v>
      </c>
      <c r="L1097" t="n">
        <v>1</v>
      </c>
      <c r="M1097" t="n">
        <v>0</v>
      </c>
    </row>
    <row r="1098" spans="1:13">
      <c r="A1098" s="1">
        <f>HYPERLINK("http://www.twitter.com/NathanBLawrence/status/994628651374268416", "994628651374268416")</f>
        <v/>
      </c>
      <c r="B1098" s="2" t="n">
        <v>43230.7236574074</v>
      </c>
      <c r="C1098" t="n">
        <v>0</v>
      </c>
      <c r="D1098" t="n">
        <v>21</v>
      </c>
      <c r="E1098" t="s">
        <v>1105</v>
      </c>
      <c r="F1098">
        <f>HYPERLINK("http://pbs.twimg.com/media/Dc2WIHeVwAAQWB3.jpg", "http://pbs.twimg.com/media/Dc2WIHeVwAAQWB3.jpg")</f>
        <v/>
      </c>
      <c r="G1098" t="s"/>
      <c r="H1098" t="s"/>
      <c r="I1098" t="s"/>
      <c r="J1098" t="n">
        <v>0.4404</v>
      </c>
      <c r="K1098" t="n">
        <v>0</v>
      </c>
      <c r="L1098" t="n">
        <v>0.896</v>
      </c>
      <c r="M1098" t="n">
        <v>0.104</v>
      </c>
    </row>
    <row r="1099" spans="1:13">
      <c r="A1099" s="1">
        <f>HYPERLINK("http://www.twitter.com/NathanBLawrence/status/994628506142289920", "994628506142289920")</f>
        <v/>
      </c>
      <c r="B1099" s="2" t="n">
        <v>43230.72325231481</v>
      </c>
      <c r="C1099" t="n">
        <v>0</v>
      </c>
      <c r="D1099" t="n">
        <v>3</v>
      </c>
      <c r="E1099" t="s">
        <v>1106</v>
      </c>
      <c r="F1099">
        <f>HYPERLINK("http://pbs.twimg.com/media/Dc2Rrb5UQAEpo7u.jpg", "http://pbs.twimg.com/media/Dc2Rrb5UQAEpo7u.jpg")</f>
        <v/>
      </c>
      <c r="G1099" t="s"/>
      <c r="H1099" t="s"/>
      <c r="I1099" t="s"/>
      <c r="J1099" t="n">
        <v>0.4019</v>
      </c>
      <c r="K1099" t="n">
        <v>0</v>
      </c>
      <c r="L1099" t="n">
        <v>0.886</v>
      </c>
      <c r="M1099" t="n">
        <v>0.114</v>
      </c>
    </row>
    <row r="1100" spans="1:13">
      <c r="A1100" s="1">
        <f>HYPERLINK("http://www.twitter.com/NathanBLawrence/status/994628064893075456", "994628064893075456")</f>
        <v/>
      </c>
      <c r="B1100" s="2" t="n">
        <v>43230.72203703703</v>
      </c>
      <c r="C1100" t="n">
        <v>0</v>
      </c>
      <c r="D1100" t="n">
        <v>4</v>
      </c>
      <c r="E1100" t="s">
        <v>1107</v>
      </c>
      <c r="F1100" t="s"/>
      <c r="G1100" t="s"/>
      <c r="H1100" t="s"/>
      <c r="I1100" t="s"/>
      <c r="J1100" t="n">
        <v>0.128</v>
      </c>
      <c r="K1100" t="n">
        <v>0.08799999999999999</v>
      </c>
      <c r="L1100" t="n">
        <v>0.803</v>
      </c>
      <c r="M1100" t="n">
        <v>0.108</v>
      </c>
    </row>
    <row r="1101" spans="1:13">
      <c r="A1101" s="1">
        <f>HYPERLINK("http://www.twitter.com/NathanBLawrence/status/994625967279788033", "994625967279788033")</f>
        <v/>
      </c>
      <c r="B1101" s="2" t="n">
        <v>43230.71625</v>
      </c>
      <c r="C1101" t="n">
        <v>3</v>
      </c>
      <c r="D1101" t="n">
        <v>2</v>
      </c>
      <c r="E1101" t="s">
        <v>1108</v>
      </c>
      <c r="F1101" t="s"/>
      <c r="G1101" t="s"/>
      <c r="H1101" t="s"/>
      <c r="I1101" t="s"/>
      <c r="J1101" t="n">
        <v>0</v>
      </c>
      <c r="K1101" t="n">
        <v>0</v>
      </c>
      <c r="L1101" t="n">
        <v>1</v>
      </c>
      <c r="M1101" t="n">
        <v>0</v>
      </c>
    </row>
    <row r="1102" spans="1:13">
      <c r="A1102" s="1">
        <f>HYPERLINK("http://www.twitter.com/NathanBLawrence/status/994625517969125378", "994625517969125378")</f>
        <v/>
      </c>
      <c r="B1102" s="2" t="n">
        <v>43230.71501157407</v>
      </c>
      <c r="C1102" t="n">
        <v>0</v>
      </c>
      <c r="D1102" t="n">
        <v>1</v>
      </c>
      <c r="E1102" t="s">
        <v>1109</v>
      </c>
      <c r="F1102" t="s"/>
      <c r="G1102" t="s"/>
      <c r="H1102" t="s"/>
      <c r="I1102" t="s"/>
      <c r="J1102" t="n">
        <v>0</v>
      </c>
      <c r="K1102" t="n">
        <v>0</v>
      </c>
      <c r="L1102" t="n">
        <v>1</v>
      </c>
      <c r="M1102" t="n">
        <v>0</v>
      </c>
    </row>
    <row r="1103" spans="1:13">
      <c r="A1103" s="1">
        <f>HYPERLINK("http://www.twitter.com/NathanBLawrence/status/994625071091208197", "994625071091208197")</f>
        <v/>
      </c>
      <c r="B1103" s="2" t="n">
        <v>43230.71377314815</v>
      </c>
      <c r="C1103" t="n">
        <v>0</v>
      </c>
      <c r="D1103" t="n">
        <v>3761</v>
      </c>
      <c r="E1103" t="s">
        <v>1110</v>
      </c>
      <c r="F1103" t="s"/>
      <c r="G1103" t="s"/>
      <c r="H1103" t="s"/>
      <c r="I1103" t="s"/>
      <c r="J1103" t="n">
        <v>0.3954</v>
      </c>
      <c r="K1103" t="n">
        <v>0.308</v>
      </c>
      <c r="L1103" t="n">
        <v>0.367</v>
      </c>
      <c r="M1103" t="n">
        <v>0.325</v>
      </c>
    </row>
    <row r="1104" spans="1:13">
      <c r="A1104" s="1">
        <f>HYPERLINK("http://www.twitter.com/NathanBLawrence/status/994625019618656256", "994625019618656256")</f>
        <v/>
      </c>
      <c r="B1104" s="2" t="n">
        <v>43230.71363425926</v>
      </c>
      <c r="C1104" t="n">
        <v>0</v>
      </c>
      <c r="D1104" t="n">
        <v>11</v>
      </c>
      <c r="E1104" t="s">
        <v>1111</v>
      </c>
      <c r="F1104" t="s"/>
      <c r="G1104" t="s"/>
      <c r="H1104" t="s"/>
      <c r="I1104" t="s"/>
      <c r="J1104" t="n">
        <v>0.6696</v>
      </c>
      <c r="K1104" t="n">
        <v>0</v>
      </c>
      <c r="L1104" t="n">
        <v>0.527</v>
      </c>
      <c r="M1104" t="n">
        <v>0.473</v>
      </c>
    </row>
    <row r="1105" spans="1:13">
      <c r="A1105" s="1">
        <f>HYPERLINK("http://www.twitter.com/NathanBLawrence/status/994624973246476289", "994624973246476289")</f>
        <v/>
      </c>
      <c r="B1105" s="2" t="n">
        <v>43230.71350694444</v>
      </c>
      <c r="C1105" t="n">
        <v>0</v>
      </c>
      <c r="D1105" t="n">
        <v>1</v>
      </c>
      <c r="E1105" t="s">
        <v>1112</v>
      </c>
      <c r="F1105" t="s"/>
      <c r="G1105" t="s"/>
      <c r="H1105" t="s"/>
      <c r="I1105" t="s"/>
      <c r="J1105" t="n">
        <v>-0.3182</v>
      </c>
      <c r="K1105" t="n">
        <v>0.133</v>
      </c>
      <c r="L1105" t="n">
        <v>0.867</v>
      </c>
      <c r="M1105" t="n">
        <v>0</v>
      </c>
    </row>
    <row r="1106" spans="1:13">
      <c r="A1106" s="1">
        <f>HYPERLINK("http://www.twitter.com/NathanBLawrence/status/994624932511404033", "994624932511404033")</f>
        <v/>
      </c>
      <c r="B1106" s="2" t="n">
        <v>43230.7133912037</v>
      </c>
      <c r="C1106" t="n">
        <v>0</v>
      </c>
      <c r="D1106" t="n">
        <v>11</v>
      </c>
      <c r="E1106" t="s">
        <v>1113</v>
      </c>
      <c r="F1106">
        <f>HYPERLINK("http://pbs.twimg.com/media/DctMbTdU0AAlTzw.jpg", "http://pbs.twimg.com/media/DctMbTdU0AAlTzw.jpg")</f>
        <v/>
      </c>
      <c r="G1106" t="s"/>
      <c r="H1106" t="s"/>
      <c r="I1106" t="s"/>
      <c r="J1106" t="n">
        <v>0</v>
      </c>
      <c r="K1106" t="n">
        <v>0</v>
      </c>
      <c r="L1106" t="n">
        <v>1</v>
      </c>
      <c r="M1106" t="n">
        <v>0</v>
      </c>
    </row>
    <row r="1107" spans="1:13">
      <c r="A1107" s="1">
        <f>HYPERLINK("http://www.twitter.com/NathanBLawrence/status/994624826752069632", "994624826752069632")</f>
        <v/>
      </c>
      <c r="B1107" s="2" t="n">
        <v>43230.71310185185</v>
      </c>
      <c r="C1107" t="n">
        <v>1</v>
      </c>
      <c r="D1107" t="n">
        <v>0</v>
      </c>
      <c r="E1107" t="s">
        <v>1114</v>
      </c>
      <c r="F1107" t="s"/>
      <c r="G1107" t="s"/>
      <c r="H1107" t="s"/>
      <c r="I1107" t="s"/>
      <c r="J1107" t="n">
        <v>0</v>
      </c>
      <c r="K1107" t="n">
        <v>0</v>
      </c>
      <c r="L1107" t="n">
        <v>1</v>
      </c>
      <c r="M1107" t="n">
        <v>0</v>
      </c>
    </row>
    <row r="1108" spans="1:13">
      <c r="A1108" s="1">
        <f>HYPERLINK("http://www.twitter.com/NathanBLawrence/status/994624460505468929", "994624460505468929")</f>
        <v/>
      </c>
      <c r="B1108" s="2" t="n">
        <v>43230.71209490741</v>
      </c>
      <c r="C1108" t="n">
        <v>0</v>
      </c>
      <c r="D1108" t="n">
        <v>2</v>
      </c>
      <c r="E1108" t="s">
        <v>1115</v>
      </c>
      <c r="F1108" t="s"/>
      <c r="G1108" t="s"/>
      <c r="H1108" t="s"/>
      <c r="I1108" t="s"/>
      <c r="J1108" t="n">
        <v>0.2732</v>
      </c>
      <c r="K1108" t="n">
        <v>0.08699999999999999</v>
      </c>
      <c r="L1108" t="n">
        <v>0.718</v>
      </c>
      <c r="M1108" t="n">
        <v>0.195</v>
      </c>
    </row>
    <row r="1109" spans="1:13">
      <c r="A1109" s="1">
        <f>HYPERLINK("http://www.twitter.com/NathanBLawrence/status/994624272072167425", "994624272072167425")</f>
        <v/>
      </c>
      <c r="B1109" s="2" t="n">
        <v>43230.71157407408</v>
      </c>
      <c r="C1109" t="n">
        <v>1</v>
      </c>
      <c r="D1109" t="n">
        <v>0</v>
      </c>
      <c r="E1109" t="s">
        <v>1116</v>
      </c>
      <c r="F1109" t="s"/>
      <c r="G1109" t="s"/>
      <c r="H1109" t="s"/>
      <c r="I1109" t="s"/>
      <c r="J1109" t="n">
        <v>0.4939</v>
      </c>
      <c r="K1109" t="n">
        <v>0</v>
      </c>
      <c r="L1109" t="n">
        <v>0.556</v>
      </c>
      <c r="M1109" t="n">
        <v>0.444</v>
      </c>
    </row>
    <row r="1110" spans="1:13">
      <c r="A1110" s="1">
        <f>HYPERLINK("http://www.twitter.com/NathanBLawrence/status/994620087951818752", "994620087951818752")</f>
        <v/>
      </c>
      <c r="B1110" s="2" t="n">
        <v>43230.70002314815</v>
      </c>
      <c r="C1110" t="n">
        <v>1</v>
      </c>
      <c r="D1110" t="n">
        <v>0</v>
      </c>
      <c r="E1110" t="s">
        <v>1117</v>
      </c>
      <c r="F1110" t="s"/>
      <c r="G1110" t="s"/>
      <c r="H1110" t="s"/>
      <c r="I1110" t="s"/>
      <c r="J1110" t="n">
        <v>0.7003</v>
      </c>
      <c r="K1110" t="n">
        <v>0</v>
      </c>
      <c r="L1110" t="n">
        <v>0.508</v>
      </c>
      <c r="M1110" t="n">
        <v>0.492</v>
      </c>
    </row>
    <row r="1111" spans="1:13">
      <c r="A1111" s="1">
        <f>HYPERLINK("http://www.twitter.com/NathanBLawrence/status/994619975515168768", "994619975515168768")</f>
        <v/>
      </c>
      <c r="B1111" s="2" t="n">
        <v>43230.69971064815</v>
      </c>
      <c r="C1111" t="n">
        <v>0</v>
      </c>
      <c r="D1111" t="n">
        <v>8</v>
      </c>
      <c r="E1111" t="s">
        <v>1118</v>
      </c>
      <c r="F1111" t="s"/>
      <c r="G1111" t="s"/>
      <c r="H1111" t="s"/>
      <c r="I1111" t="s"/>
      <c r="J1111" t="n">
        <v>0.4019</v>
      </c>
      <c r="K1111" t="n">
        <v>0</v>
      </c>
      <c r="L1111" t="n">
        <v>0.828</v>
      </c>
      <c r="M1111" t="n">
        <v>0.172</v>
      </c>
    </row>
    <row r="1112" spans="1:13">
      <c r="A1112" s="1">
        <f>HYPERLINK("http://www.twitter.com/NathanBLawrence/status/994619701044097024", "994619701044097024")</f>
        <v/>
      </c>
      <c r="B1112" s="2" t="n">
        <v>43230.69895833333</v>
      </c>
      <c r="C1112" t="n">
        <v>11</v>
      </c>
      <c r="D1112" t="n">
        <v>0</v>
      </c>
      <c r="E1112" t="s">
        <v>1119</v>
      </c>
      <c r="F1112" t="s"/>
      <c r="G1112" t="s"/>
      <c r="H1112" t="s"/>
      <c r="I1112" t="s"/>
      <c r="J1112" t="n">
        <v>0.4404</v>
      </c>
      <c r="K1112" t="n">
        <v>0</v>
      </c>
      <c r="L1112" t="n">
        <v>0.633</v>
      </c>
      <c r="M1112" t="n">
        <v>0.367</v>
      </c>
    </row>
    <row r="1113" spans="1:13">
      <c r="A1113" s="1">
        <f>HYPERLINK("http://www.twitter.com/NathanBLawrence/status/994618950796365826", "994618950796365826")</f>
        <v/>
      </c>
      <c r="B1113" s="2" t="n">
        <v>43230.69688657407</v>
      </c>
      <c r="C1113" t="n">
        <v>0</v>
      </c>
      <c r="D1113" t="n">
        <v>0</v>
      </c>
      <c r="E1113" t="s">
        <v>1120</v>
      </c>
      <c r="F1113" t="s"/>
      <c r="G1113" t="s"/>
      <c r="H1113" t="s"/>
      <c r="I1113" t="s"/>
      <c r="J1113" t="n">
        <v>0</v>
      </c>
      <c r="K1113" t="n">
        <v>0</v>
      </c>
      <c r="L1113" t="n">
        <v>1</v>
      </c>
      <c r="M1113" t="n">
        <v>0</v>
      </c>
    </row>
    <row r="1114" spans="1:13">
      <c r="A1114" s="1">
        <f>HYPERLINK("http://www.twitter.com/NathanBLawrence/status/994617903856144384", "994617903856144384")</f>
        <v/>
      </c>
      <c r="B1114" s="2" t="n">
        <v>43230.69400462963</v>
      </c>
      <c r="C1114" t="n">
        <v>0</v>
      </c>
      <c r="D1114" t="n">
        <v>1473</v>
      </c>
      <c r="E1114" t="s">
        <v>1121</v>
      </c>
      <c r="F1114" t="s"/>
      <c r="G1114" t="s"/>
      <c r="H1114" t="s"/>
      <c r="I1114" t="s"/>
      <c r="J1114" t="n">
        <v>-0.4486</v>
      </c>
      <c r="K1114" t="n">
        <v>0.171</v>
      </c>
      <c r="L1114" t="n">
        <v>0.732</v>
      </c>
      <c r="M1114" t="n">
        <v>0.096</v>
      </c>
    </row>
    <row r="1115" spans="1:13">
      <c r="A1115" s="1">
        <f>HYPERLINK("http://www.twitter.com/NathanBLawrence/status/994617806615404546", "994617806615404546")</f>
        <v/>
      </c>
      <c r="B1115" s="2" t="n">
        <v>43230.69372685185</v>
      </c>
      <c r="C1115" t="n">
        <v>0</v>
      </c>
      <c r="D1115" t="n">
        <v>4626</v>
      </c>
      <c r="E1115" t="s">
        <v>1122</v>
      </c>
      <c r="F1115" t="s"/>
      <c r="G1115" t="s"/>
      <c r="H1115" t="s"/>
      <c r="I1115" t="s"/>
      <c r="J1115" t="n">
        <v>-0.1263</v>
      </c>
      <c r="K1115" t="n">
        <v>0.222</v>
      </c>
      <c r="L1115" t="n">
        <v>0.589</v>
      </c>
      <c r="M1115" t="n">
        <v>0.19</v>
      </c>
    </row>
    <row r="1116" spans="1:13">
      <c r="A1116" s="1">
        <f>HYPERLINK("http://www.twitter.com/NathanBLawrence/status/994616892630487041", "994616892630487041")</f>
        <v/>
      </c>
      <c r="B1116" s="2" t="n">
        <v>43230.6912037037</v>
      </c>
      <c r="C1116" t="n">
        <v>2</v>
      </c>
      <c r="D1116" t="n">
        <v>2</v>
      </c>
      <c r="E1116" t="s">
        <v>1123</v>
      </c>
      <c r="F1116" t="s"/>
      <c r="G1116" t="s"/>
      <c r="H1116" t="s"/>
      <c r="I1116" t="s"/>
      <c r="J1116" t="n">
        <v>0</v>
      </c>
      <c r="K1116" t="n">
        <v>0</v>
      </c>
      <c r="L1116" t="n">
        <v>1</v>
      </c>
      <c r="M1116" t="n">
        <v>0</v>
      </c>
    </row>
    <row r="1117" spans="1:13">
      <c r="A1117" s="1">
        <f>HYPERLINK("http://www.twitter.com/NathanBLawrence/status/994616587008315393", "994616587008315393")</f>
        <v/>
      </c>
      <c r="B1117" s="2" t="n">
        <v>43230.69037037037</v>
      </c>
      <c r="C1117" t="n">
        <v>1</v>
      </c>
      <c r="D1117" t="n">
        <v>0</v>
      </c>
      <c r="E1117" t="s">
        <v>1124</v>
      </c>
      <c r="F1117" t="s"/>
      <c r="G1117" t="s"/>
      <c r="H1117" t="s"/>
      <c r="I1117" t="s"/>
      <c r="J1117" t="n">
        <v>0</v>
      </c>
      <c r="K1117" t="n">
        <v>0</v>
      </c>
      <c r="L1117" t="n">
        <v>1</v>
      </c>
      <c r="M1117" t="n">
        <v>0</v>
      </c>
    </row>
    <row r="1118" spans="1:13">
      <c r="A1118" s="1">
        <f>HYPERLINK("http://www.twitter.com/NathanBLawrence/status/994616332778987521", "994616332778987521")</f>
        <v/>
      </c>
      <c r="B1118" s="2" t="n">
        <v>43230.68966435185</v>
      </c>
      <c r="C1118" t="n">
        <v>0</v>
      </c>
      <c r="D1118" t="n">
        <v>5</v>
      </c>
      <c r="E1118" t="s">
        <v>1125</v>
      </c>
      <c r="F1118" t="s"/>
      <c r="G1118" t="s"/>
      <c r="H1118" t="s"/>
      <c r="I1118" t="s"/>
      <c r="J1118" t="n">
        <v>0</v>
      </c>
      <c r="K1118" t="n">
        <v>0</v>
      </c>
      <c r="L1118" t="n">
        <v>1</v>
      </c>
      <c r="M1118" t="n">
        <v>0</v>
      </c>
    </row>
    <row r="1119" spans="1:13">
      <c r="A1119" s="1">
        <f>HYPERLINK("http://www.twitter.com/NathanBLawrence/status/994616249912057858", "994616249912057858")</f>
        <v/>
      </c>
      <c r="B1119" s="2" t="n">
        <v>43230.68943287037</v>
      </c>
      <c r="C1119" t="n">
        <v>1</v>
      </c>
      <c r="D1119" t="n">
        <v>0</v>
      </c>
      <c r="E1119" t="s">
        <v>1126</v>
      </c>
      <c r="F1119" t="s"/>
      <c r="G1119" t="s"/>
      <c r="H1119" t="s"/>
      <c r="I1119" t="s"/>
      <c r="J1119" t="n">
        <v>0</v>
      </c>
      <c r="K1119" t="n">
        <v>0</v>
      </c>
      <c r="L1119" t="n">
        <v>1</v>
      </c>
      <c r="M1119" t="n">
        <v>0</v>
      </c>
    </row>
    <row r="1120" spans="1:13">
      <c r="A1120" s="1">
        <f>HYPERLINK("http://www.twitter.com/NathanBLawrence/status/994616107574222849", "994616107574222849")</f>
        <v/>
      </c>
      <c r="B1120" s="2" t="n">
        <v>43230.68903935186</v>
      </c>
      <c r="C1120" t="n">
        <v>0</v>
      </c>
      <c r="D1120" t="n">
        <v>5</v>
      </c>
      <c r="E1120" t="s">
        <v>1127</v>
      </c>
      <c r="F1120" t="s"/>
      <c r="G1120" t="s"/>
      <c r="H1120" t="s"/>
      <c r="I1120" t="s"/>
      <c r="J1120" t="n">
        <v>0.3612</v>
      </c>
      <c r="K1120" t="n">
        <v>0</v>
      </c>
      <c r="L1120" t="n">
        <v>0.737</v>
      </c>
      <c r="M1120" t="n">
        <v>0.263</v>
      </c>
    </row>
    <row r="1121" spans="1:13">
      <c r="A1121" s="1">
        <f>HYPERLINK("http://www.twitter.com/NathanBLawrence/status/994616027911720960", "994616027911720960")</f>
        <v/>
      </c>
      <c r="B1121" s="2" t="n">
        <v>43230.68881944445</v>
      </c>
      <c r="C1121" t="n">
        <v>0</v>
      </c>
      <c r="D1121" t="n">
        <v>0</v>
      </c>
      <c r="E1121" t="s">
        <v>1128</v>
      </c>
      <c r="F1121" t="s"/>
      <c r="G1121" t="s"/>
      <c r="H1121" t="s"/>
      <c r="I1121" t="s"/>
      <c r="J1121" t="n">
        <v>0</v>
      </c>
      <c r="K1121" t="n">
        <v>0</v>
      </c>
      <c r="L1121" t="n">
        <v>1</v>
      </c>
      <c r="M1121" t="n">
        <v>0</v>
      </c>
    </row>
    <row r="1122" spans="1:13">
      <c r="A1122" s="1">
        <f>HYPERLINK("http://www.twitter.com/NathanBLawrence/status/994615466953007104", "994615466953007104")</f>
        <v/>
      </c>
      <c r="B1122" s="2" t="n">
        <v>43230.68728009259</v>
      </c>
      <c r="C1122" t="n">
        <v>0</v>
      </c>
      <c r="D1122" t="n">
        <v>74</v>
      </c>
      <c r="E1122" t="s">
        <v>1129</v>
      </c>
      <c r="F1122">
        <f>HYPERLINK("http://pbs.twimg.com/media/DMmuHQ6VQAA8Y39.jpg", "http://pbs.twimg.com/media/DMmuHQ6VQAA8Y39.jpg")</f>
        <v/>
      </c>
      <c r="G1122" t="s"/>
      <c r="H1122" t="s"/>
      <c r="I1122" t="s"/>
      <c r="J1122" t="n">
        <v>-0.1695</v>
      </c>
      <c r="K1122" t="n">
        <v>0.07000000000000001</v>
      </c>
      <c r="L1122" t="n">
        <v>0.93</v>
      </c>
      <c r="M1122" t="n">
        <v>0</v>
      </c>
    </row>
    <row r="1123" spans="1:13">
      <c r="A1123" s="1">
        <f>HYPERLINK("http://www.twitter.com/NathanBLawrence/status/994615297347870720", "994615297347870720")</f>
        <v/>
      </c>
      <c r="B1123" s="2" t="n">
        <v>43230.68680555555</v>
      </c>
      <c r="C1123" t="n">
        <v>0</v>
      </c>
      <c r="D1123" t="n">
        <v>2</v>
      </c>
      <c r="E1123" t="s">
        <v>1130</v>
      </c>
      <c r="F1123" t="s"/>
      <c r="G1123" t="s"/>
      <c r="H1123" t="s"/>
      <c r="I1123" t="s"/>
      <c r="J1123" t="n">
        <v>0</v>
      </c>
      <c r="K1123" t="n">
        <v>0</v>
      </c>
      <c r="L1123" t="n">
        <v>1</v>
      </c>
      <c r="M1123" t="n">
        <v>0</v>
      </c>
    </row>
    <row r="1124" spans="1:13">
      <c r="A1124" s="1">
        <f>HYPERLINK("http://www.twitter.com/NathanBLawrence/status/994615149771284481", "994615149771284481")</f>
        <v/>
      </c>
      <c r="B1124" s="2" t="n">
        <v>43230.68640046296</v>
      </c>
      <c r="C1124" t="n">
        <v>4</v>
      </c>
      <c r="D1124" t="n">
        <v>2</v>
      </c>
      <c r="E1124" t="s">
        <v>1131</v>
      </c>
      <c r="F1124" t="s"/>
      <c r="G1124" t="s"/>
      <c r="H1124" t="s"/>
      <c r="I1124" t="s"/>
      <c r="J1124" t="n">
        <v>0</v>
      </c>
      <c r="K1124" t="n">
        <v>0</v>
      </c>
      <c r="L1124" t="n">
        <v>1</v>
      </c>
      <c r="M1124" t="n">
        <v>0</v>
      </c>
    </row>
    <row r="1125" spans="1:13">
      <c r="A1125" s="1">
        <f>HYPERLINK("http://www.twitter.com/NathanBLawrence/status/994614476266790917", "994614476266790917")</f>
        <v/>
      </c>
      <c r="B1125" s="2" t="n">
        <v>43230.68453703704</v>
      </c>
      <c r="C1125" t="n">
        <v>0</v>
      </c>
      <c r="D1125" t="n">
        <v>1</v>
      </c>
      <c r="E1125" t="s">
        <v>1132</v>
      </c>
      <c r="F1125" t="s"/>
      <c r="G1125" t="s"/>
      <c r="H1125" t="s"/>
      <c r="I1125" t="s"/>
      <c r="J1125" t="n">
        <v>0.2928</v>
      </c>
      <c r="K1125" t="n">
        <v>0</v>
      </c>
      <c r="L1125" t="n">
        <v>0.856</v>
      </c>
      <c r="M1125" t="n">
        <v>0.144</v>
      </c>
    </row>
    <row r="1126" spans="1:13">
      <c r="A1126" s="1">
        <f>HYPERLINK("http://www.twitter.com/NathanBLawrence/status/994614298608578561", "994614298608578561")</f>
        <v/>
      </c>
      <c r="B1126" s="2" t="n">
        <v>43230.68405092593</v>
      </c>
      <c r="C1126" t="n">
        <v>0</v>
      </c>
      <c r="D1126" t="n">
        <v>1</v>
      </c>
      <c r="E1126" t="s">
        <v>1133</v>
      </c>
      <c r="F1126" t="s"/>
      <c r="G1126" t="s"/>
      <c r="H1126" t="s"/>
      <c r="I1126" t="s"/>
      <c r="J1126" t="n">
        <v>0.3182</v>
      </c>
      <c r="K1126" t="n">
        <v>0</v>
      </c>
      <c r="L1126" t="n">
        <v>0.897</v>
      </c>
      <c r="M1126" t="n">
        <v>0.103</v>
      </c>
    </row>
    <row r="1127" spans="1:13">
      <c r="A1127" s="1">
        <f>HYPERLINK("http://www.twitter.com/NathanBLawrence/status/994613988192374784", "994613988192374784")</f>
        <v/>
      </c>
      <c r="B1127" s="2" t="n">
        <v>43230.68319444444</v>
      </c>
      <c r="C1127" t="n">
        <v>0</v>
      </c>
      <c r="D1127" t="n">
        <v>5</v>
      </c>
      <c r="E1127" t="s">
        <v>1134</v>
      </c>
      <c r="F1127" t="s"/>
      <c r="G1127" t="s"/>
      <c r="H1127" t="s"/>
      <c r="I1127" t="s"/>
      <c r="J1127" t="n">
        <v>0</v>
      </c>
      <c r="K1127" t="n">
        <v>0</v>
      </c>
      <c r="L1127" t="n">
        <v>1</v>
      </c>
      <c r="M1127" t="n">
        <v>0</v>
      </c>
    </row>
    <row r="1128" spans="1:13">
      <c r="A1128" s="1">
        <f>HYPERLINK("http://www.twitter.com/NathanBLawrence/status/994613851814547456", "994613851814547456")</f>
        <v/>
      </c>
      <c r="B1128" s="2" t="n">
        <v>43230.6828125</v>
      </c>
      <c r="C1128" t="n">
        <v>1</v>
      </c>
      <c r="D1128" t="n">
        <v>1</v>
      </c>
      <c r="E1128" t="s">
        <v>1135</v>
      </c>
      <c r="F1128" t="s"/>
      <c r="G1128" t="s"/>
      <c r="H1128" t="s"/>
      <c r="I1128" t="s"/>
      <c r="J1128" t="n">
        <v>0.3182</v>
      </c>
      <c r="K1128" t="n">
        <v>0</v>
      </c>
      <c r="L1128" t="n">
        <v>0.887</v>
      </c>
      <c r="M1128" t="n">
        <v>0.113</v>
      </c>
    </row>
    <row r="1129" spans="1:13">
      <c r="A1129" s="1">
        <f>HYPERLINK("http://www.twitter.com/NathanBLawrence/status/994613604006678530", "994613604006678530")</f>
        <v/>
      </c>
      <c r="B1129" s="2" t="n">
        <v>43230.68212962963</v>
      </c>
      <c r="C1129" t="n">
        <v>0</v>
      </c>
      <c r="D1129" t="n">
        <v>4</v>
      </c>
      <c r="E1129" t="s">
        <v>1136</v>
      </c>
      <c r="F1129">
        <f>HYPERLINK("http://pbs.twimg.com/media/Dc2TWDLV4AA4Fkh.jpg", "http://pbs.twimg.com/media/Dc2TWDLV4AA4Fkh.jpg")</f>
        <v/>
      </c>
      <c r="G1129" t="s"/>
      <c r="H1129" t="s"/>
      <c r="I1129" t="s"/>
      <c r="J1129" t="n">
        <v>0</v>
      </c>
      <c r="K1129" t="n">
        <v>0</v>
      </c>
      <c r="L1129" t="n">
        <v>1</v>
      </c>
      <c r="M1129" t="n">
        <v>0</v>
      </c>
    </row>
    <row r="1130" spans="1:13">
      <c r="A1130" s="1">
        <f>HYPERLINK("http://www.twitter.com/NathanBLawrence/status/994613051545587718", "994613051545587718")</f>
        <v/>
      </c>
      <c r="B1130" s="2" t="n">
        <v>43230.68061342592</v>
      </c>
      <c r="C1130" t="n">
        <v>0</v>
      </c>
      <c r="D1130" t="n">
        <v>2</v>
      </c>
      <c r="E1130" t="s">
        <v>1137</v>
      </c>
      <c r="F1130">
        <f>HYPERLINK("http://pbs.twimg.com/media/Dc2SxcMV0AAzGyy.jpg", "http://pbs.twimg.com/media/Dc2SxcMV0AAzGyy.jpg")</f>
        <v/>
      </c>
      <c r="G1130" t="s"/>
      <c r="H1130" t="s"/>
      <c r="I1130" t="s"/>
      <c r="J1130" t="n">
        <v>0</v>
      </c>
      <c r="K1130" t="n">
        <v>0</v>
      </c>
      <c r="L1130" t="n">
        <v>1</v>
      </c>
      <c r="M1130" t="n">
        <v>0</v>
      </c>
    </row>
    <row r="1131" spans="1:13">
      <c r="A1131" s="1">
        <f>HYPERLINK("http://www.twitter.com/NathanBLawrence/status/994612866455162881", "994612866455162881")</f>
        <v/>
      </c>
      <c r="B1131" s="2" t="n">
        <v>43230.68010416667</v>
      </c>
      <c r="C1131" t="n">
        <v>0</v>
      </c>
      <c r="D1131" t="n">
        <v>3</v>
      </c>
      <c r="E1131" t="s">
        <v>1138</v>
      </c>
      <c r="F1131" t="s"/>
      <c r="G1131" t="s"/>
      <c r="H1131" t="s"/>
      <c r="I1131" t="s"/>
      <c r="J1131" t="n">
        <v>0</v>
      </c>
      <c r="K1131" t="n">
        <v>0</v>
      </c>
      <c r="L1131" t="n">
        <v>1</v>
      </c>
      <c r="M1131" t="n">
        <v>0</v>
      </c>
    </row>
    <row r="1132" spans="1:13">
      <c r="A1132" s="1">
        <f>HYPERLINK("http://www.twitter.com/NathanBLawrence/status/994612666017681408", "994612666017681408")</f>
        <v/>
      </c>
      <c r="B1132" s="2" t="n">
        <v>43230.67954861111</v>
      </c>
      <c r="C1132" t="n">
        <v>0</v>
      </c>
      <c r="D1132" t="n">
        <v>430</v>
      </c>
      <c r="E1132" t="s">
        <v>1139</v>
      </c>
      <c r="F1132" t="s"/>
      <c r="G1132" t="s"/>
      <c r="H1132" t="s"/>
      <c r="I1132" t="s"/>
      <c r="J1132" t="n">
        <v>-0.5319</v>
      </c>
      <c r="K1132" t="n">
        <v>0.222</v>
      </c>
      <c r="L1132" t="n">
        <v>0.678</v>
      </c>
      <c r="M1132" t="n">
        <v>0.1</v>
      </c>
    </row>
    <row r="1133" spans="1:13">
      <c r="A1133" s="1">
        <f>HYPERLINK("http://www.twitter.com/NathanBLawrence/status/994608957896515584", "994608957896515584")</f>
        <v/>
      </c>
      <c r="B1133" s="2" t="n">
        <v>43230.66931712963</v>
      </c>
      <c r="C1133" t="n">
        <v>0</v>
      </c>
      <c r="D1133" t="n">
        <v>0</v>
      </c>
      <c r="E1133" t="s">
        <v>1140</v>
      </c>
      <c r="F1133" t="s"/>
      <c r="G1133" t="s"/>
      <c r="H1133" t="s"/>
      <c r="I1133" t="s"/>
      <c r="J1133" t="n">
        <v>-0.4352</v>
      </c>
      <c r="K1133" t="n">
        <v>0.217</v>
      </c>
      <c r="L1133" t="n">
        <v>0.694</v>
      </c>
      <c r="M1133" t="n">
        <v>0.089</v>
      </c>
    </row>
    <row r="1134" spans="1:13">
      <c r="A1134" s="1">
        <f>HYPERLINK("http://www.twitter.com/NathanBLawrence/status/994607715489021952", "994607715489021952")</f>
        <v/>
      </c>
      <c r="B1134" s="2" t="n">
        <v>43230.66587962963</v>
      </c>
      <c r="C1134" t="n">
        <v>4</v>
      </c>
      <c r="D1134" t="n">
        <v>2</v>
      </c>
      <c r="E1134" t="s">
        <v>1141</v>
      </c>
      <c r="F1134" t="s"/>
      <c r="G1134" t="s"/>
      <c r="H1134" t="s"/>
      <c r="I1134" t="s"/>
      <c r="J1134" t="n">
        <v>-0.4767</v>
      </c>
      <c r="K1134" t="n">
        <v>0.171</v>
      </c>
      <c r="L1134" t="n">
        <v>0.829</v>
      </c>
      <c r="M1134" t="n">
        <v>0</v>
      </c>
    </row>
    <row r="1135" spans="1:13">
      <c r="A1135" s="1">
        <f>HYPERLINK("http://www.twitter.com/NathanBLawrence/status/994607552078995456", "994607552078995456")</f>
        <v/>
      </c>
      <c r="B1135" s="2" t="n">
        <v>43230.66542824074</v>
      </c>
      <c r="C1135" t="n">
        <v>0</v>
      </c>
      <c r="D1135" t="n">
        <v>3</v>
      </c>
      <c r="E1135" t="s">
        <v>1142</v>
      </c>
      <c r="F1135" t="s"/>
      <c r="G1135" t="s"/>
      <c r="H1135" t="s"/>
      <c r="I1135" t="s"/>
      <c r="J1135" t="n">
        <v>0</v>
      </c>
      <c r="K1135" t="n">
        <v>0</v>
      </c>
      <c r="L1135" t="n">
        <v>1</v>
      </c>
      <c r="M1135" t="n">
        <v>0</v>
      </c>
    </row>
    <row r="1136" spans="1:13">
      <c r="A1136" s="1">
        <f>HYPERLINK("http://www.twitter.com/NathanBLawrence/status/994607285602258944", "994607285602258944")</f>
        <v/>
      </c>
      <c r="B1136" s="2" t="n">
        <v>43230.66469907408</v>
      </c>
      <c r="C1136" t="n">
        <v>0</v>
      </c>
      <c r="D1136" t="n">
        <v>0</v>
      </c>
      <c r="E1136" t="s">
        <v>1143</v>
      </c>
      <c r="F1136" t="s"/>
      <c r="G1136" t="s"/>
      <c r="H1136" t="s"/>
      <c r="I1136" t="s"/>
      <c r="J1136" t="n">
        <v>0</v>
      </c>
      <c r="K1136" t="n">
        <v>0</v>
      </c>
      <c r="L1136" t="n">
        <v>1</v>
      </c>
      <c r="M1136" t="n">
        <v>0</v>
      </c>
    </row>
    <row r="1137" spans="1:13">
      <c r="A1137" s="1">
        <f>HYPERLINK("http://www.twitter.com/NathanBLawrence/status/994607039530852357", "994607039530852357")</f>
        <v/>
      </c>
      <c r="B1137" s="2" t="n">
        <v>43230.6640162037</v>
      </c>
      <c r="C1137" t="n">
        <v>3</v>
      </c>
      <c r="D1137" t="n">
        <v>3</v>
      </c>
      <c r="E1137" t="s">
        <v>1144</v>
      </c>
      <c r="F1137" t="s"/>
      <c r="G1137" t="s"/>
      <c r="H1137" t="s"/>
      <c r="I1137" t="s"/>
      <c r="J1137" t="n">
        <v>0</v>
      </c>
      <c r="K1137" t="n">
        <v>0</v>
      </c>
      <c r="L1137" t="n">
        <v>1</v>
      </c>
      <c r="M1137" t="n">
        <v>0</v>
      </c>
    </row>
    <row r="1138" spans="1:13">
      <c r="A1138" s="1">
        <f>HYPERLINK("http://www.twitter.com/NathanBLawrence/status/994606978629586944", "994606978629586944")</f>
        <v/>
      </c>
      <c r="B1138" s="2" t="n">
        <v>43230.66385416667</v>
      </c>
      <c r="C1138" t="n">
        <v>0</v>
      </c>
      <c r="D1138" t="n">
        <v>3</v>
      </c>
      <c r="E1138" t="s">
        <v>1145</v>
      </c>
      <c r="F1138" t="s"/>
      <c r="G1138" t="s"/>
      <c r="H1138" t="s"/>
      <c r="I1138" t="s"/>
      <c r="J1138" t="n">
        <v>0</v>
      </c>
      <c r="K1138" t="n">
        <v>0</v>
      </c>
      <c r="L1138" t="n">
        <v>1</v>
      </c>
      <c r="M1138" t="n">
        <v>0</v>
      </c>
    </row>
    <row r="1139" spans="1:13">
      <c r="A1139" s="1">
        <f>HYPERLINK("http://www.twitter.com/NathanBLawrence/status/994606917367549952", "994606917367549952")</f>
        <v/>
      </c>
      <c r="B1139" s="2" t="n">
        <v>43230.66368055555</v>
      </c>
      <c r="C1139" t="n">
        <v>0</v>
      </c>
      <c r="D1139" t="n">
        <v>0</v>
      </c>
      <c r="E1139" t="s">
        <v>1146</v>
      </c>
      <c r="F1139" t="s"/>
      <c r="G1139" t="s"/>
      <c r="H1139" t="s"/>
      <c r="I1139" t="s"/>
      <c r="J1139" t="n">
        <v>0</v>
      </c>
      <c r="K1139" t="n">
        <v>0</v>
      </c>
      <c r="L1139" t="n">
        <v>1</v>
      </c>
      <c r="M1139" t="n">
        <v>0</v>
      </c>
    </row>
    <row r="1140" spans="1:13">
      <c r="A1140" s="1">
        <f>HYPERLINK("http://www.twitter.com/NathanBLawrence/status/994606403233943552", "994606403233943552")</f>
        <v/>
      </c>
      <c r="B1140" s="2" t="n">
        <v>43230.66226851852</v>
      </c>
      <c r="C1140" t="n">
        <v>0</v>
      </c>
      <c r="D1140" t="n">
        <v>0</v>
      </c>
      <c r="E1140" t="s">
        <v>1147</v>
      </c>
      <c r="F1140" t="s"/>
      <c r="G1140" t="s"/>
      <c r="H1140" t="s"/>
      <c r="I1140" t="s"/>
      <c r="J1140" t="n">
        <v>0</v>
      </c>
      <c r="K1140" t="n">
        <v>0</v>
      </c>
      <c r="L1140" t="n">
        <v>1</v>
      </c>
      <c r="M1140" t="n">
        <v>0</v>
      </c>
    </row>
    <row r="1141" spans="1:13">
      <c r="A1141" s="1">
        <f>HYPERLINK("http://www.twitter.com/NathanBLawrence/status/994606046869147649", "994606046869147649")</f>
        <v/>
      </c>
      <c r="B1141" s="2" t="n">
        <v>43230.66128472222</v>
      </c>
      <c r="C1141" t="n">
        <v>0</v>
      </c>
      <c r="D1141" t="n">
        <v>2</v>
      </c>
      <c r="E1141" t="s">
        <v>1148</v>
      </c>
      <c r="F1141" t="s"/>
      <c r="G1141" t="s"/>
      <c r="H1141" t="s"/>
      <c r="I1141" t="s"/>
      <c r="J1141" t="n">
        <v>0</v>
      </c>
      <c r="K1141" t="n">
        <v>0</v>
      </c>
      <c r="L1141" t="n">
        <v>1</v>
      </c>
      <c r="M1141" t="n">
        <v>0</v>
      </c>
    </row>
    <row r="1142" spans="1:13">
      <c r="A1142" s="1">
        <f>HYPERLINK("http://www.twitter.com/NathanBLawrence/status/994606029508894720", "994606029508894720")</f>
        <v/>
      </c>
      <c r="B1142" s="2" t="n">
        <v>43230.66122685185</v>
      </c>
      <c r="C1142" t="n">
        <v>2</v>
      </c>
      <c r="D1142" t="n">
        <v>2</v>
      </c>
      <c r="E1142" t="s">
        <v>1149</v>
      </c>
      <c r="F1142" t="s"/>
      <c r="G1142" t="s"/>
      <c r="H1142" t="s"/>
      <c r="I1142" t="s"/>
      <c r="J1142" t="n">
        <v>0</v>
      </c>
      <c r="K1142" t="n">
        <v>0</v>
      </c>
      <c r="L1142" t="n">
        <v>1</v>
      </c>
      <c r="M1142" t="n">
        <v>0</v>
      </c>
    </row>
    <row r="1143" spans="1:13">
      <c r="A1143" s="1">
        <f>HYPERLINK("http://www.twitter.com/NathanBLawrence/status/994605269551378433", "994605269551378433")</f>
        <v/>
      </c>
      <c r="B1143" s="2" t="n">
        <v>43230.65913194444</v>
      </c>
      <c r="C1143" t="n">
        <v>1</v>
      </c>
      <c r="D1143" t="n">
        <v>1</v>
      </c>
      <c r="E1143" t="s">
        <v>1150</v>
      </c>
      <c r="F1143" t="s"/>
      <c r="G1143" t="s"/>
      <c r="H1143" t="s"/>
      <c r="I1143" t="s"/>
      <c r="J1143" t="n">
        <v>0.2235</v>
      </c>
      <c r="K1143" t="n">
        <v>0</v>
      </c>
      <c r="L1143" t="n">
        <v>0.93</v>
      </c>
      <c r="M1143" t="n">
        <v>0.07000000000000001</v>
      </c>
    </row>
    <row r="1144" spans="1:13">
      <c r="A1144" s="1">
        <f>HYPERLINK("http://www.twitter.com/NathanBLawrence/status/994604897080365057", "994604897080365057")</f>
        <v/>
      </c>
      <c r="B1144" s="2" t="n">
        <v>43230.65810185186</v>
      </c>
      <c r="C1144" t="n">
        <v>2</v>
      </c>
      <c r="D1144" t="n">
        <v>1</v>
      </c>
      <c r="E1144" t="s">
        <v>1151</v>
      </c>
      <c r="F1144" t="s"/>
      <c r="G1144" t="s"/>
      <c r="H1144" t="s"/>
      <c r="I1144" t="s"/>
      <c r="J1144" t="n">
        <v>0</v>
      </c>
      <c r="K1144" t="n">
        <v>0</v>
      </c>
      <c r="L1144" t="n">
        <v>1</v>
      </c>
      <c r="M1144" t="n">
        <v>0</v>
      </c>
    </row>
    <row r="1145" spans="1:13">
      <c r="A1145" s="1">
        <f>HYPERLINK("http://www.twitter.com/NathanBLawrence/status/994604815962595328", "994604815962595328")</f>
        <v/>
      </c>
      <c r="B1145" s="2" t="n">
        <v>43230.65788194445</v>
      </c>
      <c r="C1145" t="n">
        <v>0</v>
      </c>
      <c r="D1145" t="n">
        <v>1</v>
      </c>
      <c r="E1145" t="s">
        <v>1152</v>
      </c>
      <c r="F1145" t="s"/>
      <c r="G1145" t="s"/>
      <c r="H1145" t="s"/>
      <c r="I1145" t="s"/>
      <c r="J1145" t="n">
        <v>-0.5266999999999999</v>
      </c>
      <c r="K1145" t="n">
        <v>0.195</v>
      </c>
      <c r="L1145" t="n">
        <v>0.805</v>
      </c>
      <c r="M1145" t="n">
        <v>0</v>
      </c>
    </row>
    <row r="1146" spans="1:13">
      <c r="A1146" s="1">
        <f>HYPERLINK("http://www.twitter.com/NathanBLawrence/status/994604703773347840", "994604703773347840")</f>
        <v/>
      </c>
      <c r="B1146" s="2" t="n">
        <v>43230.65756944445</v>
      </c>
      <c r="C1146" t="n">
        <v>1</v>
      </c>
      <c r="D1146" t="n">
        <v>0</v>
      </c>
      <c r="E1146" t="s">
        <v>1153</v>
      </c>
      <c r="F1146" t="s"/>
      <c r="G1146" t="s"/>
      <c r="H1146" t="s"/>
      <c r="I1146" t="s"/>
      <c r="J1146" t="n">
        <v>0</v>
      </c>
      <c r="K1146" t="n">
        <v>0</v>
      </c>
      <c r="L1146" t="n">
        <v>1</v>
      </c>
      <c r="M1146" t="n">
        <v>0</v>
      </c>
    </row>
    <row r="1147" spans="1:13">
      <c r="A1147" s="1">
        <f>HYPERLINK("http://www.twitter.com/NathanBLawrence/status/994604478212050944", "994604478212050944")</f>
        <v/>
      </c>
      <c r="B1147" s="2" t="n">
        <v>43230.65695601852</v>
      </c>
      <c r="C1147" t="n">
        <v>0</v>
      </c>
      <c r="D1147" t="n">
        <v>0</v>
      </c>
      <c r="E1147" t="s">
        <v>1154</v>
      </c>
      <c r="F1147" t="s"/>
      <c r="G1147" t="s"/>
      <c r="H1147" t="s"/>
      <c r="I1147" t="s"/>
      <c r="J1147" t="n">
        <v>-0.1779</v>
      </c>
      <c r="K1147" t="n">
        <v>0.116</v>
      </c>
      <c r="L1147" t="n">
        <v>0.884</v>
      </c>
      <c r="M1147" t="n">
        <v>0</v>
      </c>
    </row>
    <row r="1148" spans="1:13">
      <c r="A1148" s="1">
        <f>HYPERLINK("http://www.twitter.com/NathanBLawrence/status/994603941194272769", "994603941194272769")</f>
        <v/>
      </c>
      <c r="B1148" s="2" t="n">
        <v>43230.65547453704</v>
      </c>
      <c r="C1148" t="n">
        <v>0</v>
      </c>
      <c r="D1148" t="n">
        <v>2</v>
      </c>
      <c r="E1148" t="s">
        <v>1155</v>
      </c>
      <c r="F1148" t="s"/>
      <c r="G1148" t="s"/>
      <c r="H1148" t="s"/>
      <c r="I1148" t="s"/>
      <c r="J1148" t="n">
        <v>-0.6124000000000001</v>
      </c>
      <c r="K1148" t="n">
        <v>0.238</v>
      </c>
      <c r="L1148" t="n">
        <v>0.762</v>
      </c>
      <c r="M1148" t="n">
        <v>0</v>
      </c>
    </row>
    <row r="1149" spans="1:13">
      <c r="A1149" s="1">
        <f>HYPERLINK("http://www.twitter.com/NathanBLawrence/status/994603868435767296", "994603868435767296")</f>
        <v/>
      </c>
      <c r="B1149" s="2" t="n">
        <v>43230.65526620371</v>
      </c>
      <c r="C1149" t="n">
        <v>3</v>
      </c>
      <c r="D1149" t="n">
        <v>2</v>
      </c>
      <c r="E1149" t="s">
        <v>1156</v>
      </c>
      <c r="F1149" t="s"/>
      <c r="G1149" t="s"/>
      <c r="H1149" t="s"/>
      <c r="I1149" t="s"/>
      <c r="J1149" t="n">
        <v>-0.2732</v>
      </c>
      <c r="K1149" t="n">
        <v>0.104</v>
      </c>
      <c r="L1149" t="n">
        <v>0.896</v>
      </c>
      <c r="M1149" t="n">
        <v>0</v>
      </c>
    </row>
    <row r="1150" spans="1:13">
      <c r="A1150" s="1">
        <f>HYPERLINK("http://www.twitter.com/NathanBLawrence/status/994603521101135872", "994603521101135872")</f>
        <v/>
      </c>
      <c r="B1150" s="2" t="n">
        <v>43230.65430555555</v>
      </c>
      <c r="C1150" t="n">
        <v>0</v>
      </c>
      <c r="D1150" t="n">
        <v>15</v>
      </c>
      <c r="E1150" t="s">
        <v>1157</v>
      </c>
      <c r="F1150" t="s"/>
      <c r="G1150" t="s"/>
      <c r="H1150" t="s"/>
      <c r="I1150" t="s"/>
      <c r="J1150" t="n">
        <v>0</v>
      </c>
      <c r="K1150" t="n">
        <v>0</v>
      </c>
      <c r="L1150" t="n">
        <v>1</v>
      </c>
      <c r="M1150" t="n">
        <v>0</v>
      </c>
    </row>
    <row r="1151" spans="1:13">
      <c r="A1151" s="1">
        <f>HYPERLINK("http://www.twitter.com/NathanBLawrence/status/994602462370770945", "994602462370770945")</f>
        <v/>
      </c>
      <c r="B1151" s="2" t="n">
        <v>43230.65138888889</v>
      </c>
      <c r="C1151" t="n">
        <v>0</v>
      </c>
      <c r="D1151" t="n">
        <v>2</v>
      </c>
      <c r="E1151" t="s">
        <v>1158</v>
      </c>
      <c r="F1151" t="s"/>
      <c r="G1151" t="s"/>
      <c r="H1151" t="s"/>
      <c r="I1151" t="s"/>
      <c r="J1151" t="n">
        <v>0</v>
      </c>
      <c r="K1151" t="n">
        <v>0</v>
      </c>
      <c r="L1151" t="n">
        <v>1</v>
      </c>
      <c r="M1151" t="n">
        <v>0</v>
      </c>
    </row>
    <row r="1152" spans="1:13">
      <c r="A1152" s="1">
        <f>HYPERLINK("http://www.twitter.com/NathanBLawrence/status/994602345534251008", "994602345534251008")</f>
        <v/>
      </c>
      <c r="B1152" s="2" t="n">
        <v>43230.65106481482</v>
      </c>
      <c r="C1152" t="n">
        <v>2</v>
      </c>
      <c r="D1152" t="n">
        <v>0</v>
      </c>
      <c r="E1152" t="s">
        <v>1159</v>
      </c>
      <c r="F1152" t="s"/>
      <c r="G1152" t="s"/>
      <c r="H1152" t="s"/>
      <c r="I1152" t="s"/>
      <c r="J1152" t="n">
        <v>0</v>
      </c>
      <c r="K1152" t="n">
        <v>0</v>
      </c>
      <c r="L1152" t="n">
        <v>1</v>
      </c>
      <c r="M1152" t="n">
        <v>0</v>
      </c>
    </row>
    <row r="1153" spans="1:13">
      <c r="A1153" s="1">
        <f>HYPERLINK("http://www.twitter.com/NathanBLawrence/status/994602126801342464", "994602126801342464")</f>
        <v/>
      </c>
      <c r="B1153" s="2" t="n">
        <v>43230.65046296296</v>
      </c>
      <c r="C1153" t="n">
        <v>4</v>
      </c>
      <c r="D1153" t="n">
        <v>2</v>
      </c>
      <c r="E1153" t="s">
        <v>1160</v>
      </c>
      <c r="F1153" t="s"/>
      <c r="G1153" t="s"/>
      <c r="H1153" t="s"/>
      <c r="I1153" t="s"/>
      <c r="J1153" t="n">
        <v>0.2732</v>
      </c>
      <c r="K1153" t="n">
        <v>0.097</v>
      </c>
      <c r="L1153" t="n">
        <v>0.6860000000000001</v>
      </c>
      <c r="M1153" t="n">
        <v>0.217</v>
      </c>
    </row>
    <row r="1154" spans="1:13">
      <c r="A1154" s="1">
        <f>HYPERLINK("http://www.twitter.com/NathanBLawrence/status/994601622935425026", "994601622935425026")</f>
        <v/>
      </c>
      <c r="B1154" s="2" t="n">
        <v>43230.64907407408</v>
      </c>
      <c r="C1154" t="n">
        <v>0</v>
      </c>
      <c r="D1154" t="n">
        <v>1188</v>
      </c>
      <c r="E1154" t="s">
        <v>1161</v>
      </c>
      <c r="F1154" t="s"/>
      <c r="G1154" t="s"/>
      <c r="H1154" t="s"/>
      <c r="I1154" t="s"/>
      <c r="J1154" t="n">
        <v>0</v>
      </c>
      <c r="K1154" t="n">
        <v>0</v>
      </c>
      <c r="L1154" t="n">
        <v>1</v>
      </c>
      <c r="M1154" t="n">
        <v>0</v>
      </c>
    </row>
    <row r="1155" spans="1:13">
      <c r="A1155" s="1">
        <f>HYPERLINK("http://www.twitter.com/NathanBLawrence/status/994600683704930304", "994600683704930304")</f>
        <v/>
      </c>
      <c r="B1155" s="2" t="n">
        <v>43230.64648148148</v>
      </c>
      <c r="C1155" t="n">
        <v>8</v>
      </c>
      <c r="D1155" t="n">
        <v>5</v>
      </c>
      <c r="E1155" t="s">
        <v>1162</v>
      </c>
      <c r="F1155" t="s"/>
      <c r="G1155" t="s"/>
      <c r="H1155" t="s"/>
      <c r="I1155" t="s"/>
      <c r="J1155" t="n">
        <v>0</v>
      </c>
      <c r="K1155" t="n">
        <v>0</v>
      </c>
      <c r="L1155" t="n">
        <v>1</v>
      </c>
      <c r="M1155" t="n">
        <v>0</v>
      </c>
    </row>
    <row r="1156" spans="1:13">
      <c r="A1156" s="1">
        <f>HYPERLINK("http://www.twitter.com/NathanBLawrence/status/994600281383079936", "994600281383079936")</f>
        <v/>
      </c>
      <c r="B1156" s="2" t="n">
        <v>43230.64537037037</v>
      </c>
      <c r="C1156" t="n">
        <v>1</v>
      </c>
      <c r="D1156" t="n">
        <v>2</v>
      </c>
      <c r="E1156" t="s">
        <v>1163</v>
      </c>
      <c r="F1156" t="s"/>
      <c r="G1156" t="s"/>
      <c r="H1156" t="s"/>
      <c r="I1156" t="s"/>
      <c r="J1156" t="n">
        <v>0</v>
      </c>
      <c r="K1156" t="n">
        <v>0</v>
      </c>
      <c r="L1156" t="n">
        <v>1</v>
      </c>
      <c r="M1156" t="n">
        <v>0</v>
      </c>
    </row>
    <row r="1157" spans="1:13">
      <c r="A1157" s="1">
        <f>HYPERLINK("http://www.twitter.com/NathanBLawrence/status/994599521467486208", "994599521467486208")</f>
        <v/>
      </c>
      <c r="B1157" s="2" t="n">
        <v>43230.64327546296</v>
      </c>
      <c r="C1157" t="n">
        <v>1</v>
      </c>
      <c r="D1157" t="n">
        <v>0</v>
      </c>
      <c r="E1157" t="s">
        <v>1164</v>
      </c>
      <c r="F1157" t="s"/>
      <c r="G1157" t="s"/>
      <c r="H1157" t="s"/>
      <c r="I1157" t="s"/>
      <c r="J1157" t="n">
        <v>0</v>
      </c>
      <c r="K1157" t="n">
        <v>0</v>
      </c>
      <c r="L1157" t="n">
        <v>1</v>
      </c>
      <c r="M1157" t="n">
        <v>0</v>
      </c>
    </row>
    <row r="1158" spans="1:13">
      <c r="A1158" s="1">
        <f>HYPERLINK("http://www.twitter.com/NathanBLawrence/status/994599276830429185", "994599276830429185")</f>
        <v/>
      </c>
      <c r="B1158" s="2" t="n">
        <v>43230.64260416666</v>
      </c>
      <c r="C1158" t="n">
        <v>0</v>
      </c>
      <c r="D1158" t="n">
        <v>3</v>
      </c>
      <c r="E1158" t="s">
        <v>1165</v>
      </c>
      <c r="F1158" t="s"/>
      <c r="G1158" t="s"/>
      <c r="H1158" t="s"/>
      <c r="I1158" t="s"/>
      <c r="J1158" t="n">
        <v>0</v>
      </c>
      <c r="K1158" t="n">
        <v>0</v>
      </c>
      <c r="L1158" t="n">
        <v>1</v>
      </c>
      <c r="M1158" t="n">
        <v>0</v>
      </c>
    </row>
    <row r="1159" spans="1:13">
      <c r="A1159" s="1">
        <f>HYPERLINK("http://www.twitter.com/NathanBLawrence/status/994598307849699331", "994598307849699331")</f>
        <v/>
      </c>
      <c r="B1159" s="2" t="n">
        <v>43230.63991898148</v>
      </c>
      <c r="C1159" t="n">
        <v>2</v>
      </c>
      <c r="D1159" t="n">
        <v>2</v>
      </c>
      <c r="E1159" t="s">
        <v>1166</v>
      </c>
      <c r="F1159" t="s"/>
      <c r="G1159" t="s"/>
      <c r="H1159" t="s"/>
      <c r="I1159" t="s"/>
      <c r="J1159" t="n">
        <v>0</v>
      </c>
      <c r="K1159" t="n">
        <v>0</v>
      </c>
      <c r="L1159" t="n">
        <v>1</v>
      </c>
      <c r="M1159" t="n">
        <v>0</v>
      </c>
    </row>
    <row r="1160" spans="1:13">
      <c r="A1160" s="1">
        <f>HYPERLINK("http://www.twitter.com/NathanBLawrence/status/994597929255145473", "994597929255145473")</f>
        <v/>
      </c>
      <c r="B1160" s="2" t="n">
        <v>43230.63887731481</v>
      </c>
      <c r="C1160" t="n">
        <v>0</v>
      </c>
      <c r="D1160" t="n">
        <v>4</v>
      </c>
      <c r="E1160" t="s">
        <v>1167</v>
      </c>
      <c r="F1160" t="s"/>
      <c r="G1160" t="s"/>
      <c r="H1160" t="s"/>
      <c r="I1160" t="s"/>
      <c r="J1160" t="n">
        <v>0.4199</v>
      </c>
      <c r="K1160" t="n">
        <v>0</v>
      </c>
      <c r="L1160" t="n">
        <v>0.8110000000000001</v>
      </c>
      <c r="M1160" t="n">
        <v>0.189</v>
      </c>
    </row>
    <row r="1161" spans="1:13">
      <c r="A1161" s="1">
        <f>HYPERLINK("http://www.twitter.com/NathanBLawrence/status/994597759562010624", "994597759562010624")</f>
        <v/>
      </c>
      <c r="B1161" s="2" t="n">
        <v>43230.63841435185</v>
      </c>
      <c r="C1161" t="n">
        <v>0</v>
      </c>
      <c r="D1161" t="n">
        <v>0</v>
      </c>
      <c r="E1161" t="s">
        <v>1168</v>
      </c>
      <c r="F1161" t="s"/>
      <c r="G1161" t="s"/>
      <c r="H1161" t="s"/>
      <c r="I1161" t="s"/>
      <c r="J1161" t="n">
        <v>0</v>
      </c>
      <c r="K1161" t="n">
        <v>0</v>
      </c>
      <c r="L1161" t="n">
        <v>1</v>
      </c>
      <c r="M1161" t="n">
        <v>0</v>
      </c>
    </row>
    <row r="1162" spans="1:13">
      <c r="A1162" s="1">
        <f>HYPERLINK("http://www.twitter.com/NathanBLawrence/status/994597123135066112", "994597123135066112")</f>
        <v/>
      </c>
      <c r="B1162" s="2" t="n">
        <v>43230.6366550926</v>
      </c>
      <c r="C1162" t="n">
        <v>0</v>
      </c>
      <c r="D1162" t="n">
        <v>3</v>
      </c>
      <c r="E1162" t="s">
        <v>1169</v>
      </c>
      <c r="F1162" t="s"/>
      <c r="G1162" t="s"/>
      <c r="H1162" t="s"/>
      <c r="I1162" t="s"/>
      <c r="J1162" t="n">
        <v>0.8391999999999999</v>
      </c>
      <c r="K1162" t="n">
        <v>0</v>
      </c>
      <c r="L1162" t="n">
        <v>0.251</v>
      </c>
      <c r="M1162" t="n">
        <v>0.749</v>
      </c>
    </row>
    <row r="1163" spans="1:13">
      <c r="A1163" s="1">
        <f>HYPERLINK("http://www.twitter.com/NathanBLawrence/status/994597001991016448", "994597001991016448")</f>
        <v/>
      </c>
      <c r="B1163" s="2" t="n">
        <v>43230.63631944444</v>
      </c>
      <c r="C1163" t="n">
        <v>0</v>
      </c>
      <c r="D1163" t="n">
        <v>3</v>
      </c>
      <c r="E1163" t="s">
        <v>1170</v>
      </c>
      <c r="F1163">
        <f>HYPERLINK("http://pbs.twimg.com/media/Dc2CuW2U8AUHPaU.png", "http://pbs.twimg.com/media/Dc2CuW2U8AUHPaU.png")</f>
        <v/>
      </c>
      <c r="G1163" t="s"/>
      <c r="H1163" t="s"/>
      <c r="I1163" t="s"/>
      <c r="J1163" t="n">
        <v>0</v>
      </c>
      <c r="K1163" t="n">
        <v>0</v>
      </c>
      <c r="L1163" t="n">
        <v>1</v>
      </c>
      <c r="M1163" t="n">
        <v>0</v>
      </c>
    </row>
    <row r="1164" spans="1:13">
      <c r="A1164" s="1">
        <f>HYPERLINK("http://www.twitter.com/NathanBLawrence/status/994596990867705867", "994596990867705867")</f>
        <v/>
      </c>
      <c r="B1164" s="2" t="n">
        <v>43230.63628472222</v>
      </c>
      <c r="C1164" t="n">
        <v>0</v>
      </c>
      <c r="D1164" t="n">
        <v>4</v>
      </c>
      <c r="E1164" t="s">
        <v>1171</v>
      </c>
      <c r="F1164">
        <f>HYPERLINK("http://pbs.twimg.com/media/Dc2CVVLUwAA7ncq.jpg", "http://pbs.twimg.com/media/Dc2CVVLUwAA7ncq.jpg")</f>
        <v/>
      </c>
      <c r="G1164" t="s"/>
      <c r="H1164" t="s"/>
      <c r="I1164" t="s"/>
      <c r="J1164" t="n">
        <v>0</v>
      </c>
      <c r="K1164" t="n">
        <v>0</v>
      </c>
      <c r="L1164" t="n">
        <v>1</v>
      </c>
      <c r="M1164" t="n">
        <v>0</v>
      </c>
    </row>
    <row r="1165" spans="1:13">
      <c r="A1165" s="1">
        <f>HYPERLINK("http://www.twitter.com/NathanBLawrence/status/994596935364423681", "994596935364423681")</f>
        <v/>
      </c>
      <c r="B1165" s="2" t="n">
        <v>43230.63613425926</v>
      </c>
      <c r="C1165" t="n">
        <v>0</v>
      </c>
      <c r="D1165" t="n">
        <v>7</v>
      </c>
      <c r="E1165" t="s">
        <v>1172</v>
      </c>
      <c r="F1165" t="s"/>
      <c r="G1165" t="s"/>
      <c r="H1165" t="s"/>
      <c r="I1165" t="s"/>
      <c r="J1165" t="n">
        <v>0.0772</v>
      </c>
      <c r="K1165" t="n">
        <v>0</v>
      </c>
      <c r="L1165" t="n">
        <v>0.874</v>
      </c>
      <c r="M1165" t="n">
        <v>0.126</v>
      </c>
    </row>
    <row r="1166" spans="1:13">
      <c r="A1166" s="1">
        <f>HYPERLINK("http://www.twitter.com/NathanBLawrence/status/994596673308516352", "994596673308516352")</f>
        <v/>
      </c>
      <c r="B1166" s="2" t="n">
        <v>43230.63541666666</v>
      </c>
      <c r="C1166" t="n">
        <v>0</v>
      </c>
      <c r="D1166" t="n">
        <v>2</v>
      </c>
      <c r="E1166" t="s">
        <v>1173</v>
      </c>
      <c r="F1166" t="s"/>
      <c r="G1166" t="s"/>
      <c r="H1166" t="s"/>
      <c r="I1166" t="s"/>
      <c r="J1166" t="n">
        <v>-0.7781</v>
      </c>
      <c r="K1166" t="n">
        <v>0.295</v>
      </c>
      <c r="L1166" t="n">
        <v>0.621</v>
      </c>
      <c r="M1166" t="n">
        <v>0.08400000000000001</v>
      </c>
    </row>
    <row r="1167" spans="1:13">
      <c r="A1167" s="1">
        <f>HYPERLINK("http://www.twitter.com/NathanBLawrence/status/994596592698224641", "994596592698224641")</f>
        <v/>
      </c>
      <c r="B1167" s="2" t="n">
        <v>43230.63519675926</v>
      </c>
      <c r="C1167" t="n">
        <v>0</v>
      </c>
      <c r="D1167" t="n">
        <v>3</v>
      </c>
      <c r="E1167" t="s">
        <v>1174</v>
      </c>
      <c r="F1167">
        <f>HYPERLINK("http://pbs.twimg.com/media/Dc2ECq1UQAA9yE3.jpg", "http://pbs.twimg.com/media/Dc2ECq1UQAA9yE3.jpg")</f>
        <v/>
      </c>
      <c r="G1167" t="s"/>
      <c r="H1167" t="s"/>
      <c r="I1167" t="s"/>
      <c r="J1167" t="n">
        <v>0.4019</v>
      </c>
      <c r="K1167" t="n">
        <v>0</v>
      </c>
      <c r="L1167" t="n">
        <v>0.87</v>
      </c>
      <c r="M1167" t="n">
        <v>0.13</v>
      </c>
    </row>
    <row r="1168" spans="1:13">
      <c r="A1168" s="1">
        <f>HYPERLINK("http://www.twitter.com/NathanBLawrence/status/994596284056129536", "994596284056129536")</f>
        <v/>
      </c>
      <c r="B1168" s="2" t="n">
        <v>43230.63434027778</v>
      </c>
      <c r="C1168" t="n">
        <v>3</v>
      </c>
      <c r="D1168" t="n">
        <v>3</v>
      </c>
      <c r="E1168" t="s">
        <v>1175</v>
      </c>
      <c r="F1168">
        <f>HYPERLINK("http://pbs.twimg.com/media/Dc2ECq1UQAA9yE3.jpg", "http://pbs.twimg.com/media/Dc2ECq1UQAA9yE3.jpg")</f>
        <v/>
      </c>
      <c r="G1168" t="s"/>
      <c r="H1168" t="s"/>
      <c r="I1168" t="s"/>
      <c r="J1168" t="n">
        <v>0.4019</v>
      </c>
      <c r="K1168" t="n">
        <v>0</v>
      </c>
      <c r="L1168" t="n">
        <v>0.856</v>
      </c>
      <c r="M1168" t="n">
        <v>0.144</v>
      </c>
    </row>
    <row r="1169" spans="1:13">
      <c r="A1169" s="1">
        <f>HYPERLINK("http://www.twitter.com/NathanBLawrence/status/994595084770439171", "994595084770439171")</f>
        <v/>
      </c>
      <c r="B1169" s="2" t="n">
        <v>43230.63103009259</v>
      </c>
      <c r="C1169" t="n">
        <v>0</v>
      </c>
      <c r="D1169" t="n">
        <v>19</v>
      </c>
      <c r="E1169" t="s">
        <v>1176</v>
      </c>
      <c r="F1169">
        <f>HYPERLINK("http://pbs.twimg.com/media/Dc2Cq1BWsAEbDZn.jpg", "http://pbs.twimg.com/media/Dc2Cq1BWsAEbDZn.jpg")</f>
        <v/>
      </c>
      <c r="G1169" t="s"/>
      <c r="H1169" t="s"/>
      <c r="I1169" t="s"/>
      <c r="J1169" t="n">
        <v>0</v>
      </c>
      <c r="K1169" t="n">
        <v>0</v>
      </c>
      <c r="L1169" t="n">
        <v>1</v>
      </c>
      <c r="M1169" t="n">
        <v>0</v>
      </c>
    </row>
    <row r="1170" spans="1:13">
      <c r="A1170" s="1">
        <f>HYPERLINK("http://www.twitter.com/NathanBLawrence/status/994595049861206018", "994595049861206018")</f>
        <v/>
      </c>
      <c r="B1170" s="2" t="n">
        <v>43230.6309375</v>
      </c>
      <c r="C1170" t="n">
        <v>0</v>
      </c>
      <c r="D1170" t="n">
        <v>2</v>
      </c>
      <c r="E1170" t="s">
        <v>1177</v>
      </c>
      <c r="F1170" t="s"/>
      <c r="G1170" t="s"/>
      <c r="H1170" t="s"/>
      <c r="I1170" t="s"/>
      <c r="J1170" t="n">
        <v>0</v>
      </c>
      <c r="K1170" t="n">
        <v>0</v>
      </c>
      <c r="L1170" t="n">
        <v>1</v>
      </c>
      <c r="M1170" t="n">
        <v>0</v>
      </c>
    </row>
    <row r="1171" spans="1:13">
      <c r="A1171" s="1">
        <f>HYPERLINK("http://www.twitter.com/NathanBLawrence/status/994594834898997250", "994594834898997250")</f>
        <v/>
      </c>
      <c r="B1171" s="2" t="n">
        <v>43230.63033564815</v>
      </c>
      <c r="C1171" t="n">
        <v>5</v>
      </c>
      <c r="D1171" t="n">
        <v>3</v>
      </c>
      <c r="E1171" t="s">
        <v>1178</v>
      </c>
      <c r="F1171">
        <f>HYPERLINK("http://pbs.twimg.com/media/Dc2CuW2U8AUHPaU.png", "http://pbs.twimg.com/media/Dc2CuW2U8AUHPaU.png")</f>
        <v/>
      </c>
      <c r="G1171" t="s"/>
      <c r="H1171" t="s"/>
      <c r="I1171" t="s"/>
      <c r="J1171" t="n">
        <v>0</v>
      </c>
      <c r="K1171" t="n">
        <v>0</v>
      </c>
      <c r="L1171" t="n">
        <v>1</v>
      </c>
      <c r="M1171" t="n">
        <v>0</v>
      </c>
    </row>
    <row r="1172" spans="1:13">
      <c r="A1172" s="1">
        <f>HYPERLINK("http://www.twitter.com/NathanBLawrence/status/994594405137907712", "994594405137907712")</f>
        <v/>
      </c>
      <c r="B1172" s="2" t="n">
        <v>43230.6291550926</v>
      </c>
      <c r="C1172" t="n">
        <v>3</v>
      </c>
      <c r="D1172" t="n">
        <v>4</v>
      </c>
      <c r="E1172" t="s">
        <v>1179</v>
      </c>
      <c r="F1172">
        <f>HYPERLINK("http://pbs.twimg.com/media/Dc2CVVLUwAA7ncq.jpg", "http://pbs.twimg.com/media/Dc2CVVLUwAA7ncq.jpg")</f>
        <v/>
      </c>
      <c r="G1172" t="s"/>
      <c r="H1172" t="s"/>
      <c r="I1172" t="s"/>
      <c r="J1172" t="n">
        <v>0</v>
      </c>
      <c r="K1172" t="n">
        <v>0</v>
      </c>
      <c r="L1172" t="n">
        <v>1</v>
      </c>
      <c r="M1172" t="n">
        <v>0</v>
      </c>
    </row>
    <row r="1173" spans="1:13">
      <c r="A1173" s="1">
        <f>HYPERLINK("http://www.twitter.com/NathanBLawrence/status/994594374976790528", "994594374976790528")</f>
        <v/>
      </c>
      <c r="B1173" s="2" t="n">
        <v>43230.62907407407</v>
      </c>
      <c r="C1173" t="n">
        <v>7</v>
      </c>
      <c r="D1173" t="n">
        <v>7</v>
      </c>
      <c r="E1173" t="s">
        <v>1180</v>
      </c>
      <c r="F1173" t="s"/>
      <c r="G1173" t="s"/>
      <c r="H1173" t="s"/>
      <c r="I1173" t="s"/>
      <c r="J1173" t="n">
        <v>0.0772</v>
      </c>
      <c r="K1173" t="n">
        <v>0</v>
      </c>
      <c r="L1173" t="n">
        <v>0.843</v>
      </c>
      <c r="M1173" t="n">
        <v>0.157</v>
      </c>
    </row>
    <row r="1174" spans="1:13">
      <c r="A1174" s="1">
        <f>HYPERLINK("http://www.twitter.com/NathanBLawrence/status/994594028418228225", "994594028418228225")</f>
        <v/>
      </c>
      <c r="B1174" s="2" t="n">
        <v>43230.62811342593</v>
      </c>
      <c r="C1174" t="n">
        <v>3</v>
      </c>
      <c r="D1174" t="n">
        <v>1</v>
      </c>
      <c r="E1174" t="s">
        <v>1181</v>
      </c>
      <c r="F1174" t="s"/>
      <c r="G1174" t="s"/>
      <c r="H1174" t="s"/>
      <c r="I1174" t="s"/>
      <c r="J1174" t="n">
        <v>0.4404</v>
      </c>
      <c r="K1174" t="n">
        <v>0</v>
      </c>
      <c r="L1174" t="n">
        <v>0.633</v>
      </c>
      <c r="M1174" t="n">
        <v>0.367</v>
      </c>
    </row>
    <row r="1175" spans="1:13">
      <c r="A1175" s="1">
        <f>HYPERLINK("http://www.twitter.com/NathanBLawrence/status/994592654473289728", "994592654473289728")</f>
        <v/>
      </c>
      <c r="B1175" s="2" t="n">
        <v>43230.62432870371</v>
      </c>
      <c r="C1175" t="n">
        <v>0</v>
      </c>
      <c r="D1175" t="n">
        <v>0</v>
      </c>
      <c r="E1175" t="s">
        <v>1182</v>
      </c>
      <c r="F1175" t="s"/>
      <c r="G1175" t="s"/>
      <c r="H1175" t="s"/>
      <c r="I1175" t="s"/>
      <c r="J1175" t="n">
        <v>0</v>
      </c>
      <c r="K1175" t="n">
        <v>0</v>
      </c>
      <c r="L1175" t="n">
        <v>1</v>
      </c>
      <c r="M1175" t="n">
        <v>0</v>
      </c>
    </row>
    <row r="1176" spans="1:13">
      <c r="A1176" s="1">
        <f>HYPERLINK("http://www.twitter.com/NathanBLawrence/status/994591741247451136", "994591741247451136")</f>
        <v/>
      </c>
      <c r="B1176" s="2" t="n">
        <v>43230.62180555556</v>
      </c>
      <c r="C1176" t="n">
        <v>1</v>
      </c>
      <c r="D1176" t="n">
        <v>0</v>
      </c>
      <c r="E1176" t="s">
        <v>1183</v>
      </c>
      <c r="F1176" t="s"/>
      <c r="G1176" t="s"/>
      <c r="H1176" t="s"/>
      <c r="I1176" t="s"/>
      <c r="J1176" t="n">
        <v>0</v>
      </c>
      <c r="K1176" t="n">
        <v>0</v>
      </c>
      <c r="L1176" t="n">
        <v>1</v>
      </c>
      <c r="M1176" t="n">
        <v>0</v>
      </c>
    </row>
    <row r="1177" spans="1:13">
      <c r="A1177" s="1">
        <f>HYPERLINK("http://www.twitter.com/NathanBLawrence/status/994591573563363328", "994591573563363328")</f>
        <v/>
      </c>
      <c r="B1177" s="2" t="n">
        <v>43230.6213425926</v>
      </c>
      <c r="C1177" t="n">
        <v>0</v>
      </c>
      <c r="D1177" t="n">
        <v>21</v>
      </c>
      <c r="E1177" t="s">
        <v>1184</v>
      </c>
      <c r="F1177" t="s"/>
      <c r="G1177" t="s"/>
      <c r="H1177" t="s"/>
      <c r="I1177" t="s"/>
      <c r="J1177" t="n">
        <v>-0.128</v>
      </c>
      <c r="K1177" t="n">
        <v>0.064</v>
      </c>
      <c r="L1177" t="n">
        <v>0.9360000000000001</v>
      </c>
      <c r="M1177" t="n">
        <v>0</v>
      </c>
    </row>
    <row r="1178" spans="1:13">
      <c r="A1178" s="1">
        <f>HYPERLINK("http://www.twitter.com/NathanBLawrence/status/994591516957003776", "994591516957003776")</f>
        <v/>
      </c>
      <c r="B1178" s="2" t="n">
        <v>43230.62118055556</v>
      </c>
      <c r="C1178" t="n">
        <v>0</v>
      </c>
      <c r="D1178" t="n">
        <v>75</v>
      </c>
      <c r="E1178" t="s">
        <v>1185</v>
      </c>
      <c r="F1178" t="s"/>
      <c r="G1178" t="s"/>
      <c r="H1178" t="s"/>
      <c r="I1178" t="s"/>
      <c r="J1178" t="n">
        <v>0.7901</v>
      </c>
      <c r="K1178" t="n">
        <v>0</v>
      </c>
      <c r="L1178" t="n">
        <v>0.534</v>
      </c>
      <c r="M1178" t="n">
        <v>0.466</v>
      </c>
    </row>
    <row r="1179" spans="1:13">
      <c r="A1179" s="1">
        <f>HYPERLINK("http://www.twitter.com/NathanBLawrence/status/994590891288551425", "994590891288551425")</f>
        <v/>
      </c>
      <c r="B1179" s="2" t="n">
        <v>43230.61945601852</v>
      </c>
      <c r="C1179" t="n">
        <v>0</v>
      </c>
      <c r="D1179" t="n">
        <v>1</v>
      </c>
      <c r="E1179" t="s">
        <v>1186</v>
      </c>
      <c r="F1179" t="s"/>
      <c r="G1179" t="s"/>
      <c r="H1179" t="s"/>
      <c r="I1179" t="s"/>
      <c r="J1179" t="n">
        <v>-0.4779</v>
      </c>
      <c r="K1179" t="n">
        <v>0.195</v>
      </c>
      <c r="L1179" t="n">
        <v>0.805</v>
      </c>
      <c r="M1179" t="n">
        <v>0</v>
      </c>
    </row>
    <row r="1180" spans="1:13">
      <c r="A1180" s="1">
        <f>HYPERLINK("http://www.twitter.com/NathanBLawrence/status/994590558445293568", "994590558445293568")</f>
        <v/>
      </c>
      <c r="B1180" s="2" t="n">
        <v>43230.61854166666</v>
      </c>
      <c r="C1180" t="n">
        <v>0</v>
      </c>
      <c r="D1180" t="n">
        <v>2</v>
      </c>
      <c r="E1180" t="s">
        <v>1187</v>
      </c>
      <c r="F1180" t="s"/>
      <c r="G1180" t="s"/>
      <c r="H1180" t="s"/>
      <c r="I1180" t="s"/>
      <c r="J1180" t="n">
        <v>0.4979</v>
      </c>
      <c r="K1180" t="n">
        <v>0</v>
      </c>
      <c r="L1180" t="n">
        <v>0.882</v>
      </c>
      <c r="M1180" t="n">
        <v>0.118</v>
      </c>
    </row>
    <row r="1181" spans="1:13">
      <c r="A1181" s="1">
        <f>HYPERLINK("http://www.twitter.com/NathanBLawrence/status/994583816877629441", "994583816877629441")</f>
        <v/>
      </c>
      <c r="B1181" s="2" t="n">
        <v>43230.59994212963</v>
      </c>
      <c r="C1181" t="n">
        <v>0</v>
      </c>
      <c r="D1181" t="n">
        <v>54</v>
      </c>
      <c r="E1181" t="s">
        <v>1188</v>
      </c>
      <c r="F1181" t="s"/>
      <c r="G1181" t="s"/>
      <c r="H1181" t="s"/>
      <c r="I1181" t="s"/>
      <c r="J1181" t="n">
        <v>-0.5423</v>
      </c>
      <c r="K1181" t="n">
        <v>0.132</v>
      </c>
      <c r="L1181" t="n">
        <v>0.868</v>
      </c>
      <c r="M1181" t="n">
        <v>0</v>
      </c>
    </row>
    <row r="1182" spans="1:13">
      <c r="A1182" s="1">
        <f>HYPERLINK("http://www.twitter.com/NathanBLawrence/status/994582769832472576", "994582769832472576")</f>
        <v/>
      </c>
      <c r="B1182" s="2" t="n">
        <v>43230.59704861111</v>
      </c>
      <c r="C1182" t="n">
        <v>18</v>
      </c>
      <c r="D1182" t="n">
        <v>2</v>
      </c>
      <c r="E1182" t="s">
        <v>1189</v>
      </c>
      <c r="F1182" t="s"/>
      <c r="G1182" t="s"/>
      <c r="H1182" t="s"/>
      <c r="I1182" t="s"/>
      <c r="J1182" t="n">
        <v>0</v>
      </c>
      <c r="K1182" t="n">
        <v>0</v>
      </c>
      <c r="L1182" t="n">
        <v>1</v>
      </c>
      <c r="M1182" t="n">
        <v>0</v>
      </c>
    </row>
    <row r="1183" spans="1:13">
      <c r="A1183" s="1">
        <f>HYPERLINK("http://www.twitter.com/NathanBLawrence/status/994579875372691456", "994579875372691456")</f>
        <v/>
      </c>
      <c r="B1183" s="2" t="n">
        <v>43230.5890625</v>
      </c>
      <c r="C1183" t="n">
        <v>4</v>
      </c>
      <c r="D1183" t="n">
        <v>0</v>
      </c>
      <c r="E1183" t="s">
        <v>1190</v>
      </c>
      <c r="F1183" t="s"/>
      <c r="G1183" t="s"/>
      <c r="H1183" t="s"/>
      <c r="I1183" t="s"/>
      <c r="J1183" t="n">
        <v>0</v>
      </c>
      <c r="K1183" t="n">
        <v>0</v>
      </c>
      <c r="L1183" t="n">
        <v>1</v>
      </c>
      <c r="M1183" t="n">
        <v>0</v>
      </c>
    </row>
    <row r="1184" spans="1:13">
      <c r="A1184" s="1">
        <f>HYPERLINK("http://www.twitter.com/NathanBLawrence/status/994579775040745472", "994579775040745472")</f>
        <v/>
      </c>
      <c r="B1184" s="2" t="n">
        <v>43230.58878472223</v>
      </c>
      <c r="C1184" t="n">
        <v>0</v>
      </c>
      <c r="D1184" t="n">
        <v>2548</v>
      </c>
      <c r="E1184" t="s">
        <v>1191</v>
      </c>
      <c r="F1184">
        <f>HYPERLINK("https://video.twimg.com/ext_tw_video/994576301154451456/pu/vid/240x180/VfaguYzV8gwoxg32.mp4?tag=3", "https://video.twimg.com/ext_tw_video/994576301154451456/pu/vid/240x180/VfaguYzV8gwoxg32.mp4?tag=3")</f>
        <v/>
      </c>
      <c r="G1184" t="s"/>
      <c r="H1184" t="s"/>
      <c r="I1184" t="s"/>
      <c r="J1184" t="n">
        <v>0</v>
      </c>
      <c r="K1184" t="n">
        <v>0</v>
      </c>
      <c r="L1184" t="n">
        <v>1</v>
      </c>
      <c r="M1184" t="n">
        <v>0</v>
      </c>
    </row>
    <row r="1185" spans="1:13">
      <c r="A1185" s="1">
        <f>HYPERLINK("http://www.twitter.com/NathanBLawrence/status/994577924845113345", "994577924845113345")</f>
        <v/>
      </c>
      <c r="B1185" s="2" t="n">
        <v>43230.58368055556</v>
      </c>
      <c r="C1185" t="n">
        <v>1</v>
      </c>
      <c r="D1185" t="n">
        <v>2</v>
      </c>
      <c r="E1185" t="s">
        <v>1192</v>
      </c>
      <c r="F1185" t="s"/>
      <c r="G1185" t="s"/>
      <c r="H1185" t="s"/>
      <c r="I1185" t="s"/>
      <c r="J1185" t="n">
        <v>-0.296</v>
      </c>
      <c r="K1185" t="n">
        <v>0.073</v>
      </c>
      <c r="L1185" t="n">
        <v>0.927</v>
      </c>
      <c r="M1185" t="n">
        <v>0</v>
      </c>
    </row>
    <row r="1186" spans="1:13">
      <c r="A1186" s="1">
        <f>HYPERLINK("http://www.twitter.com/NathanBLawrence/status/994575074349977600", "994575074349977600")</f>
        <v/>
      </c>
      <c r="B1186" s="2" t="n">
        <v>43230.57581018518</v>
      </c>
      <c r="C1186" t="n">
        <v>2</v>
      </c>
      <c r="D1186" t="n">
        <v>0</v>
      </c>
      <c r="E1186" t="s">
        <v>1193</v>
      </c>
      <c r="F1186" t="s"/>
      <c r="G1186" t="s"/>
      <c r="H1186" t="s"/>
      <c r="I1186" t="s"/>
      <c r="J1186" t="n">
        <v>0</v>
      </c>
      <c r="K1186" t="n">
        <v>0</v>
      </c>
      <c r="L1186" t="n">
        <v>1</v>
      </c>
      <c r="M1186" t="n">
        <v>0</v>
      </c>
    </row>
    <row r="1187" spans="1:13">
      <c r="A1187" s="1">
        <f>HYPERLINK("http://www.twitter.com/NathanBLawrence/status/994572588323147776", "994572588323147776")</f>
        <v/>
      </c>
      <c r="B1187" s="2" t="n">
        <v>43230.56894675926</v>
      </c>
      <c r="C1187" t="n">
        <v>2</v>
      </c>
      <c r="D1187" t="n">
        <v>0</v>
      </c>
      <c r="E1187" t="s">
        <v>1194</v>
      </c>
      <c r="F1187" t="s"/>
      <c r="G1187" t="s"/>
      <c r="H1187" t="s"/>
      <c r="I1187" t="s"/>
      <c r="J1187" t="n">
        <v>0</v>
      </c>
      <c r="K1187" t="n">
        <v>0</v>
      </c>
      <c r="L1187" t="n">
        <v>1</v>
      </c>
      <c r="M1187" t="n">
        <v>0</v>
      </c>
    </row>
    <row r="1188" spans="1:13">
      <c r="A1188" s="1">
        <f>HYPERLINK("http://www.twitter.com/NathanBLawrence/status/994572267941134337", "994572267941134337")</f>
        <v/>
      </c>
      <c r="B1188" s="2" t="n">
        <v>43230.56806712963</v>
      </c>
      <c r="C1188" t="n">
        <v>6</v>
      </c>
      <c r="D1188" t="n">
        <v>0</v>
      </c>
      <c r="E1188" t="s">
        <v>1195</v>
      </c>
      <c r="F1188" t="s"/>
      <c r="G1188" t="s"/>
      <c r="H1188" t="s"/>
      <c r="I1188" t="s"/>
      <c r="J1188" t="n">
        <v>-0.5574</v>
      </c>
      <c r="K1188" t="n">
        <v>0.578</v>
      </c>
      <c r="L1188" t="n">
        <v>0.196</v>
      </c>
      <c r="M1188" t="n">
        <v>0.225</v>
      </c>
    </row>
    <row r="1189" spans="1:13">
      <c r="A1189" s="1">
        <f>HYPERLINK("http://www.twitter.com/NathanBLawrence/status/994572160101486592", "994572160101486592")</f>
        <v/>
      </c>
      <c r="B1189" s="2" t="n">
        <v>43230.56776620371</v>
      </c>
      <c r="C1189" t="n">
        <v>0</v>
      </c>
      <c r="D1189" t="n">
        <v>2125</v>
      </c>
      <c r="E1189" t="s">
        <v>1196</v>
      </c>
      <c r="F1189" t="s"/>
      <c r="G1189" t="s"/>
      <c r="H1189" t="s"/>
      <c r="I1189" t="s"/>
      <c r="J1189" t="n">
        <v>-0.6841</v>
      </c>
      <c r="K1189" t="n">
        <v>0.288</v>
      </c>
      <c r="L1189" t="n">
        <v>0.552</v>
      </c>
      <c r="M1189" t="n">
        <v>0.16</v>
      </c>
    </row>
    <row r="1190" spans="1:13">
      <c r="A1190" s="1">
        <f>HYPERLINK("http://www.twitter.com/NathanBLawrence/status/994572022956134401", "994572022956134401")</f>
        <v/>
      </c>
      <c r="B1190" s="2" t="n">
        <v>43230.56739583334</v>
      </c>
      <c r="C1190" t="n">
        <v>0</v>
      </c>
      <c r="D1190" t="n">
        <v>6</v>
      </c>
      <c r="E1190" t="s">
        <v>1197</v>
      </c>
      <c r="F1190" t="s"/>
      <c r="G1190" t="s"/>
      <c r="H1190" t="s"/>
      <c r="I1190" t="s"/>
      <c r="J1190" t="n">
        <v>-0.8552999999999999</v>
      </c>
      <c r="K1190" t="n">
        <v>0.32</v>
      </c>
      <c r="L1190" t="n">
        <v>0.68</v>
      </c>
      <c r="M1190" t="n">
        <v>0</v>
      </c>
    </row>
    <row r="1191" spans="1:13">
      <c r="A1191" s="1">
        <f>HYPERLINK("http://www.twitter.com/NathanBLawrence/status/994571950398767104", "994571950398767104")</f>
        <v/>
      </c>
      <c r="B1191" s="2" t="n">
        <v>43230.5671875</v>
      </c>
      <c r="C1191" t="n">
        <v>0</v>
      </c>
      <c r="D1191" t="n">
        <v>161</v>
      </c>
      <c r="E1191" t="s">
        <v>1198</v>
      </c>
      <c r="F1191">
        <f>HYPERLINK("http://pbs.twimg.com/media/DcztRVvVQAAJbxg.jpg", "http://pbs.twimg.com/media/DcztRVvVQAAJbxg.jpg")</f>
        <v/>
      </c>
      <c r="G1191" t="s"/>
      <c r="H1191" t="s"/>
      <c r="I1191" t="s"/>
      <c r="J1191" t="n">
        <v>0.918</v>
      </c>
      <c r="K1191" t="n">
        <v>0</v>
      </c>
      <c r="L1191" t="n">
        <v>0.601</v>
      </c>
      <c r="M1191" t="n">
        <v>0.399</v>
      </c>
    </row>
    <row r="1192" spans="1:13">
      <c r="A1192" s="1">
        <f>HYPERLINK("http://www.twitter.com/NathanBLawrence/status/994567211787407360", "994567211787407360")</f>
        <v/>
      </c>
      <c r="B1192" s="2" t="n">
        <v>43230.55412037037</v>
      </c>
      <c r="C1192" t="n">
        <v>0</v>
      </c>
      <c r="D1192" t="n">
        <v>28</v>
      </c>
      <c r="E1192" t="s">
        <v>1199</v>
      </c>
      <c r="F1192">
        <f>HYPERLINK("http://pbs.twimg.com/media/DcY2YGBW4AEuhm2.jpg", "http://pbs.twimg.com/media/DcY2YGBW4AEuhm2.jpg")</f>
        <v/>
      </c>
      <c r="G1192" t="s"/>
      <c r="H1192" t="s"/>
      <c r="I1192" t="s"/>
      <c r="J1192" t="n">
        <v>0</v>
      </c>
      <c r="K1192" t="n">
        <v>0</v>
      </c>
      <c r="L1192" t="n">
        <v>1</v>
      </c>
      <c r="M1192" t="n">
        <v>0</v>
      </c>
    </row>
    <row r="1193" spans="1:13">
      <c r="A1193" s="1">
        <f>HYPERLINK("http://www.twitter.com/NathanBLawrence/status/994567149980209153", "994567149980209153")</f>
        <v/>
      </c>
      <c r="B1193" s="2" t="n">
        <v>43230.55394675926</v>
      </c>
      <c r="C1193" t="n">
        <v>0</v>
      </c>
      <c r="D1193" t="n">
        <v>39</v>
      </c>
      <c r="E1193" t="s">
        <v>1200</v>
      </c>
      <c r="F1193">
        <f>HYPERLINK("https://video.twimg.com/ext_tw_video/993473027667984384/pu/vid/1280x720/d3pjznh9ZXdrrZK3.mp4?tag=3", "https://video.twimg.com/ext_tw_video/993473027667984384/pu/vid/1280x720/d3pjznh9ZXdrrZK3.mp4?tag=3")</f>
        <v/>
      </c>
      <c r="G1193" t="s"/>
      <c r="H1193" t="s"/>
      <c r="I1193" t="s"/>
      <c r="J1193" t="n">
        <v>0.4939</v>
      </c>
      <c r="K1193" t="n">
        <v>0</v>
      </c>
      <c r="L1193" t="n">
        <v>0.882</v>
      </c>
      <c r="M1193" t="n">
        <v>0.118</v>
      </c>
    </row>
    <row r="1194" spans="1:13">
      <c r="A1194" s="1">
        <f>HYPERLINK("http://www.twitter.com/NathanBLawrence/status/994566246338318336", "994566246338318336")</f>
        <v/>
      </c>
      <c r="B1194" s="2" t="n">
        <v>43230.55144675926</v>
      </c>
      <c r="C1194" t="n">
        <v>12</v>
      </c>
      <c r="D1194" t="n">
        <v>1</v>
      </c>
      <c r="E1194" t="s">
        <v>1201</v>
      </c>
      <c r="F1194" t="s"/>
      <c r="G1194" t="s"/>
      <c r="H1194" t="s"/>
      <c r="I1194" t="s"/>
      <c r="J1194" t="n">
        <v>-0.5994</v>
      </c>
      <c r="K1194" t="n">
        <v>0.206</v>
      </c>
      <c r="L1194" t="n">
        <v>0.794</v>
      </c>
      <c r="M1194" t="n">
        <v>0</v>
      </c>
    </row>
    <row r="1195" spans="1:13">
      <c r="A1195" s="1">
        <f>HYPERLINK("http://www.twitter.com/NathanBLawrence/status/994532823649447938", "994532823649447938")</f>
        <v/>
      </c>
      <c r="B1195" s="2" t="n">
        <v>43230.45922453704</v>
      </c>
      <c r="C1195" t="n">
        <v>0</v>
      </c>
      <c r="D1195" t="n">
        <v>3</v>
      </c>
      <c r="E1195" t="s">
        <v>1202</v>
      </c>
      <c r="F1195">
        <f>HYPERLINK("http://pbs.twimg.com/media/Dc1FgkqW0AErUwf.jpg", "http://pbs.twimg.com/media/Dc1FgkqW0AErUwf.jpg")</f>
        <v/>
      </c>
      <c r="G1195" t="s"/>
      <c r="H1195" t="s"/>
      <c r="I1195" t="s"/>
      <c r="J1195" t="n">
        <v>-0.2677</v>
      </c>
      <c r="K1195" t="n">
        <v>0.209</v>
      </c>
      <c r="L1195" t="n">
        <v>0.644</v>
      </c>
      <c r="M1195" t="n">
        <v>0.146</v>
      </c>
    </row>
    <row r="1196" spans="1:13">
      <c r="A1196" s="1">
        <f>HYPERLINK("http://www.twitter.com/NathanBLawrence/status/994532592954290176", "994532592954290176")</f>
        <v/>
      </c>
      <c r="B1196" s="2" t="n">
        <v>43230.45858796296</v>
      </c>
      <c r="C1196" t="n">
        <v>0</v>
      </c>
      <c r="D1196" t="n">
        <v>15</v>
      </c>
      <c r="E1196" t="s">
        <v>1203</v>
      </c>
      <c r="F1196" t="s"/>
      <c r="G1196" t="s"/>
      <c r="H1196" t="s"/>
      <c r="I1196" t="s"/>
      <c r="J1196" t="n">
        <v>0.3506</v>
      </c>
      <c r="K1196" t="n">
        <v>0.083</v>
      </c>
      <c r="L1196" t="n">
        <v>0.786</v>
      </c>
      <c r="M1196" t="n">
        <v>0.131</v>
      </c>
    </row>
    <row r="1197" spans="1:13">
      <c r="A1197" s="1">
        <f>HYPERLINK("http://www.twitter.com/NathanBLawrence/status/994532553888542722", "994532553888542722")</f>
        <v/>
      </c>
      <c r="B1197" s="2" t="n">
        <v>43230.4584837963</v>
      </c>
      <c r="C1197" t="n">
        <v>0</v>
      </c>
      <c r="D1197" t="n">
        <v>8</v>
      </c>
      <c r="E1197" t="s">
        <v>1204</v>
      </c>
      <c r="F1197">
        <f>HYPERLINK("http://pbs.twimg.com/media/Dc1EAirXUAAI_xa.jpg", "http://pbs.twimg.com/media/Dc1EAirXUAAI_xa.jpg")</f>
        <v/>
      </c>
      <c r="G1197" t="s"/>
      <c r="H1197" t="s"/>
      <c r="I1197" t="s"/>
      <c r="J1197" t="n">
        <v>0</v>
      </c>
      <c r="K1197" t="n">
        <v>0</v>
      </c>
      <c r="L1197" t="n">
        <v>1</v>
      </c>
      <c r="M1197" t="n">
        <v>0</v>
      </c>
    </row>
    <row r="1198" spans="1:13">
      <c r="A1198" s="1">
        <f>HYPERLINK("http://www.twitter.com/NathanBLawrence/status/994532519860195335", "994532519860195335")</f>
        <v/>
      </c>
      <c r="B1198" s="2" t="n">
        <v>43230.45837962963</v>
      </c>
      <c r="C1198" t="n">
        <v>0</v>
      </c>
      <c r="D1198" t="n">
        <v>10</v>
      </c>
      <c r="E1198" t="s">
        <v>1205</v>
      </c>
      <c r="F1198" t="s"/>
      <c r="G1198" t="s"/>
      <c r="H1198" t="s"/>
      <c r="I1198" t="s"/>
      <c r="J1198" t="n">
        <v>0</v>
      </c>
      <c r="K1198" t="n">
        <v>0</v>
      </c>
      <c r="L1198" t="n">
        <v>1</v>
      </c>
      <c r="M1198" t="n">
        <v>0</v>
      </c>
    </row>
    <row r="1199" spans="1:13">
      <c r="A1199" s="1">
        <f>HYPERLINK("http://www.twitter.com/NathanBLawrence/status/994419510148034560", "994419510148034560")</f>
        <v/>
      </c>
      <c r="B1199" s="2" t="n">
        <v>43230.14653935185</v>
      </c>
      <c r="C1199" t="n">
        <v>0</v>
      </c>
      <c r="D1199" t="n">
        <v>20</v>
      </c>
      <c r="E1199" t="s">
        <v>1206</v>
      </c>
      <c r="F1199" t="s"/>
      <c r="G1199" t="s"/>
      <c r="H1199" t="s"/>
      <c r="I1199" t="s"/>
      <c r="J1199" t="n">
        <v>-0.7184</v>
      </c>
      <c r="K1199" t="n">
        <v>0.353</v>
      </c>
      <c r="L1199" t="n">
        <v>0.647</v>
      </c>
      <c r="M1199" t="n">
        <v>0</v>
      </c>
    </row>
    <row r="1200" spans="1:13">
      <c r="A1200" s="1">
        <f>HYPERLINK("http://www.twitter.com/NathanBLawrence/status/994396298169200641", "994396298169200641")</f>
        <v/>
      </c>
      <c r="B1200" s="2" t="n">
        <v>43230.08248842593</v>
      </c>
      <c r="C1200" t="n">
        <v>0</v>
      </c>
      <c r="D1200" t="n">
        <v>0</v>
      </c>
      <c r="E1200" t="s">
        <v>1207</v>
      </c>
      <c r="F1200" t="s"/>
      <c r="G1200" t="s"/>
      <c r="H1200" t="s"/>
      <c r="I1200" t="s"/>
      <c r="J1200" t="n">
        <v>-0.5719</v>
      </c>
      <c r="K1200" t="n">
        <v>0.552</v>
      </c>
      <c r="L1200" t="n">
        <v>0.448</v>
      </c>
      <c r="M1200" t="n">
        <v>0</v>
      </c>
    </row>
    <row r="1201" spans="1:13">
      <c r="A1201" s="1">
        <f>HYPERLINK("http://www.twitter.com/NathanBLawrence/status/994396114899144705", "994396114899144705")</f>
        <v/>
      </c>
      <c r="B1201" s="2" t="n">
        <v>43230.08197916667</v>
      </c>
      <c r="C1201" t="n">
        <v>0</v>
      </c>
      <c r="D1201" t="n">
        <v>100</v>
      </c>
      <c r="E1201" t="s">
        <v>1208</v>
      </c>
      <c r="F1201">
        <f>HYPERLINK("http://pbs.twimg.com/media/DcyhMP4VwAA-p2s.jpg", "http://pbs.twimg.com/media/DcyhMP4VwAA-p2s.jpg")</f>
        <v/>
      </c>
      <c r="G1201" t="s"/>
      <c r="H1201" t="s"/>
      <c r="I1201" t="s"/>
      <c r="J1201" t="n">
        <v>0.8118</v>
      </c>
      <c r="K1201" t="n">
        <v>0</v>
      </c>
      <c r="L1201" t="n">
        <v>0.549</v>
      </c>
      <c r="M1201" t="n">
        <v>0.451</v>
      </c>
    </row>
    <row r="1202" spans="1:13">
      <c r="A1202" s="1">
        <f>HYPERLINK("http://www.twitter.com/NathanBLawrence/status/994395102775795713", "994395102775795713")</f>
        <v/>
      </c>
      <c r="B1202" s="2" t="n">
        <v>43230.07918981482</v>
      </c>
      <c r="C1202" t="n">
        <v>0</v>
      </c>
      <c r="D1202" t="n">
        <v>423</v>
      </c>
      <c r="E1202" t="s">
        <v>1209</v>
      </c>
      <c r="F1202" t="s"/>
      <c r="G1202" t="s"/>
      <c r="H1202" t="s"/>
      <c r="I1202" t="s"/>
      <c r="J1202" t="n">
        <v>0.7475000000000001</v>
      </c>
      <c r="K1202" t="n">
        <v>0</v>
      </c>
      <c r="L1202" t="n">
        <v>0.716</v>
      </c>
      <c r="M1202" t="n">
        <v>0.284</v>
      </c>
    </row>
    <row r="1203" spans="1:13">
      <c r="A1203" s="1">
        <f>HYPERLINK("http://www.twitter.com/NathanBLawrence/status/994395027970428928", "994395027970428928")</f>
        <v/>
      </c>
      <c r="B1203" s="2" t="n">
        <v>43230.07898148148</v>
      </c>
      <c r="C1203" t="n">
        <v>0</v>
      </c>
      <c r="D1203" t="n">
        <v>4</v>
      </c>
      <c r="E1203" t="s">
        <v>1210</v>
      </c>
      <c r="F1203" t="s"/>
      <c r="G1203" t="s"/>
      <c r="H1203" t="s"/>
      <c r="I1203" t="s"/>
      <c r="J1203" t="n">
        <v>0.2263</v>
      </c>
      <c r="K1203" t="n">
        <v>0</v>
      </c>
      <c r="L1203" t="n">
        <v>0.917</v>
      </c>
      <c r="M1203" t="n">
        <v>0.083</v>
      </c>
    </row>
    <row r="1204" spans="1:13">
      <c r="A1204" s="1">
        <f>HYPERLINK("http://www.twitter.com/NathanBLawrence/status/994394986643968000", "994394986643968000")</f>
        <v/>
      </c>
      <c r="B1204" s="2" t="n">
        <v>43230.07886574074</v>
      </c>
      <c r="C1204" t="n">
        <v>0</v>
      </c>
      <c r="D1204" t="n">
        <v>91</v>
      </c>
      <c r="E1204" t="s">
        <v>1211</v>
      </c>
      <c r="F1204">
        <f>HYPERLINK("http://pbs.twimg.com/media/DcyhNHJVwAEeAsg.jpg", "http://pbs.twimg.com/media/DcyhNHJVwAEeAsg.jpg")</f>
        <v/>
      </c>
      <c r="G1204" t="s"/>
      <c r="H1204" t="s"/>
      <c r="I1204" t="s"/>
      <c r="J1204" t="n">
        <v>0</v>
      </c>
      <c r="K1204" t="n">
        <v>0</v>
      </c>
      <c r="L1204" t="n">
        <v>1</v>
      </c>
      <c r="M1204" t="n">
        <v>0</v>
      </c>
    </row>
    <row r="1205" spans="1:13">
      <c r="A1205" s="1">
        <f>HYPERLINK("http://www.twitter.com/NathanBLawrence/status/994394970609119232", "994394970609119232")</f>
        <v/>
      </c>
      <c r="B1205" s="2" t="n">
        <v>43230.07881944445</v>
      </c>
      <c r="C1205" t="n">
        <v>0</v>
      </c>
      <c r="D1205" t="n">
        <v>157</v>
      </c>
      <c r="E1205" t="s">
        <v>1212</v>
      </c>
      <c r="F1205">
        <f>HYPERLINK("http://pbs.twimg.com/media/DcyhQvtVwAAKnyz.jpg", "http://pbs.twimg.com/media/DcyhQvtVwAAKnyz.jpg")</f>
        <v/>
      </c>
      <c r="G1205" t="s"/>
      <c r="H1205" t="s"/>
      <c r="I1205" t="s"/>
      <c r="J1205" t="n">
        <v>0.5147</v>
      </c>
      <c r="K1205" t="n">
        <v>0</v>
      </c>
      <c r="L1205" t="n">
        <v>0.678</v>
      </c>
      <c r="M1205" t="n">
        <v>0.322</v>
      </c>
    </row>
    <row r="1206" spans="1:13">
      <c r="A1206" s="1">
        <f>HYPERLINK("http://www.twitter.com/NathanBLawrence/status/994394948790292486", "994394948790292486")</f>
        <v/>
      </c>
      <c r="B1206" s="2" t="n">
        <v>43230.07876157408</v>
      </c>
      <c r="C1206" t="n">
        <v>0</v>
      </c>
      <c r="D1206" t="n">
        <v>105</v>
      </c>
      <c r="E1206" t="s">
        <v>1213</v>
      </c>
      <c r="F1206" t="s"/>
      <c r="G1206" t="s"/>
      <c r="H1206" t="s"/>
      <c r="I1206" t="s"/>
      <c r="J1206" t="n">
        <v>0.8673999999999999</v>
      </c>
      <c r="K1206" t="n">
        <v>0</v>
      </c>
      <c r="L1206" t="n">
        <v>0.507</v>
      </c>
      <c r="M1206" t="n">
        <v>0.493</v>
      </c>
    </row>
    <row r="1207" spans="1:13">
      <c r="A1207" s="1">
        <f>HYPERLINK("http://www.twitter.com/NathanBLawrence/status/994394911452680192", "994394911452680192")</f>
        <v/>
      </c>
      <c r="B1207" s="2" t="n">
        <v>43230.07865740741</v>
      </c>
      <c r="C1207" t="n">
        <v>0</v>
      </c>
      <c r="D1207" t="n">
        <v>18411</v>
      </c>
      <c r="E1207" t="s">
        <v>1214</v>
      </c>
      <c r="F1207" t="s"/>
      <c r="G1207" t="s"/>
      <c r="H1207" t="s"/>
      <c r="I1207" t="s"/>
      <c r="J1207" t="n">
        <v>0.3818</v>
      </c>
      <c r="K1207" t="n">
        <v>0</v>
      </c>
      <c r="L1207" t="n">
        <v>0.822</v>
      </c>
      <c r="M1207" t="n">
        <v>0.178</v>
      </c>
    </row>
    <row r="1208" spans="1:13">
      <c r="A1208" s="1">
        <f>HYPERLINK("http://www.twitter.com/NathanBLawrence/status/994379664243249152", "994379664243249152")</f>
        <v/>
      </c>
      <c r="B1208" s="2" t="n">
        <v>43230.03658564815</v>
      </c>
      <c r="C1208" t="n">
        <v>0</v>
      </c>
      <c r="D1208" t="n">
        <v>8</v>
      </c>
      <c r="E1208" t="s">
        <v>1215</v>
      </c>
      <c r="F1208">
        <f>HYPERLINK("http://pbs.twimg.com/media/Dcy6jAfU8AANaFo.jpg", "http://pbs.twimg.com/media/Dcy6jAfU8AANaFo.jpg")</f>
        <v/>
      </c>
      <c r="G1208" t="s"/>
      <c r="H1208" t="s"/>
      <c r="I1208" t="s"/>
      <c r="J1208" t="n">
        <v>0</v>
      </c>
      <c r="K1208" t="n">
        <v>0</v>
      </c>
      <c r="L1208" t="n">
        <v>1</v>
      </c>
      <c r="M1208" t="n">
        <v>0</v>
      </c>
    </row>
    <row r="1209" spans="1:13">
      <c r="A1209" s="1">
        <f>HYPERLINK("http://www.twitter.com/NathanBLawrence/status/994379626926534656", "994379626926534656")</f>
        <v/>
      </c>
      <c r="B1209" s="2" t="n">
        <v>43230.03648148148</v>
      </c>
      <c r="C1209" t="n">
        <v>0</v>
      </c>
      <c r="D1209" t="n">
        <v>6</v>
      </c>
      <c r="E1209" t="s">
        <v>1216</v>
      </c>
      <c r="F1209">
        <f>HYPERLINK("http://pbs.twimg.com/media/Dcy5Q-RWAAAq-w0.jpg", "http://pbs.twimg.com/media/Dcy5Q-RWAAAq-w0.jpg")</f>
        <v/>
      </c>
      <c r="G1209" t="s"/>
      <c r="H1209" t="s"/>
      <c r="I1209" t="s"/>
      <c r="J1209" t="n">
        <v>0</v>
      </c>
      <c r="K1209" t="n">
        <v>0</v>
      </c>
      <c r="L1209" t="n">
        <v>1</v>
      </c>
      <c r="M1209" t="n">
        <v>0</v>
      </c>
    </row>
    <row r="1210" spans="1:13">
      <c r="A1210" s="1">
        <f>HYPERLINK("http://www.twitter.com/NathanBLawrence/status/994379612066058240", "994379612066058240")</f>
        <v/>
      </c>
      <c r="B1210" s="2" t="n">
        <v>43230.03643518518</v>
      </c>
      <c r="C1210" t="n">
        <v>0</v>
      </c>
      <c r="D1210" t="n">
        <v>9</v>
      </c>
      <c r="E1210" t="s">
        <v>1217</v>
      </c>
      <c r="F1210">
        <f>HYPERLINK("http://pbs.twimg.com/media/Dcy3lKhVwAAX5Dg.jpg", "http://pbs.twimg.com/media/Dcy3lKhVwAAX5Dg.jpg")</f>
        <v/>
      </c>
      <c r="G1210" t="s"/>
      <c r="H1210" t="s"/>
      <c r="I1210" t="s"/>
      <c r="J1210" t="n">
        <v>-0.3885</v>
      </c>
      <c r="K1210" t="n">
        <v>0.158</v>
      </c>
      <c r="L1210" t="n">
        <v>0.842</v>
      </c>
      <c r="M1210" t="n">
        <v>0</v>
      </c>
    </row>
    <row r="1211" spans="1:13">
      <c r="A1211" s="1">
        <f>HYPERLINK("http://www.twitter.com/NathanBLawrence/status/994379595515400192", "994379595515400192")</f>
        <v/>
      </c>
      <c r="B1211" s="2" t="n">
        <v>43230.03638888889</v>
      </c>
      <c r="C1211" t="n">
        <v>0</v>
      </c>
      <c r="D1211" t="n">
        <v>12</v>
      </c>
      <c r="E1211" t="s">
        <v>1218</v>
      </c>
      <c r="F1211" t="s"/>
      <c r="G1211" t="s"/>
      <c r="H1211" t="s"/>
      <c r="I1211" t="s"/>
      <c r="J1211" t="n">
        <v>0.3885</v>
      </c>
      <c r="K1211" t="n">
        <v>0</v>
      </c>
      <c r="L1211" t="n">
        <v>0.872</v>
      </c>
      <c r="M1211" t="n">
        <v>0.128</v>
      </c>
    </row>
    <row r="1212" spans="1:13">
      <c r="A1212" s="1">
        <f>HYPERLINK("http://www.twitter.com/NathanBLawrence/status/994374054156095488", "994374054156095488")</f>
        <v/>
      </c>
      <c r="B1212" s="2" t="n">
        <v>43230.02109953704</v>
      </c>
      <c r="C1212" t="n">
        <v>0</v>
      </c>
      <c r="D1212" t="n">
        <v>7</v>
      </c>
      <c r="E1212" t="s">
        <v>1219</v>
      </c>
      <c r="F1212" t="s"/>
      <c r="G1212" t="s"/>
      <c r="H1212" t="s"/>
      <c r="I1212" t="s"/>
      <c r="J1212" t="n">
        <v>0.1531</v>
      </c>
      <c r="K1212" t="n">
        <v>0.114</v>
      </c>
      <c r="L1212" t="n">
        <v>0.743</v>
      </c>
      <c r="M1212" t="n">
        <v>0.144</v>
      </c>
    </row>
    <row r="1213" spans="1:13">
      <c r="A1213" s="1">
        <f>HYPERLINK("http://www.twitter.com/NathanBLawrence/status/994333080201592833", "994333080201592833")</f>
        <v/>
      </c>
      <c r="B1213" s="2" t="n">
        <v>43229.90803240741</v>
      </c>
      <c r="C1213" t="n">
        <v>0</v>
      </c>
      <c r="D1213" t="n">
        <v>28</v>
      </c>
      <c r="E1213" t="s">
        <v>1220</v>
      </c>
      <c r="F1213" t="s"/>
      <c r="G1213" t="s"/>
      <c r="H1213" t="s"/>
      <c r="I1213" t="s"/>
      <c r="J1213" t="n">
        <v>-0.7192</v>
      </c>
      <c r="K1213" t="n">
        <v>0.238</v>
      </c>
      <c r="L1213" t="n">
        <v>0.762</v>
      </c>
      <c r="M1213" t="n">
        <v>0</v>
      </c>
    </row>
    <row r="1214" spans="1:13">
      <c r="A1214" s="1">
        <f>HYPERLINK("http://www.twitter.com/NathanBLawrence/status/994328074736070656", "994328074736070656")</f>
        <v/>
      </c>
      <c r="B1214" s="2" t="n">
        <v>43229.89422453703</v>
      </c>
      <c r="C1214" t="n">
        <v>2</v>
      </c>
      <c r="D1214" t="n">
        <v>0</v>
      </c>
      <c r="E1214" t="s">
        <v>1221</v>
      </c>
      <c r="F1214" t="s"/>
      <c r="G1214" t="s"/>
      <c r="H1214" t="s"/>
      <c r="I1214" t="s"/>
      <c r="J1214" t="n">
        <v>0</v>
      </c>
      <c r="K1214" t="n">
        <v>0</v>
      </c>
      <c r="L1214" t="n">
        <v>1</v>
      </c>
      <c r="M1214" t="n">
        <v>0</v>
      </c>
    </row>
    <row r="1215" spans="1:13">
      <c r="A1215" s="1">
        <f>HYPERLINK("http://www.twitter.com/NathanBLawrence/status/994327839863427072", "994327839863427072")</f>
        <v/>
      </c>
      <c r="B1215" s="2" t="n">
        <v>43229.89357638889</v>
      </c>
      <c r="C1215" t="n">
        <v>1</v>
      </c>
      <c r="D1215" t="n">
        <v>0</v>
      </c>
      <c r="E1215" t="s">
        <v>1222</v>
      </c>
      <c r="F1215" t="s"/>
      <c r="G1215" t="s"/>
      <c r="H1215" t="s"/>
      <c r="I1215" t="s"/>
      <c r="J1215" t="n">
        <v>-0.2755</v>
      </c>
      <c r="K1215" t="n">
        <v>0.26</v>
      </c>
      <c r="L1215" t="n">
        <v>0.74</v>
      </c>
      <c r="M1215" t="n">
        <v>0</v>
      </c>
    </row>
    <row r="1216" spans="1:13">
      <c r="A1216" s="1">
        <f>HYPERLINK("http://www.twitter.com/NathanBLawrence/status/994327745801965569", "994327745801965569")</f>
        <v/>
      </c>
      <c r="B1216" s="2" t="n">
        <v>43229.89331018519</v>
      </c>
      <c r="C1216" t="n">
        <v>0</v>
      </c>
      <c r="D1216" t="n">
        <v>2</v>
      </c>
      <c r="E1216" t="s">
        <v>1223</v>
      </c>
      <c r="F1216" t="s"/>
      <c r="G1216" t="s"/>
      <c r="H1216" t="s"/>
      <c r="I1216" t="s"/>
      <c r="J1216" t="n">
        <v>0.7906</v>
      </c>
      <c r="K1216" t="n">
        <v>0</v>
      </c>
      <c r="L1216" t="n">
        <v>0.5620000000000001</v>
      </c>
      <c r="M1216" t="n">
        <v>0.438</v>
      </c>
    </row>
    <row r="1217" spans="1:13">
      <c r="A1217" s="1">
        <f>HYPERLINK("http://www.twitter.com/NathanBLawrence/status/994327358390796288", "994327358390796288")</f>
        <v/>
      </c>
      <c r="B1217" s="2" t="n">
        <v>43229.89224537037</v>
      </c>
      <c r="C1217" t="n">
        <v>2</v>
      </c>
      <c r="D1217" t="n">
        <v>0</v>
      </c>
      <c r="E1217" t="s">
        <v>1224</v>
      </c>
      <c r="F1217" t="s"/>
      <c r="G1217" t="s"/>
      <c r="H1217" t="s"/>
      <c r="I1217" t="s"/>
      <c r="J1217" t="n">
        <v>0.4215</v>
      </c>
      <c r="K1217" t="n">
        <v>0</v>
      </c>
      <c r="L1217" t="n">
        <v>0.517</v>
      </c>
      <c r="M1217" t="n">
        <v>0.483</v>
      </c>
    </row>
    <row r="1218" spans="1:13">
      <c r="A1218" s="1">
        <f>HYPERLINK("http://www.twitter.com/NathanBLawrence/status/994327235850010630", "994327235850010630")</f>
        <v/>
      </c>
      <c r="B1218" s="2" t="n">
        <v>43229.89190972222</v>
      </c>
      <c r="C1218" t="n">
        <v>0</v>
      </c>
      <c r="D1218" t="n">
        <v>2</v>
      </c>
      <c r="E1218" t="s">
        <v>1225</v>
      </c>
      <c r="F1218" t="s"/>
      <c r="G1218" t="s"/>
      <c r="H1218" t="s"/>
      <c r="I1218" t="s"/>
      <c r="J1218" t="n">
        <v>0.8481</v>
      </c>
      <c r="K1218" t="n">
        <v>0</v>
      </c>
      <c r="L1218" t="n">
        <v>0.603</v>
      </c>
      <c r="M1218" t="n">
        <v>0.397</v>
      </c>
    </row>
    <row r="1219" spans="1:13">
      <c r="A1219" s="1">
        <f>HYPERLINK("http://www.twitter.com/NathanBLawrence/status/994326842998951938", "994326842998951938")</f>
        <v/>
      </c>
      <c r="B1219" s="2" t="n">
        <v>43229.89082175926</v>
      </c>
      <c r="C1219" t="n">
        <v>2</v>
      </c>
      <c r="D1219" t="n">
        <v>1</v>
      </c>
      <c r="E1219" t="s">
        <v>1226</v>
      </c>
      <c r="F1219" t="s"/>
      <c r="G1219" t="s"/>
      <c r="H1219" t="s"/>
      <c r="I1219" t="s"/>
      <c r="J1219" t="n">
        <v>0.4588</v>
      </c>
      <c r="K1219" t="n">
        <v>0</v>
      </c>
      <c r="L1219" t="n">
        <v>0.85</v>
      </c>
      <c r="M1219" t="n">
        <v>0.15</v>
      </c>
    </row>
    <row r="1220" spans="1:13">
      <c r="A1220" s="1">
        <f>HYPERLINK("http://www.twitter.com/NathanBLawrence/status/994326180831604740", "994326180831604740")</f>
        <v/>
      </c>
      <c r="B1220" s="2" t="n">
        <v>43229.88899305555</v>
      </c>
      <c r="C1220" t="n">
        <v>1</v>
      </c>
      <c r="D1220" t="n">
        <v>1</v>
      </c>
      <c r="E1220" t="s">
        <v>1227</v>
      </c>
      <c r="F1220" t="s"/>
      <c r="G1220" t="s"/>
      <c r="H1220" t="s"/>
      <c r="I1220" t="s"/>
      <c r="J1220" t="n">
        <v>-0.7783</v>
      </c>
      <c r="K1220" t="n">
        <v>0.382</v>
      </c>
      <c r="L1220" t="n">
        <v>0.618</v>
      </c>
      <c r="M1220" t="n">
        <v>0</v>
      </c>
    </row>
    <row r="1221" spans="1:13">
      <c r="A1221" s="1">
        <f>HYPERLINK("http://www.twitter.com/NathanBLawrence/status/994325873137418241", "994325873137418241")</f>
        <v/>
      </c>
      <c r="B1221" s="2" t="n">
        <v>43229.88814814815</v>
      </c>
      <c r="C1221" t="n">
        <v>2</v>
      </c>
      <c r="D1221" t="n">
        <v>0</v>
      </c>
      <c r="E1221" t="s">
        <v>1228</v>
      </c>
      <c r="F1221" t="s"/>
      <c r="G1221" t="s"/>
      <c r="H1221" t="s"/>
      <c r="I1221" t="s"/>
      <c r="J1221" t="n">
        <v>0.2732</v>
      </c>
      <c r="K1221" t="n">
        <v>0</v>
      </c>
      <c r="L1221" t="n">
        <v>0.588</v>
      </c>
      <c r="M1221" t="n">
        <v>0.412</v>
      </c>
    </row>
    <row r="1222" spans="1:13">
      <c r="A1222" s="1">
        <f>HYPERLINK("http://www.twitter.com/NathanBLawrence/status/994325262333440000", "994325262333440000")</f>
        <v/>
      </c>
      <c r="B1222" s="2" t="n">
        <v>43229.88645833333</v>
      </c>
      <c r="C1222" t="n">
        <v>2</v>
      </c>
      <c r="D1222" t="n">
        <v>5</v>
      </c>
      <c r="E1222" t="s">
        <v>1229</v>
      </c>
      <c r="F1222" t="s"/>
      <c r="G1222" t="s"/>
      <c r="H1222" t="s"/>
      <c r="I1222" t="s"/>
      <c r="J1222" t="n">
        <v>-0.1298</v>
      </c>
      <c r="K1222" t="n">
        <v>0.168</v>
      </c>
      <c r="L1222" t="n">
        <v>0.641</v>
      </c>
      <c r="M1222" t="n">
        <v>0.192</v>
      </c>
    </row>
    <row r="1223" spans="1:13">
      <c r="A1223" s="1">
        <f>HYPERLINK("http://www.twitter.com/NathanBLawrence/status/994322688217886720", "994322688217886720")</f>
        <v/>
      </c>
      <c r="B1223" s="2" t="n">
        <v>43229.87936342593</v>
      </c>
      <c r="C1223" t="n">
        <v>3</v>
      </c>
      <c r="D1223" t="n">
        <v>2</v>
      </c>
      <c r="E1223" t="s">
        <v>1230</v>
      </c>
      <c r="F1223" t="s"/>
      <c r="G1223" t="s"/>
      <c r="H1223" t="s"/>
      <c r="I1223" t="s"/>
      <c r="J1223" t="n">
        <v>0.7526</v>
      </c>
      <c r="K1223" t="n">
        <v>0.138</v>
      </c>
      <c r="L1223" t="n">
        <v>0.485</v>
      </c>
      <c r="M1223" t="n">
        <v>0.377</v>
      </c>
    </row>
    <row r="1224" spans="1:13">
      <c r="A1224" s="1">
        <f>HYPERLINK("http://www.twitter.com/NathanBLawrence/status/994321923424292864", "994321923424292864")</f>
        <v/>
      </c>
      <c r="B1224" s="2" t="n">
        <v>43229.87724537037</v>
      </c>
      <c r="C1224" t="n">
        <v>0</v>
      </c>
      <c r="D1224" t="n">
        <v>2</v>
      </c>
      <c r="E1224" t="s">
        <v>1231</v>
      </c>
      <c r="F1224" t="s"/>
      <c r="G1224" t="s"/>
      <c r="H1224" t="s"/>
      <c r="I1224" t="s"/>
      <c r="J1224" t="n">
        <v>0</v>
      </c>
      <c r="K1224" t="n">
        <v>0</v>
      </c>
      <c r="L1224" t="n">
        <v>1</v>
      </c>
      <c r="M1224" t="n">
        <v>0</v>
      </c>
    </row>
    <row r="1225" spans="1:13">
      <c r="A1225" s="1">
        <f>HYPERLINK("http://www.twitter.com/NathanBLawrence/status/994319692822085632", "994319692822085632")</f>
        <v/>
      </c>
      <c r="B1225" s="2" t="n">
        <v>43229.87108796297</v>
      </c>
      <c r="C1225" t="n">
        <v>13</v>
      </c>
      <c r="D1225" t="n">
        <v>11</v>
      </c>
      <c r="E1225" t="s">
        <v>1232</v>
      </c>
      <c r="F1225">
        <f>HYPERLINK("https://video.twimg.com/ext_tw_video/994319575771561985/pu/vid/1280x720/g4ImC7udzwA49FOc.mp4?tag=3", "https://video.twimg.com/ext_tw_video/994319575771561985/pu/vid/1280x720/g4ImC7udzwA49FOc.mp4?tag=3")</f>
        <v/>
      </c>
      <c r="G1225" t="s"/>
      <c r="H1225" t="s"/>
      <c r="I1225" t="s"/>
      <c r="J1225" t="n">
        <v>-0.8270999999999999</v>
      </c>
      <c r="K1225" t="n">
        <v>0.307</v>
      </c>
      <c r="L1225" t="n">
        <v>0.603</v>
      </c>
      <c r="M1225" t="n">
        <v>0.09</v>
      </c>
    </row>
    <row r="1226" spans="1:13">
      <c r="A1226" s="1">
        <f>HYPERLINK("http://www.twitter.com/NathanBLawrence/status/994319657564766209", "994319657564766209")</f>
        <v/>
      </c>
      <c r="B1226" s="2" t="n">
        <v>43229.87099537037</v>
      </c>
      <c r="C1226" t="n">
        <v>4</v>
      </c>
      <c r="D1226" t="n">
        <v>6</v>
      </c>
      <c r="E1226" t="s">
        <v>1233</v>
      </c>
      <c r="F1226">
        <f>HYPERLINK("https://video.twimg.com/ext_tw_video/994319530523475968/pu/vid/1280x720/tTRuTYR9rgKWfFOJ.mp4?tag=3", "https://video.twimg.com/ext_tw_video/994319530523475968/pu/vid/1280x720/tTRuTYR9rgKWfFOJ.mp4?tag=3")</f>
        <v/>
      </c>
      <c r="G1226" t="s"/>
      <c r="H1226" t="s"/>
      <c r="I1226" t="s"/>
      <c r="J1226" t="n">
        <v>-0.8074</v>
      </c>
      <c r="K1226" t="n">
        <v>0.301</v>
      </c>
      <c r="L1226" t="n">
        <v>0.582</v>
      </c>
      <c r="M1226" t="n">
        <v>0.116</v>
      </c>
    </row>
    <row r="1227" spans="1:13">
      <c r="A1227" s="1">
        <f>HYPERLINK("http://www.twitter.com/NathanBLawrence/status/994318709190742016", "994318709190742016")</f>
        <v/>
      </c>
      <c r="B1227" s="2" t="n">
        <v>43229.86837962963</v>
      </c>
      <c r="C1227" t="n">
        <v>1</v>
      </c>
      <c r="D1227" t="n">
        <v>0</v>
      </c>
      <c r="E1227" t="s">
        <v>1234</v>
      </c>
      <c r="F1227" t="s"/>
      <c r="G1227" t="s"/>
      <c r="H1227" t="s"/>
      <c r="I1227" t="s"/>
      <c r="J1227" t="n">
        <v>0.1027</v>
      </c>
      <c r="K1227" t="n">
        <v>0.06</v>
      </c>
      <c r="L1227" t="n">
        <v>0.862</v>
      </c>
      <c r="M1227" t="n">
        <v>0.078</v>
      </c>
    </row>
    <row r="1228" spans="1:13">
      <c r="A1228" s="1">
        <f>HYPERLINK("http://www.twitter.com/NathanBLawrence/status/994318296844525568", "994318296844525568")</f>
        <v/>
      </c>
      <c r="B1228" s="2" t="n">
        <v>43229.86724537037</v>
      </c>
      <c r="C1228" t="n">
        <v>0</v>
      </c>
      <c r="D1228" t="n">
        <v>16</v>
      </c>
      <c r="E1228" t="s">
        <v>1235</v>
      </c>
      <c r="F1228" t="s"/>
      <c r="G1228" t="s"/>
      <c r="H1228" t="s"/>
      <c r="I1228" t="s"/>
      <c r="J1228" t="n">
        <v>0</v>
      </c>
      <c r="K1228" t="n">
        <v>0</v>
      </c>
      <c r="L1228" t="n">
        <v>1</v>
      </c>
      <c r="M1228" t="n">
        <v>0</v>
      </c>
    </row>
    <row r="1229" spans="1:13">
      <c r="A1229" s="1">
        <f>HYPERLINK("http://www.twitter.com/NathanBLawrence/status/994318012269367297", "994318012269367297")</f>
        <v/>
      </c>
      <c r="B1229" s="2" t="n">
        <v>43229.86645833333</v>
      </c>
      <c r="C1229" t="n">
        <v>0</v>
      </c>
      <c r="D1229" t="n">
        <v>0</v>
      </c>
      <c r="E1229" t="s">
        <v>1236</v>
      </c>
      <c r="F1229" t="s"/>
      <c r="G1229" t="s"/>
      <c r="H1229" t="s"/>
      <c r="I1229" t="s"/>
      <c r="J1229" t="n">
        <v>0</v>
      </c>
      <c r="K1229" t="n">
        <v>0</v>
      </c>
      <c r="L1229" t="n">
        <v>1</v>
      </c>
      <c r="M1229" t="n">
        <v>0</v>
      </c>
    </row>
    <row r="1230" spans="1:13">
      <c r="A1230" s="1">
        <f>HYPERLINK("http://www.twitter.com/NathanBLawrence/status/994317298776371200", "994317298776371200")</f>
        <v/>
      </c>
      <c r="B1230" s="2" t="n">
        <v>43229.86449074074</v>
      </c>
      <c r="C1230" t="n">
        <v>0</v>
      </c>
      <c r="D1230" t="n">
        <v>6</v>
      </c>
      <c r="E1230" t="s">
        <v>1237</v>
      </c>
      <c r="F1230" t="s"/>
      <c r="G1230" t="s"/>
      <c r="H1230" t="s"/>
      <c r="I1230" t="s"/>
      <c r="J1230" t="n">
        <v>0</v>
      </c>
      <c r="K1230" t="n">
        <v>0</v>
      </c>
      <c r="L1230" t="n">
        <v>1</v>
      </c>
      <c r="M1230" t="n">
        <v>0</v>
      </c>
    </row>
    <row r="1231" spans="1:13">
      <c r="A1231" s="1">
        <f>HYPERLINK("http://www.twitter.com/NathanBLawrence/status/994316964733612033", "994316964733612033")</f>
        <v/>
      </c>
      <c r="B1231" s="2" t="n">
        <v>43229.86356481481</v>
      </c>
      <c r="C1231" t="n">
        <v>0</v>
      </c>
      <c r="D1231" t="n">
        <v>2</v>
      </c>
      <c r="E1231" t="s">
        <v>138</v>
      </c>
      <c r="F1231" t="s"/>
      <c r="G1231" t="s"/>
      <c r="H1231" t="s"/>
      <c r="I1231" t="s"/>
      <c r="J1231" t="n">
        <v>0</v>
      </c>
      <c r="K1231" t="n">
        <v>0</v>
      </c>
      <c r="L1231" t="n">
        <v>1</v>
      </c>
      <c r="M1231" t="n">
        <v>0</v>
      </c>
    </row>
    <row r="1232" spans="1:13">
      <c r="A1232" s="1">
        <f>HYPERLINK("http://www.twitter.com/NathanBLawrence/status/994316810257346561", "994316810257346561")</f>
        <v/>
      </c>
      <c r="B1232" s="2" t="n">
        <v>43229.86313657407</v>
      </c>
      <c r="C1232" t="n">
        <v>0</v>
      </c>
      <c r="D1232" t="n">
        <v>0</v>
      </c>
      <c r="E1232" t="s">
        <v>1238</v>
      </c>
      <c r="F1232" t="s"/>
      <c r="G1232" t="s"/>
      <c r="H1232" t="s"/>
      <c r="I1232" t="s"/>
      <c r="J1232" t="n">
        <v>-0.6369</v>
      </c>
      <c r="K1232" t="n">
        <v>0.08500000000000001</v>
      </c>
      <c r="L1232" t="n">
        <v>0.915</v>
      </c>
      <c r="M1232" t="n">
        <v>0</v>
      </c>
    </row>
    <row r="1233" spans="1:13">
      <c r="A1233" s="1">
        <f>HYPERLINK("http://www.twitter.com/NathanBLawrence/status/994316135876235264", "994316135876235264")</f>
        <v/>
      </c>
      <c r="B1233" s="2" t="n">
        <v>43229.86127314815</v>
      </c>
      <c r="C1233" t="n">
        <v>0</v>
      </c>
      <c r="D1233" t="n">
        <v>1</v>
      </c>
      <c r="E1233" t="s">
        <v>138</v>
      </c>
      <c r="F1233" t="s"/>
      <c r="G1233" t="s"/>
      <c r="H1233" t="s"/>
      <c r="I1233" t="s"/>
      <c r="J1233" t="n">
        <v>0</v>
      </c>
      <c r="K1233" t="n">
        <v>0</v>
      </c>
      <c r="L1233" t="n">
        <v>1</v>
      </c>
      <c r="M1233" t="n">
        <v>0</v>
      </c>
    </row>
    <row r="1234" spans="1:13">
      <c r="A1234" s="1">
        <f>HYPERLINK("http://www.twitter.com/NathanBLawrence/status/994316074509271040", "994316074509271040")</f>
        <v/>
      </c>
      <c r="B1234" s="2" t="n">
        <v>43229.86111111111</v>
      </c>
      <c r="C1234" t="n">
        <v>0</v>
      </c>
      <c r="D1234" t="n">
        <v>1</v>
      </c>
      <c r="E1234" t="s">
        <v>138</v>
      </c>
      <c r="F1234" t="s"/>
      <c r="G1234" t="s"/>
      <c r="H1234" t="s"/>
      <c r="I1234" t="s"/>
      <c r="J1234" t="n">
        <v>0</v>
      </c>
      <c r="K1234" t="n">
        <v>0</v>
      </c>
      <c r="L1234" t="n">
        <v>1</v>
      </c>
      <c r="M1234" t="n">
        <v>0</v>
      </c>
    </row>
    <row r="1235" spans="1:13">
      <c r="A1235" s="1">
        <f>HYPERLINK("http://www.twitter.com/NathanBLawrence/status/994311972899389441", "994311972899389441")</f>
        <v/>
      </c>
      <c r="B1235" s="2" t="n">
        <v>43229.84979166667</v>
      </c>
      <c r="C1235" t="n">
        <v>0</v>
      </c>
      <c r="D1235" t="n">
        <v>2</v>
      </c>
      <c r="E1235" t="s">
        <v>1239</v>
      </c>
      <c r="F1235" t="s"/>
      <c r="G1235" t="s"/>
      <c r="H1235" t="s"/>
      <c r="I1235" t="s"/>
      <c r="J1235" t="n">
        <v>0</v>
      </c>
      <c r="K1235" t="n">
        <v>0</v>
      </c>
      <c r="L1235" t="n">
        <v>1</v>
      </c>
      <c r="M1235" t="n">
        <v>0</v>
      </c>
    </row>
    <row r="1236" spans="1:13">
      <c r="A1236" s="1">
        <f>HYPERLINK("http://www.twitter.com/NathanBLawrence/status/994305919877046273", "994305919877046273")</f>
        <v/>
      </c>
      <c r="B1236" s="2" t="n">
        <v>43229.83309027777</v>
      </c>
      <c r="C1236" t="n">
        <v>0</v>
      </c>
      <c r="D1236" t="n">
        <v>1</v>
      </c>
      <c r="E1236" t="s">
        <v>1240</v>
      </c>
      <c r="F1236" t="s"/>
      <c r="G1236" t="s"/>
      <c r="H1236" t="s"/>
      <c r="I1236" t="s"/>
      <c r="J1236" t="n">
        <v>0</v>
      </c>
      <c r="K1236" t="n">
        <v>0</v>
      </c>
      <c r="L1236" t="n">
        <v>1</v>
      </c>
      <c r="M1236" t="n">
        <v>0</v>
      </c>
    </row>
    <row r="1237" spans="1:13">
      <c r="A1237" s="1">
        <f>HYPERLINK("http://www.twitter.com/NathanBLawrence/status/994305529412538368", "994305529412538368")</f>
        <v/>
      </c>
      <c r="B1237" s="2" t="n">
        <v>43229.83201388889</v>
      </c>
      <c r="C1237" t="n">
        <v>0</v>
      </c>
      <c r="D1237" t="n">
        <v>10</v>
      </c>
      <c r="E1237" t="s">
        <v>1241</v>
      </c>
      <c r="F1237" t="s"/>
      <c r="G1237" t="s"/>
      <c r="H1237" t="s"/>
      <c r="I1237" t="s"/>
      <c r="J1237" t="n">
        <v>0</v>
      </c>
      <c r="K1237" t="n">
        <v>0</v>
      </c>
      <c r="L1237" t="n">
        <v>1</v>
      </c>
      <c r="M1237" t="n">
        <v>0</v>
      </c>
    </row>
    <row r="1238" spans="1:13">
      <c r="A1238" s="1">
        <f>HYPERLINK("http://www.twitter.com/NathanBLawrence/status/994305386294464513", "994305386294464513")</f>
        <v/>
      </c>
      <c r="B1238" s="2" t="n">
        <v>43229.83162037037</v>
      </c>
      <c r="C1238" t="n">
        <v>0</v>
      </c>
      <c r="D1238" t="n">
        <v>7</v>
      </c>
      <c r="E1238" t="s">
        <v>1242</v>
      </c>
      <c r="F1238" t="s"/>
      <c r="G1238" t="s"/>
      <c r="H1238" t="s"/>
      <c r="I1238" t="s"/>
      <c r="J1238" t="n">
        <v>0</v>
      </c>
      <c r="K1238" t="n">
        <v>0</v>
      </c>
      <c r="L1238" t="n">
        <v>1</v>
      </c>
      <c r="M1238" t="n">
        <v>0</v>
      </c>
    </row>
    <row r="1239" spans="1:13">
      <c r="A1239" s="1">
        <f>HYPERLINK("http://www.twitter.com/NathanBLawrence/status/994305151593836544", "994305151593836544")</f>
        <v/>
      </c>
      <c r="B1239" s="2" t="n">
        <v>43229.83097222223</v>
      </c>
      <c r="C1239" t="n">
        <v>0</v>
      </c>
      <c r="D1239" t="n">
        <v>0</v>
      </c>
      <c r="E1239" t="s">
        <v>1243</v>
      </c>
      <c r="F1239" t="s"/>
      <c r="G1239" t="s"/>
      <c r="H1239" t="s"/>
      <c r="I1239" t="s"/>
      <c r="J1239" t="n">
        <v>-0.1027</v>
      </c>
      <c r="K1239" t="n">
        <v>0.142</v>
      </c>
      <c r="L1239" t="n">
        <v>0.733</v>
      </c>
      <c r="M1239" t="n">
        <v>0.125</v>
      </c>
    </row>
    <row r="1240" spans="1:13">
      <c r="A1240" s="1">
        <f>HYPERLINK("http://www.twitter.com/NathanBLawrence/status/994304074811170816", "994304074811170816")</f>
        <v/>
      </c>
      <c r="B1240" s="2" t="n">
        <v>43229.82799768518</v>
      </c>
      <c r="C1240" t="n">
        <v>0</v>
      </c>
      <c r="D1240" t="n">
        <v>7</v>
      </c>
      <c r="E1240" t="s">
        <v>1240</v>
      </c>
      <c r="F1240">
        <f>HYPERLINK("http://pbs.twimg.com/media/Dcx57qDW0AAc2_V.jpg", "http://pbs.twimg.com/media/Dcx57qDW0AAc2_V.jpg")</f>
        <v/>
      </c>
      <c r="G1240" t="s"/>
      <c r="H1240" t="s"/>
      <c r="I1240" t="s"/>
      <c r="J1240" t="n">
        <v>0</v>
      </c>
      <c r="K1240" t="n">
        <v>0</v>
      </c>
      <c r="L1240" t="n">
        <v>1</v>
      </c>
      <c r="M1240" t="n">
        <v>0</v>
      </c>
    </row>
    <row r="1241" spans="1:13">
      <c r="A1241" s="1">
        <f>HYPERLINK("http://www.twitter.com/NathanBLawrence/status/994304036429008896", "994304036429008896")</f>
        <v/>
      </c>
      <c r="B1241" s="2" t="n">
        <v>43229.82789351852</v>
      </c>
      <c r="C1241" t="n">
        <v>10</v>
      </c>
      <c r="D1241" t="n">
        <v>10</v>
      </c>
      <c r="E1241" t="s">
        <v>1244</v>
      </c>
      <c r="F1241" t="s"/>
      <c r="G1241" t="s"/>
      <c r="H1241" t="s"/>
      <c r="I1241" t="s"/>
      <c r="J1241" t="n">
        <v>-0.5719</v>
      </c>
      <c r="K1241" t="n">
        <v>0.08699999999999999</v>
      </c>
      <c r="L1241" t="n">
        <v>0.913</v>
      </c>
      <c r="M1241" t="n">
        <v>0</v>
      </c>
    </row>
    <row r="1242" spans="1:13">
      <c r="A1242" s="1">
        <f>HYPERLINK("http://www.twitter.com/NathanBLawrence/status/994303536866512896", "994303536866512896")</f>
        <v/>
      </c>
      <c r="B1242" s="2" t="n">
        <v>43229.82651620371</v>
      </c>
      <c r="C1242" t="n">
        <v>0</v>
      </c>
      <c r="D1242" t="n">
        <v>0</v>
      </c>
      <c r="E1242" t="s">
        <v>1245</v>
      </c>
      <c r="F1242" t="s"/>
      <c r="G1242" t="s"/>
      <c r="H1242" t="s"/>
      <c r="I1242" t="s"/>
      <c r="J1242" t="n">
        <v>-0.5106000000000001</v>
      </c>
      <c r="K1242" t="n">
        <v>0.152</v>
      </c>
      <c r="L1242" t="n">
        <v>0.848</v>
      </c>
      <c r="M1242" t="n">
        <v>0</v>
      </c>
    </row>
    <row r="1243" spans="1:13">
      <c r="A1243" s="1">
        <f>HYPERLINK("http://www.twitter.com/NathanBLawrence/status/994301558279065601", "994301558279065601")</f>
        <v/>
      </c>
      <c r="B1243" s="2" t="n">
        <v>43229.82105324074</v>
      </c>
      <c r="C1243" t="n">
        <v>1</v>
      </c>
      <c r="D1243" t="n">
        <v>0</v>
      </c>
      <c r="E1243" t="s">
        <v>1246</v>
      </c>
      <c r="F1243" t="s"/>
      <c r="G1243" t="s"/>
      <c r="H1243" t="s"/>
      <c r="I1243" t="s"/>
      <c r="J1243" t="n">
        <v>-0.5661</v>
      </c>
      <c r="K1243" t="n">
        <v>0.147</v>
      </c>
      <c r="L1243" t="n">
        <v>0.853</v>
      </c>
      <c r="M1243" t="n">
        <v>0</v>
      </c>
    </row>
    <row r="1244" spans="1:13">
      <c r="A1244" s="1">
        <f>HYPERLINK("http://www.twitter.com/NathanBLawrence/status/994297554077650944", "994297554077650944")</f>
        <v/>
      </c>
      <c r="B1244" s="2" t="n">
        <v>43229.81</v>
      </c>
      <c r="C1244" t="n">
        <v>10</v>
      </c>
      <c r="D1244" t="n">
        <v>12</v>
      </c>
      <c r="E1244" t="s">
        <v>1247</v>
      </c>
      <c r="F1244">
        <f>HYPERLINK("https://video.twimg.com/ext_tw_video/994297472288571392/pu/vid/1280x720/7MmSPBpgRo8U0GRf.mp4?tag=3", "https://video.twimg.com/ext_tw_video/994297472288571392/pu/vid/1280x720/7MmSPBpgRo8U0GRf.mp4?tag=3")</f>
        <v/>
      </c>
      <c r="G1244" t="s"/>
      <c r="H1244" t="s"/>
      <c r="I1244" t="s"/>
      <c r="J1244" t="n">
        <v>0</v>
      </c>
      <c r="K1244" t="n">
        <v>0</v>
      </c>
      <c r="L1244" t="n">
        <v>1</v>
      </c>
      <c r="M1244" t="n">
        <v>0</v>
      </c>
    </row>
    <row r="1245" spans="1:13">
      <c r="A1245" s="1">
        <f>HYPERLINK("http://www.twitter.com/NathanBLawrence/status/994244029595336704", "994244029595336704")</f>
        <v/>
      </c>
      <c r="B1245" s="2" t="n">
        <v>43229.66230324074</v>
      </c>
      <c r="C1245" t="n">
        <v>2</v>
      </c>
      <c r="D1245" t="n">
        <v>0</v>
      </c>
      <c r="E1245" t="s">
        <v>1248</v>
      </c>
      <c r="F1245" t="s"/>
      <c r="G1245" t="s"/>
      <c r="H1245" t="s"/>
      <c r="I1245" t="s"/>
      <c r="J1245" t="n">
        <v>0.3612</v>
      </c>
      <c r="K1245" t="n">
        <v>0</v>
      </c>
      <c r="L1245" t="n">
        <v>0.737</v>
      </c>
      <c r="M1245" t="n">
        <v>0.263</v>
      </c>
    </row>
    <row r="1246" spans="1:13">
      <c r="A1246" s="1">
        <f>HYPERLINK("http://www.twitter.com/NathanBLawrence/status/994242895199653896", "994242895199653896")</f>
        <v/>
      </c>
      <c r="B1246" s="2" t="n">
        <v>43229.65917824074</v>
      </c>
      <c r="C1246" t="n">
        <v>0</v>
      </c>
      <c r="D1246" t="n">
        <v>31</v>
      </c>
      <c r="E1246" t="s">
        <v>1249</v>
      </c>
      <c r="F1246">
        <f>HYPERLINK("http://pbs.twimg.com/media/DOdOOrgVQAA25NZ.jpg", "http://pbs.twimg.com/media/DOdOOrgVQAA25NZ.jpg")</f>
        <v/>
      </c>
      <c r="G1246" t="s"/>
      <c r="H1246" t="s"/>
      <c r="I1246" t="s"/>
      <c r="J1246" t="n">
        <v>0</v>
      </c>
      <c r="K1246" t="n">
        <v>0</v>
      </c>
      <c r="L1246" t="n">
        <v>1</v>
      </c>
      <c r="M1246" t="n">
        <v>0</v>
      </c>
    </row>
    <row r="1247" spans="1:13">
      <c r="A1247" s="1">
        <f>HYPERLINK("http://www.twitter.com/NathanBLawrence/status/994242290251055104", "994242290251055104")</f>
        <v/>
      </c>
      <c r="B1247" s="2" t="n">
        <v>43229.6575</v>
      </c>
      <c r="C1247" t="n">
        <v>0</v>
      </c>
      <c r="D1247" t="n">
        <v>815</v>
      </c>
      <c r="E1247" t="s">
        <v>1250</v>
      </c>
      <c r="F1247" t="s"/>
      <c r="G1247" t="s"/>
      <c r="H1247" t="s"/>
      <c r="I1247" t="s"/>
      <c r="J1247" t="n">
        <v>-0.5334</v>
      </c>
      <c r="K1247" t="n">
        <v>0.168</v>
      </c>
      <c r="L1247" t="n">
        <v>0.751</v>
      </c>
      <c r="M1247" t="n">
        <v>0.081</v>
      </c>
    </row>
    <row r="1248" spans="1:13">
      <c r="A1248" s="1">
        <f>HYPERLINK("http://www.twitter.com/NathanBLawrence/status/994241838088310786", "994241838088310786")</f>
        <v/>
      </c>
      <c r="B1248" s="2" t="n">
        <v>43229.65625</v>
      </c>
      <c r="C1248" t="n">
        <v>0</v>
      </c>
      <c r="D1248" t="n">
        <v>19560</v>
      </c>
      <c r="E1248" t="s">
        <v>1251</v>
      </c>
      <c r="F1248" t="s"/>
      <c r="G1248" t="s"/>
      <c r="H1248" t="s"/>
      <c r="I1248" t="s"/>
      <c r="J1248" t="n">
        <v>0.7717000000000001</v>
      </c>
      <c r="K1248" t="n">
        <v>0</v>
      </c>
      <c r="L1248" t="n">
        <v>0.774</v>
      </c>
      <c r="M1248" t="n">
        <v>0.226</v>
      </c>
    </row>
    <row r="1249" spans="1:13">
      <c r="A1249" s="1">
        <f>HYPERLINK("http://www.twitter.com/NathanBLawrence/status/994241792919797760", "994241792919797760")</f>
        <v/>
      </c>
      <c r="B1249" s="2" t="n">
        <v>43229.65613425926</v>
      </c>
      <c r="C1249" t="n">
        <v>0</v>
      </c>
      <c r="D1249" t="n">
        <v>33570</v>
      </c>
      <c r="E1249" t="s">
        <v>1252</v>
      </c>
      <c r="F1249" t="s"/>
      <c r="G1249" t="s"/>
      <c r="H1249" t="s"/>
      <c r="I1249" t="s"/>
      <c r="J1249" t="n">
        <v>0</v>
      </c>
      <c r="K1249" t="n">
        <v>0</v>
      </c>
      <c r="L1249" t="n">
        <v>1</v>
      </c>
      <c r="M1249" t="n">
        <v>0</v>
      </c>
    </row>
    <row r="1250" spans="1:13">
      <c r="A1250" s="1">
        <f>HYPERLINK("http://www.twitter.com/NathanBLawrence/status/994236697658327047", "994236697658327047")</f>
        <v/>
      </c>
      <c r="B1250" s="2" t="n">
        <v>43229.64207175926</v>
      </c>
      <c r="C1250" t="n">
        <v>0</v>
      </c>
      <c r="D1250" t="n">
        <v>1</v>
      </c>
      <c r="E1250" t="s">
        <v>1253</v>
      </c>
      <c r="F1250" t="s"/>
      <c r="G1250" t="s"/>
      <c r="H1250" t="s"/>
      <c r="I1250" t="s"/>
      <c r="J1250" t="n">
        <v>0</v>
      </c>
      <c r="K1250" t="n">
        <v>0</v>
      </c>
      <c r="L1250" t="n">
        <v>1</v>
      </c>
      <c r="M1250" t="n">
        <v>0</v>
      </c>
    </row>
    <row r="1251" spans="1:13">
      <c r="A1251" s="1">
        <f>HYPERLINK("http://www.twitter.com/NathanBLawrence/status/994236584550588416", "994236584550588416")</f>
        <v/>
      </c>
      <c r="B1251" s="2" t="n">
        <v>43229.64175925926</v>
      </c>
      <c r="C1251" t="n">
        <v>2</v>
      </c>
      <c r="D1251" t="n">
        <v>0</v>
      </c>
      <c r="E1251" t="s">
        <v>1254</v>
      </c>
      <c r="F1251" t="s"/>
      <c r="G1251" t="s"/>
      <c r="H1251" t="s"/>
      <c r="I1251" t="s"/>
      <c r="J1251" t="n">
        <v>0.3612</v>
      </c>
      <c r="K1251" t="n">
        <v>0</v>
      </c>
      <c r="L1251" t="n">
        <v>0.545</v>
      </c>
      <c r="M1251" t="n">
        <v>0.455</v>
      </c>
    </row>
    <row r="1252" spans="1:13">
      <c r="A1252" s="1">
        <f>HYPERLINK("http://www.twitter.com/NathanBLawrence/status/994236505253036033", "994236505253036033")</f>
        <v/>
      </c>
      <c r="B1252" s="2" t="n">
        <v>43229.64153935185</v>
      </c>
      <c r="C1252" t="n">
        <v>0</v>
      </c>
      <c r="D1252" t="n">
        <v>872</v>
      </c>
      <c r="E1252" t="s">
        <v>1255</v>
      </c>
      <c r="F1252">
        <f>HYPERLINK("http://pbs.twimg.com/media/DcnY4KWUwAAV2jE.jpg", "http://pbs.twimg.com/media/DcnY4KWUwAAV2jE.jpg")</f>
        <v/>
      </c>
      <c r="G1252" t="s"/>
      <c r="H1252" t="s"/>
      <c r="I1252" t="s"/>
      <c r="J1252" t="n">
        <v>-0.4199</v>
      </c>
      <c r="K1252" t="n">
        <v>0.157</v>
      </c>
      <c r="L1252" t="n">
        <v>0.843</v>
      </c>
      <c r="M1252" t="n">
        <v>0</v>
      </c>
    </row>
    <row r="1253" spans="1:13">
      <c r="A1253" s="1">
        <f>HYPERLINK("http://www.twitter.com/NathanBLawrence/status/994236263623372802", "994236263623372802")</f>
        <v/>
      </c>
      <c r="B1253" s="2" t="n">
        <v>43229.64086805555</v>
      </c>
      <c r="C1253" t="n">
        <v>0</v>
      </c>
      <c r="D1253" t="n">
        <v>13</v>
      </c>
      <c r="E1253" t="s">
        <v>1256</v>
      </c>
      <c r="F1253" t="s"/>
      <c r="G1253" t="s"/>
      <c r="H1253" t="s"/>
      <c r="I1253" t="s"/>
      <c r="J1253" t="n">
        <v>-0.2732</v>
      </c>
      <c r="K1253" t="n">
        <v>0.08</v>
      </c>
      <c r="L1253" t="n">
        <v>0.92</v>
      </c>
      <c r="M1253" t="n">
        <v>0</v>
      </c>
    </row>
    <row r="1254" spans="1:13">
      <c r="A1254" s="1">
        <f>HYPERLINK("http://www.twitter.com/NathanBLawrence/status/994235993879330817", "994235993879330817")</f>
        <v/>
      </c>
      <c r="B1254" s="2" t="n">
        <v>43229.64012731481</v>
      </c>
      <c r="C1254" t="n">
        <v>0</v>
      </c>
      <c r="D1254" t="n">
        <v>1</v>
      </c>
      <c r="E1254" t="s">
        <v>1257</v>
      </c>
      <c r="F1254" t="s"/>
      <c r="G1254" t="s"/>
      <c r="H1254" t="s"/>
      <c r="I1254" t="s"/>
      <c r="J1254" t="n">
        <v>0</v>
      </c>
      <c r="K1254" t="n">
        <v>0</v>
      </c>
      <c r="L1254" t="n">
        <v>1</v>
      </c>
      <c r="M1254" t="n">
        <v>0</v>
      </c>
    </row>
    <row r="1255" spans="1:13">
      <c r="A1255" s="1">
        <f>HYPERLINK("http://www.twitter.com/NathanBLawrence/status/994235951835631617", "994235951835631617")</f>
        <v/>
      </c>
      <c r="B1255" s="2" t="n">
        <v>43229.64001157408</v>
      </c>
      <c r="C1255" t="n">
        <v>0</v>
      </c>
      <c r="D1255" t="n">
        <v>2</v>
      </c>
      <c r="E1255" t="s">
        <v>1258</v>
      </c>
      <c r="F1255" t="s"/>
      <c r="G1255" t="s"/>
      <c r="H1255" t="s"/>
      <c r="I1255" t="s"/>
      <c r="J1255" t="n">
        <v>0</v>
      </c>
      <c r="K1255" t="n">
        <v>0</v>
      </c>
      <c r="L1255" t="n">
        <v>1</v>
      </c>
      <c r="M1255" t="n">
        <v>0</v>
      </c>
    </row>
    <row r="1256" spans="1:13">
      <c r="A1256" s="1">
        <f>HYPERLINK("http://www.twitter.com/NathanBLawrence/status/994235693860700160", "994235693860700160")</f>
        <v/>
      </c>
      <c r="B1256" s="2" t="n">
        <v>43229.63930555555</v>
      </c>
      <c r="C1256" t="n">
        <v>0</v>
      </c>
      <c r="D1256" t="n">
        <v>40</v>
      </c>
      <c r="E1256" t="s">
        <v>1259</v>
      </c>
      <c r="F1256">
        <f>HYPERLINK("http://pbs.twimg.com/media/Dcw7sBbVwAEkD_8.jpg", "http://pbs.twimg.com/media/Dcw7sBbVwAEkD_8.jpg")</f>
        <v/>
      </c>
      <c r="G1256">
        <f>HYPERLINK("http://pbs.twimg.com/media/Dcw7scGV4AEo0P8.jpg", "http://pbs.twimg.com/media/Dcw7scGV4AEo0P8.jpg")</f>
        <v/>
      </c>
      <c r="H1256" t="s"/>
      <c r="I1256" t="s"/>
      <c r="J1256" t="n">
        <v>0.0258</v>
      </c>
      <c r="K1256" t="n">
        <v>0.184</v>
      </c>
      <c r="L1256" t="n">
        <v>0.628</v>
      </c>
      <c r="M1256" t="n">
        <v>0.188</v>
      </c>
    </row>
    <row r="1257" spans="1:13">
      <c r="A1257" s="1">
        <f>HYPERLINK("http://www.twitter.com/NathanBLawrence/status/994235424787779587", "994235424787779587")</f>
        <v/>
      </c>
      <c r="B1257" s="2" t="n">
        <v>43229.63855324074</v>
      </c>
      <c r="C1257" t="n">
        <v>0</v>
      </c>
      <c r="D1257" t="n">
        <v>13</v>
      </c>
      <c r="E1257" t="s">
        <v>1260</v>
      </c>
      <c r="F1257">
        <f>HYPERLINK("http://pbs.twimg.com/media/DcwzBwwVQAEboK3.jpg", "http://pbs.twimg.com/media/DcwzBwwVQAEboK3.jpg")</f>
        <v/>
      </c>
      <c r="G1257" t="s"/>
      <c r="H1257" t="s"/>
      <c r="I1257" t="s"/>
      <c r="J1257" t="n">
        <v>0</v>
      </c>
      <c r="K1257" t="n">
        <v>0</v>
      </c>
      <c r="L1257" t="n">
        <v>1</v>
      </c>
      <c r="M1257" t="n">
        <v>0</v>
      </c>
    </row>
    <row r="1258" spans="1:13">
      <c r="A1258" s="1">
        <f>HYPERLINK("http://www.twitter.com/NathanBLawrence/status/994235324799664128", "994235324799664128")</f>
        <v/>
      </c>
      <c r="B1258" s="2" t="n">
        <v>43229.63828703704</v>
      </c>
      <c r="C1258" t="n">
        <v>0</v>
      </c>
      <c r="D1258" t="n">
        <v>674</v>
      </c>
      <c r="E1258" t="s">
        <v>1261</v>
      </c>
      <c r="F1258">
        <f>HYPERLINK("http://pbs.twimg.com/media/Dcw0NWVV4AAX3QM.jpg", "http://pbs.twimg.com/media/Dcw0NWVV4AAX3QM.jpg")</f>
        <v/>
      </c>
      <c r="G1258" t="s"/>
      <c r="H1258" t="s"/>
      <c r="I1258" t="s"/>
      <c r="J1258" t="n">
        <v>0.9468</v>
      </c>
      <c r="K1258" t="n">
        <v>0</v>
      </c>
      <c r="L1258" t="n">
        <v>0.523</v>
      </c>
      <c r="M1258" t="n">
        <v>0.477</v>
      </c>
    </row>
    <row r="1259" spans="1:13">
      <c r="A1259" s="1">
        <f>HYPERLINK("http://www.twitter.com/NathanBLawrence/status/994235296672727040", "994235296672727040")</f>
        <v/>
      </c>
      <c r="B1259" s="2" t="n">
        <v>43229.63820601852</v>
      </c>
      <c r="C1259" t="n">
        <v>0</v>
      </c>
      <c r="D1259" t="n">
        <v>28</v>
      </c>
      <c r="E1259" t="s">
        <v>1262</v>
      </c>
      <c r="F1259" t="s"/>
      <c r="G1259" t="s"/>
      <c r="H1259" t="s"/>
      <c r="I1259" t="s"/>
      <c r="J1259" t="n">
        <v>-0.8655</v>
      </c>
      <c r="K1259" t="n">
        <v>0.409</v>
      </c>
      <c r="L1259" t="n">
        <v>0.591</v>
      </c>
      <c r="M1259" t="n">
        <v>0</v>
      </c>
    </row>
    <row r="1260" spans="1:13">
      <c r="A1260" s="1">
        <f>HYPERLINK("http://www.twitter.com/NathanBLawrence/status/994235132511858693", "994235132511858693")</f>
        <v/>
      </c>
      <c r="B1260" s="2" t="n">
        <v>43229.63775462963</v>
      </c>
      <c r="C1260" t="n">
        <v>0</v>
      </c>
      <c r="D1260" t="n">
        <v>11</v>
      </c>
      <c r="E1260" t="s">
        <v>1263</v>
      </c>
      <c r="F1260">
        <f>HYPERLINK("http://pbs.twimg.com/media/Dcw1a3SUQAY_tKk.jpg", "http://pbs.twimg.com/media/Dcw1a3SUQAY_tKk.jpg")</f>
        <v/>
      </c>
      <c r="G1260" t="s"/>
      <c r="H1260" t="s"/>
      <c r="I1260" t="s"/>
      <c r="J1260" t="n">
        <v>-0.4753</v>
      </c>
      <c r="K1260" t="n">
        <v>0.143</v>
      </c>
      <c r="L1260" t="n">
        <v>0.8070000000000001</v>
      </c>
      <c r="M1260" t="n">
        <v>0.049</v>
      </c>
    </row>
    <row r="1261" spans="1:13">
      <c r="A1261" s="1">
        <f>HYPERLINK("http://www.twitter.com/NathanBLawrence/status/994234852701425665", "994234852701425665")</f>
        <v/>
      </c>
      <c r="B1261" s="2" t="n">
        <v>43229.63697916667</v>
      </c>
      <c r="C1261" t="n">
        <v>2</v>
      </c>
      <c r="D1261" t="n">
        <v>2</v>
      </c>
      <c r="E1261" t="s">
        <v>1264</v>
      </c>
      <c r="F1261" t="s"/>
      <c r="G1261" t="s"/>
      <c r="H1261" t="s"/>
      <c r="I1261" t="s"/>
      <c r="J1261" t="n">
        <v>0</v>
      </c>
      <c r="K1261" t="n">
        <v>0</v>
      </c>
      <c r="L1261" t="n">
        <v>1</v>
      </c>
      <c r="M1261" t="n">
        <v>0</v>
      </c>
    </row>
    <row r="1262" spans="1:13">
      <c r="A1262" s="1">
        <f>HYPERLINK("http://www.twitter.com/NathanBLawrence/status/994233090699444226", "994233090699444226")</f>
        <v/>
      </c>
      <c r="B1262" s="2" t="n">
        <v>43229.63211805555</v>
      </c>
      <c r="C1262" t="n">
        <v>0</v>
      </c>
      <c r="D1262" t="n">
        <v>24</v>
      </c>
      <c r="E1262" t="s">
        <v>1265</v>
      </c>
      <c r="F1262">
        <f>HYPERLINK("http://pbs.twimg.com/media/Dcw27ImU0AAjYGK.jpg", "http://pbs.twimg.com/media/Dcw27ImU0AAjYGK.jpg")</f>
        <v/>
      </c>
      <c r="G1262" t="s"/>
      <c r="H1262" t="s"/>
      <c r="I1262" t="s"/>
      <c r="J1262" t="n">
        <v>0.7519</v>
      </c>
      <c r="K1262" t="n">
        <v>0</v>
      </c>
      <c r="L1262" t="n">
        <v>0.758</v>
      </c>
      <c r="M1262" t="n">
        <v>0.242</v>
      </c>
    </row>
    <row r="1263" spans="1:13">
      <c r="A1263" s="1">
        <f>HYPERLINK("http://www.twitter.com/NathanBLawrence/status/994233075734233088", "994233075734233088")</f>
        <v/>
      </c>
      <c r="B1263" s="2" t="n">
        <v>43229.63207175926</v>
      </c>
      <c r="C1263" t="n">
        <v>0</v>
      </c>
      <c r="D1263" t="n">
        <v>28</v>
      </c>
      <c r="E1263" t="s">
        <v>1266</v>
      </c>
      <c r="F1263">
        <f>HYPERLINK("http://pbs.twimg.com/media/Dcw4OenXUAANX_Q.jpg", "http://pbs.twimg.com/media/Dcw4OenXUAANX_Q.jpg")</f>
        <v/>
      </c>
      <c r="G1263" t="s"/>
      <c r="H1263" t="s"/>
      <c r="I1263" t="s"/>
      <c r="J1263" t="n">
        <v>0</v>
      </c>
      <c r="K1263" t="n">
        <v>0</v>
      </c>
      <c r="L1263" t="n">
        <v>1</v>
      </c>
      <c r="M1263" t="n">
        <v>0</v>
      </c>
    </row>
    <row r="1264" spans="1:13">
      <c r="A1264" s="1">
        <f>HYPERLINK("http://www.twitter.com/NathanBLawrence/status/994233057434484736", "994233057434484736")</f>
        <v/>
      </c>
      <c r="B1264" s="2" t="n">
        <v>43229.63202546296</v>
      </c>
      <c r="C1264" t="n">
        <v>0</v>
      </c>
      <c r="D1264" t="n">
        <v>28</v>
      </c>
      <c r="E1264" t="s">
        <v>1267</v>
      </c>
      <c r="F1264">
        <f>HYPERLINK("http://pbs.twimg.com/media/Dcw4G0YWkAElw5h.jpg", "http://pbs.twimg.com/media/Dcw4G0YWkAElw5h.jpg")</f>
        <v/>
      </c>
      <c r="G1264" t="s"/>
      <c r="H1264" t="s"/>
      <c r="I1264" t="s"/>
      <c r="J1264" t="n">
        <v>0</v>
      </c>
      <c r="K1264" t="n">
        <v>0</v>
      </c>
      <c r="L1264" t="n">
        <v>1</v>
      </c>
      <c r="M1264" t="n">
        <v>0</v>
      </c>
    </row>
    <row r="1265" spans="1:13">
      <c r="A1265" s="1">
        <f>HYPERLINK("http://www.twitter.com/NathanBLawrence/status/994231401653440518", "994231401653440518")</f>
        <v/>
      </c>
      <c r="B1265" s="2" t="n">
        <v>43229.6274537037</v>
      </c>
      <c r="C1265" t="n">
        <v>0</v>
      </c>
      <c r="D1265" t="n">
        <v>2</v>
      </c>
      <c r="E1265" t="s">
        <v>1268</v>
      </c>
      <c r="F1265" t="s"/>
      <c r="G1265" t="s"/>
      <c r="H1265" t="s"/>
      <c r="I1265" t="s"/>
      <c r="J1265" t="n">
        <v>0.3612</v>
      </c>
      <c r="K1265" t="n">
        <v>0</v>
      </c>
      <c r="L1265" t="n">
        <v>0.857</v>
      </c>
      <c r="M1265" t="n">
        <v>0.143</v>
      </c>
    </row>
    <row r="1266" spans="1:13">
      <c r="A1266" s="1">
        <f>HYPERLINK("http://www.twitter.com/NathanBLawrence/status/994225771043540992", "994225771043540992")</f>
        <v/>
      </c>
      <c r="B1266" s="2" t="n">
        <v>43229.61192129629</v>
      </c>
      <c r="C1266" t="n">
        <v>0</v>
      </c>
      <c r="D1266" t="n">
        <v>5</v>
      </c>
      <c r="E1266" t="s">
        <v>1269</v>
      </c>
      <c r="F1266">
        <f>HYPERLINK("http://pbs.twimg.com/media/DcwiIbMX4Act8kW.jpg", "http://pbs.twimg.com/media/DcwiIbMX4Act8kW.jpg")</f>
        <v/>
      </c>
      <c r="G1266" t="s"/>
      <c r="H1266" t="s"/>
      <c r="I1266" t="s"/>
      <c r="J1266" t="n">
        <v>0</v>
      </c>
      <c r="K1266" t="n">
        <v>0</v>
      </c>
      <c r="L1266" t="n">
        <v>1</v>
      </c>
      <c r="M1266" t="n">
        <v>0</v>
      </c>
    </row>
    <row r="1267" spans="1:13">
      <c r="A1267" s="1">
        <f>HYPERLINK("http://www.twitter.com/NathanBLawrence/status/994225667536556033", "994225667536556033")</f>
        <v/>
      </c>
      <c r="B1267" s="2" t="n">
        <v>43229.61163194444</v>
      </c>
      <c r="C1267" t="n">
        <v>6</v>
      </c>
      <c r="D1267" t="n">
        <v>5</v>
      </c>
      <c r="E1267" t="s">
        <v>1270</v>
      </c>
      <c r="F1267" t="s"/>
      <c r="G1267" t="s"/>
      <c r="H1267" t="s"/>
      <c r="I1267" t="s"/>
      <c r="J1267" t="n">
        <v>0</v>
      </c>
      <c r="K1267" t="n">
        <v>0</v>
      </c>
      <c r="L1267" t="n">
        <v>1</v>
      </c>
      <c r="M1267" t="n">
        <v>0</v>
      </c>
    </row>
    <row r="1268" spans="1:13">
      <c r="A1268" s="1">
        <f>HYPERLINK("http://www.twitter.com/NathanBLawrence/status/994225216422404096", "994225216422404096")</f>
        <v/>
      </c>
      <c r="B1268" s="2" t="n">
        <v>43229.61039351852</v>
      </c>
      <c r="C1268" t="n">
        <v>3</v>
      </c>
      <c r="D1268" t="n">
        <v>1</v>
      </c>
      <c r="E1268" t="s">
        <v>1271</v>
      </c>
      <c r="F1268">
        <f>HYPERLINK("http://pbs.twimg.com/media/DcwykHaVwAAyJl2.jpg", "http://pbs.twimg.com/media/DcwykHaVwAAyJl2.jpg")</f>
        <v/>
      </c>
      <c r="G1268" t="s"/>
      <c r="H1268" t="s"/>
      <c r="I1268" t="s"/>
      <c r="J1268" t="n">
        <v>-0.2732</v>
      </c>
      <c r="K1268" t="n">
        <v>0.08400000000000001</v>
      </c>
      <c r="L1268" t="n">
        <v>0.916</v>
      </c>
      <c r="M1268" t="n">
        <v>0</v>
      </c>
    </row>
    <row r="1269" spans="1:13">
      <c r="A1269" s="1">
        <f>HYPERLINK("http://www.twitter.com/NathanBLawrence/status/994222745612365825", "994222745612365825")</f>
        <v/>
      </c>
      <c r="B1269" s="2" t="n">
        <v>43229.60356481482</v>
      </c>
      <c r="C1269" t="n">
        <v>0</v>
      </c>
      <c r="D1269" t="n">
        <v>0</v>
      </c>
      <c r="E1269" t="s">
        <v>1272</v>
      </c>
      <c r="F1269" t="s"/>
      <c r="G1269" t="s"/>
      <c r="H1269" t="s"/>
      <c r="I1269" t="s"/>
      <c r="J1269" t="n">
        <v>0.5095</v>
      </c>
      <c r="K1269" t="n">
        <v>0</v>
      </c>
      <c r="L1269" t="n">
        <v>0.477</v>
      </c>
      <c r="M1269" t="n">
        <v>0.523</v>
      </c>
    </row>
    <row r="1270" spans="1:13">
      <c r="A1270" s="1">
        <f>HYPERLINK("http://www.twitter.com/NathanBLawrence/status/994222645905448960", "994222645905448960")</f>
        <v/>
      </c>
      <c r="B1270" s="2" t="n">
        <v>43229.60329861111</v>
      </c>
      <c r="C1270" t="n">
        <v>3</v>
      </c>
      <c r="D1270" t="n">
        <v>0</v>
      </c>
      <c r="E1270" t="s">
        <v>1273</v>
      </c>
      <c r="F1270" t="s"/>
      <c r="G1270" t="s"/>
      <c r="H1270" t="s"/>
      <c r="I1270" t="s"/>
      <c r="J1270" t="n">
        <v>0.5719</v>
      </c>
      <c r="K1270" t="n">
        <v>0</v>
      </c>
      <c r="L1270" t="n">
        <v>0.748</v>
      </c>
      <c r="M1270" t="n">
        <v>0.252</v>
      </c>
    </row>
    <row r="1271" spans="1:13">
      <c r="A1271" s="1">
        <f>HYPERLINK("http://www.twitter.com/NathanBLawrence/status/994222512916529152", "994222512916529152")</f>
        <v/>
      </c>
      <c r="B1271" s="2" t="n">
        <v>43229.60292824074</v>
      </c>
      <c r="C1271" t="n">
        <v>0</v>
      </c>
      <c r="D1271" t="n">
        <v>1</v>
      </c>
      <c r="E1271" t="s">
        <v>1274</v>
      </c>
      <c r="F1271" t="s"/>
      <c r="G1271" t="s"/>
      <c r="H1271" t="s"/>
      <c r="I1271" t="s"/>
      <c r="J1271" t="n">
        <v>0</v>
      </c>
      <c r="K1271" t="n">
        <v>0</v>
      </c>
      <c r="L1271" t="n">
        <v>1</v>
      </c>
      <c r="M1271" t="n">
        <v>0</v>
      </c>
    </row>
    <row r="1272" spans="1:13">
      <c r="A1272" s="1">
        <f>HYPERLINK("http://www.twitter.com/NathanBLawrence/status/994197494740520960", "994197494740520960")</f>
        <v/>
      </c>
      <c r="B1272" s="2" t="n">
        <v>43229.53388888889</v>
      </c>
      <c r="C1272" t="n">
        <v>0</v>
      </c>
      <c r="D1272" t="n">
        <v>0</v>
      </c>
      <c r="E1272" t="s">
        <v>1275</v>
      </c>
      <c r="F1272" t="s"/>
      <c r="G1272" t="s"/>
      <c r="H1272" t="s"/>
      <c r="I1272" t="s"/>
      <c r="J1272" t="n">
        <v>0.7644</v>
      </c>
      <c r="K1272" t="n">
        <v>0</v>
      </c>
      <c r="L1272" t="n">
        <v>0.664</v>
      </c>
      <c r="M1272" t="n">
        <v>0.336</v>
      </c>
    </row>
    <row r="1273" spans="1:13">
      <c r="A1273" s="1">
        <f>HYPERLINK("http://www.twitter.com/NathanBLawrence/status/994076287139549185", "994076287139549185")</f>
        <v/>
      </c>
      <c r="B1273" s="2" t="n">
        <v>43229.1994212963</v>
      </c>
      <c r="C1273" t="n">
        <v>0</v>
      </c>
      <c r="D1273" t="n">
        <v>56</v>
      </c>
      <c r="E1273" t="s">
        <v>1276</v>
      </c>
      <c r="F1273">
        <f>HYPERLINK("http://pbs.twimg.com/media/Dco0QkQXkAAjiSa.jpg", "http://pbs.twimg.com/media/Dco0QkQXkAAjiSa.jpg")</f>
        <v/>
      </c>
      <c r="G1273" t="s"/>
      <c r="H1273" t="s"/>
      <c r="I1273" t="s"/>
      <c r="J1273" t="n">
        <v>0</v>
      </c>
      <c r="K1273" t="n">
        <v>0</v>
      </c>
      <c r="L1273" t="n">
        <v>1</v>
      </c>
      <c r="M1273" t="n">
        <v>0</v>
      </c>
    </row>
    <row r="1274" spans="1:13">
      <c r="A1274" s="1">
        <f>HYPERLINK("http://www.twitter.com/NathanBLawrence/status/994076272010645504", "994076272010645504")</f>
        <v/>
      </c>
      <c r="B1274" s="2" t="n">
        <v>43229.199375</v>
      </c>
      <c r="C1274" t="n">
        <v>0</v>
      </c>
      <c r="D1274" t="n">
        <v>51</v>
      </c>
      <c r="E1274" t="s">
        <v>1277</v>
      </c>
      <c r="F1274">
        <f>HYPERLINK("http://pbs.twimg.com/media/DctHDpWVQAAL-Dh.jpg", "http://pbs.twimg.com/media/DctHDpWVQAAL-Dh.jpg")</f>
        <v/>
      </c>
      <c r="G1274" t="s"/>
      <c r="H1274" t="s"/>
      <c r="I1274" t="s"/>
      <c r="J1274" t="n">
        <v>0</v>
      </c>
      <c r="K1274" t="n">
        <v>0</v>
      </c>
      <c r="L1274" t="n">
        <v>1</v>
      </c>
      <c r="M1274" t="n">
        <v>0</v>
      </c>
    </row>
    <row r="1275" spans="1:13">
      <c r="A1275" s="1">
        <f>HYPERLINK("http://www.twitter.com/NathanBLawrence/status/994050345394495488", "994050345394495488")</f>
        <v/>
      </c>
      <c r="B1275" s="2" t="n">
        <v>43229.12783564815</v>
      </c>
      <c r="C1275" t="n">
        <v>0</v>
      </c>
      <c r="D1275" t="n">
        <v>0</v>
      </c>
      <c r="E1275" t="s">
        <v>1278</v>
      </c>
      <c r="F1275" t="s"/>
      <c r="G1275" t="s"/>
      <c r="H1275" t="s"/>
      <c r="I1275" t="s"/>
      <c r="J1275" t="n">
        <v>0.4404</v>
      </c>
      <c r="K1275" t="n">
        <v>0</v>
      </c>
      <c r="L1275" t="n">
        <v>0.58</v>
      </c>
      <c r="M1275" t="n">
        <v>0.42</v>
      </c>
    </row>
    <row r="1276" spans="1:13">
      <c r="A1276" s="1">
        <f>HYPERLINK("http://www.twitter.com/NathanBLawrence/status/994032424614072321", "994032424614072321")</f>
        <v/>
      </c>
      <c r="B1276" s="2" t="n">
        <v>43229.07837962963</v>
      </c>
      <c r="C1276" t="n">
        <v>0</v>
      </c>
      <c r="D1276" t="n">
        <v>77</v>
      </c>
      <c r="E1276" t="s">
        <v>1279</v>
      </c>
      <c r="F1276" t="s"/>
      <c r="G1276" t="s"/>
      <c r="H1276" t="s"/>
      <c r="I1276" t="s"/>
      <c r="J1276" t="n">
        <v>0.1531</v>
      </c>
      <c r="K1276" t="n">
        <v>0.08799999999999999</v>
      </c>
      <c r="L1276" t="n">
        <v>0.802</v>
      </c>
      <c r="M1276" t="n">
        <v>0.111</v>
      </c>
    </row>
    <row r="1277" spans="1:13">
      <c r="A1277" s="1">
        <f>HYPERLINK("http://www.twitter.com/NathanBLawrence/status/993959858817896449", "993959858817896449")</f>
        <v/>
      </c>
      <c r="B1277" s="2" t="n">
        <v>43228.87813657407</v>
      </c>
      <c r="C1277" t="n">
        <v>0</v>
      </c>
      <c r="D1277" t="n">
        <v>3</v>
      </c>
      <c r="E1277" t="s">
        <v>1280</v>
      </c>
      <c r="F1277" t="s"/>
      <c r="G1277" t="s"/>
      <c r="H1277" t="s"/>
      <c r="I1277" t="s"/>
      <c r="J1277" t="n">
        <v>0.466</v>
      </c>
      <c r="K1277" t="n">
        <v>0</v>
      </c>
      <c r="L1277" t="n">
        <v>0.798</v>
      </c>
      <c r="M1277" t="n">
        <v>0.202</v>
      </c>
    </row>
    <row r="1278" spans="1:13">
      <c r="A1278" s="1">
        <f>HYPERLINK("http://www.twitter.com/NathanBLawrence/status/993939399917408256", "993939399917408256")</f>
        <v/>
      </c>
      <c r="B1278" s="2" t="n">
        <v>43228.82168981482</v>
      </c>
      <c r="C1278" t="n">
        <v>15</v>
      </c>
      <c r="D1278" t="n">
        <v>6</v>
      </c>
      <c r="E1278" t="s">
        <v>1281</v>
      </c>
      <c r="F1278" t="s"/>
      <c r="G1278" t="s"/>
      <c r="H1278" t="s"/>
      <c r="I1278" t="s"/>
      <c r="J1278" t="n">
        <v>0.3869</v>
      </c>
      <c r="K1278" t="n">
        <v>0</v>
      </c>
      <c r="L1278" t="n">
        <v>0.656</v>
      </c>
      <c r="M1278" t="n">
        <v>0.344</v>
      </c>
    </row>
    <row r="1279" spans="1:13">
      <c r="A1279" s="1">
        <f>HYPERLINK("http://www.twitter.com/NathanBLawrence/status/993936567860449280", "993936567860449280")</f>
        <v/>
      </c>
      <c r="B1279" s="2" t="n">
        <v>43228.81386574074</v>
      </c>
      <c r="C1279" t="n">
        <v>0</v>
      </c>
      <c r="D1279" t="n">
        <v>925</v>
      </c>
      <c r="E1279" t="s">
        <v>1282</v>
      </c>
      <c r="F1279">
        <f>HYPERLINK("http://pbs.twimg.com/media/Dcg-uZHU8AEdNLQ.jpg", "http://pbs.twimg.com/media/Dcg-uZHU8AEdNLQ.jpg")</f>
        <v/>
      </c>
      <c r="G1279" t="s"/>
      <c r="H1279" t="s"/>
      <c r="I1279" t="s"/>
      <c r="J1279" t="n">
        <v>-0.7184</v>
      </c>
      <c r="K1279" t="n">
        <v>0.24</v>
      </c>
      <c r="L1279" t="n">
        <v>0.76</v>
      </c>
      <c r="M1279" t="n">
        <v>0</v>
      </c>
    </row>
    <row r="1280" spans="1:13">
      <c r="A1280" s="1">
        <f>HYPERLINK("http://www.twitter.com/NathanBLawrence/status/993935714382475267", "993935714382475267")</f>
        <v/>
      </c>
      <c r="B1280" s="2" t="n">
        <v>43228.81151620371</v>
      </c>
      <c r="C1280" t="n">
        <v>0</v>
      </c>
      <c r="D1280" t="n">
        <v>2</v>
      </c>
      <c r="E1280" t="s">
        <v>1283</v>
      </c>
      <c r="F1280" t="s"/>
      <c r="G1280" t="s"/>
      <c r="H1280" t="s"/>
      <c r="I1280" t="s"/>
      <c r="J1280" t="n">
        <v>0.7003</v>
      </c>
      <c r="K1280" t="n">
        <v>0</v>
      </c>
      <c r="L1280" t="n">
        <v>0.714</v>
      </c>
      <c r="M1280" t="n">
        <v>0.286</v>
      </c>
    </row>
    <row r="1281" spans="1:13">
      <c r="A1281" s="1">
        <f>HYPERLINK("http://www.twitter.com/NathanBLawrence/status/993935633411342337", "993935633411342337")</f>
        <v/>
      </c>
      <c r="B1281" s="2" t="n">
        <v>43228.8112962963</v>
      </c>
      <c r="C1281" t="n">
        <v>0</v>
      </c>
      <c r="D1281" t="n">
        <v>9</v>
      </c>
      <c r="E1281" t="s">
        <v>1284</v>
      </c>
      <c r="F1281">
        <f>HYPERLINK("https://video.twimg.com/ext_tw_video/993848220856958978/pu/vid/1280x720/lyioytVpLizqtN2p.mp4?tag=3", "https://video.twimg.com/ext_tw_video/993848220856958978/pu/vid/1280x720/lyioytVpLizqtN2p.mp4?tag=3")</f>
        <v/>
      </c>
      <c r="G1281" t="s"/>
      <c r="H1281" t="s"/>
      <c r="I1281" t="s"/>
      <c r="J1281" t="n">
        <v>0</v>
      </c>
      <c r="K1281" t="n">
        <v>0</v>
      </c>
      <c r="L1281" t="n">
        <v>1</v>
      </c>
      <c r="M1281" t="n">
        <v>0</v>
      </c>
    </row>
    <row r="1282" spans="1:13">
      <c r="A1282" s="1">
        <f>HYPERLINK("http://www.twitter.com/NathanBLawrence/status/993876378004217856", "993876378004217856")</f>
        <v/>
      </c>
      <c r="B1282" s="2" t="n">
        <v>43228.64777777778</v>
      </c>
      <c r="C1282" t="n">
        <v>1</v>
      </c>
      <c r="D1282" t="n">
        <v>1</v>
      </c>
      <c r="E1282" t="s">
        <v>1285</v>
      </c>
      <c r="F1282">
        <f>HYPERLINK("http://pbs.twimg.com/media/Dcr1SuvVQAIyorU.jpg", "http://pbs.twimg.com/media/Dcr1SuvVQAIyorU.jpg")</f>
        <v/>
      </c>
      <c r="G1282" t="s"/>
      <c r="H1282" t="s"/>
      <c r="I1282" t="s"/>
      <c r="J1282" t="n">
        <v>0.2732</v>
      </c>
      <c r="K1282" t="n">
        <v>0</v>
      </c>
      <c r="L1282" t="n">
        <v>0.588</v>
      </c>
      <c r="M1282" t="n">
        <v>0.412</v>
      </c>
    </row>
    <row r="1283" spans="1:13">
      <c r="A1283" s="1">
        <f>HYPERLINK("http://www.twitter.com/NathanBLawrence/status/993876083006234630", "993876083006234630")</f>
        <v/>
      </c>
      <c r="B1283" s="2" t="n">
        <v>43228.64696759259</v>
      </c>
      <c r="C1283" t="n">
        <v>4</v>
      </c>
      <c r="D1283" t="n">
        <v>5</v>
      </c>
      <c r="E1283" t="s">
        <v>1286</v>
      </c>
      <c r="F1283" t="s"/>
      <c r="G1283" t="s"/>
      <c r="H1283" t="s"/>
      <c r="I1283" t="s"/>
      <c r="J1283" t="n">
        <v>0.4019</v>
      </c>
      <c r="K1283" t="n">
        <v>0</v>
      </c>
      <c r="L1283" t="n">
        <v>0.881</v>
      </c>
      <c r="M1283" t="n">
        <v>0.119</v>
      </c>
    </row>
    <row r="1284" spans="1:13">
      <c r="A1284" s="1">
        <f>HYPERLINK("http://www.twitter.com/NathanBLawrence/status/993865912737583105", "993865912737583105")</f>
        <v/>
      </c>
      <c r="B1284" s="2" t="n">
        <v>43228.61890046296</v>
      </c>
      <c r="C1284" t="n">
        <v>0</v>
      </c>
      <c r="D1284" t="n">
        <v>1</v>
      </c>
      <c r="E1284" t="s">
        <v>1287</v>
      </c>
      <c r="F1284" t="s"/>
      <c r="G1284" t="s"/>
      <c r="H1284" t="s"/>
      <c r="I1284" t="s"/>
      <c r="J1284" t="n">
        <v>0.153</v>
      </c>
      <c r="K1284" t="n">
        <v>0.08599999999999999</v>
      </c>
      <c r="L1284" t="n">
        <v>0.805</v>
      </c>
      <c r="M1284" t="n">
        <v>0.109</v>
      </c>
    </row>
    <row r="1285" spans="1:13">
      <c r="A1285" s="1">
        <f>HYPERLINK("http://www.twitter.com/NathanBLawrence/status/993865775457939456", "993865775457939456")</f>
        <v/>
      </c>
      <c r="B1285" s="2" t="n">
        <v>43228.61851851852</v>
      </c>
      <c r="C1285" t="n">
        <v>0</v>
      </c>
      <c r="D1285" t="n">
        <v>0</v>
      </c>
      <c r="E1285" t="s">
        <v>1288</v>
      </c>
      <c r="F1285" t="s"/>
      <c r="G1285" t="s"/>
      <c r="H1285" t="s"/>
      <c r="I1285" t="s"/>
      <c r="J1285" t="n">
        <v>-0.6808</v>
      </c>
      <c r="K1285" t="n">
        <v>0.452</v>
      </c>
      <c r="L1285" t="n">
        <v>0.548</v>
      </c>
      <c r="M1285" t="n">
        <v>0</v>
      </c>
    </row>
    <row r="1286" spans="1:13">
      <c r="A1286" s="1">
        <f>HYPERLINK("http://www.twitter.com/NathanBLawrence/status/993855780985061377", "993855780985061377")</f>
        <v/>
      </c>
      <c r="B1286" s="2" t="n">
        <v>43228.5909375</v>
      </c>
      <c r="C1286" t="n">
        <v>14</v>
      </c>
      <c r="D1286" t="n">
        <v>8</v>
      </c>
      <c r="E1286" t="s">
        <v>1289</v>
      </c>
      <c r="F1286" t="s"/>
      <c r="G1286" t="s"/>
      <c r="H1286" t="s"/>
      <c r="I1286" t="s"/>
      <c r="J1286" t="n">
        <v>0.3612</v>
      </c>
      <c r="K1286" t="n">
        <v>0</v>
      </c>
      <c r="L1286" t="n">
        <v>0.857</v>
      </c>
      <c r="M1286" t="n">
        <v>0.143</v>
      </c>
    </row>
    <row r="1287" spans="1:13">
      <c r="A1287" s="1">
        <f>HYPERLINK("http://www.twitter.com/NathanBLawrence/status/993849933022351362", "993849933022351362")</f>
        <v/>
      </c>
      <c r="B1287" s="2" t="n">
        <v>43228.57480324074</v>
      </c>
      <c r="C1287" t="n">
        <v>1</v>
      </c>
      <c r="D1287" t="n">
        <v>0</v>
      </c>
      <c r="E1287" t="s">
        <v>1290</v>
      </c>
      <c r="F1287" t="s"/>
      <c r="G1287" t="s"/>
      <c r="H1287" t="s"/>
      <c r="I1287" t="s"/>
      <c r="J1287" t="n">
        <v>0.168</v>
      </c>
      <c r="K1287" t="n">
        <v>0</v>
      </c>
      <c r="L1287" t="n">
        <v>0.9</v>
      </c>
      <c r="M1287" t="n">
        <v>0.1</v>
      </c>
    </row>
    <row r="1288" spans="1:13">
      <c r="A1288" s="1">
        <f>HYPERLINK("http://www.twitter.com/NathanBLawrence/status/993848298573369344", "993848298573369344")</f>
        <v/>
      </c>
      <c r="B1288" s="2" t="n">
        <v>43228.57028935185</v>
      </c>
      <c r="C1288" t="n">
        <v>9</v>
      </c>
      <c r="D1288" t="n">
        <v>9</v>
      </c>
      <c r="E1288" t="s">
        <v>1291</v>
      </c>
      <c r="F1288">
        <f>HYPERLINK("https://video.twimg.com/ext_tw_video/993848220856958978/pu/vid/1280x720/lyioytVpLizqtN2p.mp4?tag=3", "https://video.twimg.com/ext_tw_video/993848220856958978/pu/vid/1280x720/lyioytVpLizqtN2p.mp4?tag=3")</f>
        <v/>
      </c>
      <c r="G1288" t="s"/>
      <c r="H1288" t="s"/>
      <c r="I1288" t="s"/>
      <c r="J1288" t="n">
        <v>0</v>
      </c>
      <c r="K1288" t="n">
        <v>0</v>
      </c>
      <c r="L1288" t="n">
        <v>1</v>
      </c>
      <c r="M1288" t="n">
        <v>0</v>
      </c>
    </row>
    <row r="1289" spans="1:13">
      <c r="A1289" s="1">
        <f>HYPERLINK("http://www.twitter.com/NathanBLawrence/status/993825117645017089", "993825117645017089")</f>
        <v/>
      </c>
      <c r="B1289" s="2" t="n">
        <v>43228.50633101852</v>
      </c>
      <c r="C1289" t="n">
        <v>0</v>
      </c>
      <c r="D1289" t="n">
        <v>3</v>
      </c>
      <c r="E1289" t="s">
        <v>1292</v>
      </c>
      <c r="F1289" t="s"/>
      <c r="G1289" t="s"/>
      <c r="H1289" t="s"/>
      <c r="I1289" t="s"/>
      <c r="J1289" t="n">
        <v>0</v>
      </c>
      <c r="K1289" t="n">
        <v>0</v>
      </c>
      <c r="L1289" t="n">
        <v>1</v>
      </c>
      <c r="M1289" t="n">
        <v>0</v>
      </c>
    </row>
    <row r="1290" spans="1:13">
      <c r="A1290" s="1">
        <f>HYPERLINK("http://www.twitter.com/NathanBLawrence/status/993766420281425920", "993766420281425920")</f>
        <v/>
      </c>
      <c r="B1290" s="2" t="n">
        <v>43228.34435185185</v>
      </c>
      <c r="C1290" t="n">
        <v>0</v>
      </c>
      <c r="D1290" t="n">
        <v>18</v>
      </c>
      <c r="E1290" t="s">
        <v>1293</v>
      </c>
      <c r="F1290">
        <f>HYPERLINK("http://pbs.twimg.com/media/DcpQCsaW4AAqNSa.jpg", "http://pbs.twimg.com/media/DcpQCsaW4AAqNSa.jpg")</f>
        <v/>
      </c>
      <c r="G1290" t="s"/>
      <c r="H1290" t="s"/>
      <c r="I1290" t="s"/>
      <c r="J1290" t="n">
        <v>-0.34</v>
      </c>
      <c r="K1290" t="n">
        <v>0.13</v>
      </c>
      <c r="L1290" t="n">
        <v>0.87</v>
      </c>
      <c r="M1290" t="n">
        <v>0</v>
      </c>
    </row>
    <row r="1291" spans="1:13">
      <c r="A1291" s="1">
        <f>HYPERLINK("http://www.twitter.com/NathanBLawrence/status/993729638361976833", "993729638361976833")</f>
        <v/>
      </c>
      <c r="B1291" s="2" t="n">
        <v>43228.24285879629</v>
      </c>
      <c r="C1291" t="n">
        <v>0</v>
      </c>
      <c r="D1291" t="n">
        <v>35</v>
      </c>
      <c r="E1291" t="s">
        <v>1294</v>
      </c>
      <c r="F1291">
        <f>HYPERLINK("http://pbs.twimg.com/media/DcmZCu9VMAAGRZH.jpg", "http://pbs.twimg.com/media/DcmZCu9VMAAGRZH.jpg")</f>
        <v/>
      </c>
      <c r="G1291" t="s"/>
      <c r="H1291" t="s"/>
      <c r="I1291" t="s"/>
      <c r="J1291" t="n">
        <v>0.296</v>
      </c>
      <c r="K1291" t="n">
        <v>0.097</v>
      </c>
      <c r="L1291" t="n">
        <v>0.752</v>
      </c>
      <c r="M1291" t="n">
        <v>0.15</v>
      </c>
    </row>
    <row r="1292" spans="1:13">
      <c r="A1292" s="1">
        <f>HYPERLINK("http://www.twitter.com/NathanBLawrence/status/993708290419896320", "993708290419896320")</f>
        <v/>
      </c>
      <c r="B1292" s="2" t="n">
        <v>43228.18394675926</v>
      </c>
      <c r="C1292" t="n">
        <v>0</v>
      </c>
      <c r="D1292" t="n">
        <v>2</v>
      </c>
      <c r="E1292" t="s">
        <v>1295</v>
      </c>
      <c r="F1292" t="s"/>
      <c r="G1292" t="s"/>
      <c r="H1292" t="s"/>
      <c r="I1292" t="s"/>
      <c r="J1292" t="n">
        <v>0</v>
      </c>
      <c r="K1292" t="n">
        <v>0</v>
      </c>
      <c r="L1292" t="n">
        <v>1</v>
      </c>
      <c r="M1292" t="n">
        <v>0</v>
      </c>
    </row>
    <row r="1293" spans="1:13">
      <c r="A1293" s="1">
        <f>HYPERLINK("http://www.twitter.com/NathanBLawrence/status/993708186183110656", "993708186183110656")</f>
        <v/>
      </c>
      <c r="B1293" s="2" t="n">
        <v>43228.1836574074</v>
      </c>
      <c r="C1293" t="n">
        <v>0</v>
      </c>
      <c r="D1293" t="n">
        <v>20</v>
      </c>
      <c r="E1293" t="s">
        <v>1296</v>
      </c>
      <c r="F1293">
        <f>HYPERLINK("http://pbs.twimg.com/media/DcosbawU8AAx11e.jpg", "http://pbs.twimg.com/media/DcosbawU8AAx11e.jpg")</f>
        <v/>
      </c>
      <c r="G1293" t="s"/>
      <c r="H1293" t="s"/>
      <c r="I1293" t="s"/>
      <c r="J1293" t="n">
        <v>0</v>
      </c>
      <c r="K1293" t="n">
        <v>0</v>
      </c>
      <c r="L1293" t="n">
        <v>1</v>
      </c>
      <c r="M1293" t="n">
        <v>0</v>
      </c>
    </row>
    <row r="1294" spans="1:13">
      <c r="A1294" s="1">
        <f>HYPERLINK("http://www.twitter.com/NathanBLawrence/status/993659161534746624", "993659161534746624")</f>
        <v/>
      </c>
      <c r="B1294" s="2" t="n">
        <v>43228.04837962963</v>
      </c>
      <c r="C1294" t="n">
        <v>2</v>
      </c>
      <c r="D1294" t="n">
        <v>0</v>
      </c>
      <c r="E1294" t="s">
        <v>1297</v>
      </c>
      <c r="F1294" t="s"/>
      <c r="G1294" t="s"/>
      <c r="H1294" t="s"/>
      <c r="I1294" t="s"/>
      <c r="J1294" t="n">
        <v>0</v>
      </c>
      <c r="K1294" t="n">
        <v>0</v>
      </c>
      <c r="L1294" t="n">
        <v>1</v>
      </c>
      <c r="M1294" t="n">
        <v>0</v>
      </c>
    </row>
    <row r="1295" spans="1:13">
      <c r="A1295" s="1">
        <f>HYPERLINK("http://www.twitter.com/NathanBLawrence/status/993659001144569856", "993659001144569856")</f>
        <v/>
      </c>
      <c r="B1295" s="2" t="n">
        <v>43228.04792824074</v>
      </c>
      <c r="C1295" t="n">
        <v>0</v>
      </c>
      <c r="D1295" t="n">
        <v>47</v>
      </c>
      <c r="E1295" t="s">
        <v>1298</v>
      </c>
      <c r="F1295" t="s"/>
      <c r="G1295" t="s"/>
      <c r="H1295" t="s"/>
      <c r="I1295" t="s"/>
      <c r="J1295" t="n">
        <v>0.5886</v>
      </c>
      <c r="K1295" t="n">
        <v>0</v>
      </c>
      <c r="L1295" t="n">
        <v>0.775</v>
      </c>
      <c r="M1295" t="n">
        <v>0.225</v>
      </c>
    </row>
    <row r="1296" spans="1:13">
      <c r="A1296" s="1">
        <f>HYPERLINK("http://www.twitter.com/NathanBLawrence/status/993657825665716225", "993657825665716225")</f>
        <v/>
      </c>
      <c r="B1296" s="2" t="n">
        <v>43228.0446875</v>
      </c>
      <c r="C1296" t="n">
        <v>13</v>
      </c>
      <c r="D1296" t="n">
        <v>13</v>
      </c>
      <c r="E1296" t="s">
        <v>1299</v>
      </c>
      <c r="F1296" t="s"/>
      <c r="G1296" t="s"/>
      <c r="H1296" t="s"/>
      <c r="I1296" t="s"/>
      <c r="J1296" t="n">
        <v>-0.5574</v>
      </c>
      <c r="K1296" t="n">
        <v>0.101</v>
      </c>
      <c r="L1296" t="n">
        <v>0.899</v>
      </c>
      <c r="M1296" t="n">
        <v>0</v>
      </c>
    </row>
    <row r="1297" spans="1:13">
      <c r="A1297" s="1">
        <f>HYPERLINK("http://www.twitter.com/NathanBLawrence/status/993656163064479744", "993656163064479744")</f>
        <v/>
      </c>
      <c r="B1297" s="2" t="n">
        <v>43228.04010416667</v>
      </c>
      <c r="C1297" t="n">
        <v>0</v>
      </c>
      <c r="D1297" t="n">
        <v>213</v>
      </c>
      <c r="E1297" t="s">
        <v>1300</v>
      </c>
      <c r="F1297" t="s"/>
      <c r="G1297" t="s"/>
      <c r="H1297" t="s"/>
      <c r="I1297" t="s"/>
      <c r="J1297" t="n">
        <v>-0.8153</v>
      </c>
      <c r="K1297" t="n">
        <v>0.278</v>
      </c>
      <c r="L1297" t="n">
        <v>0.642</v>
      </c>
      <c r="M1297" t="n">
        <v>0.08</v>
      </c>
    </row>
    <row r="1298" spans="1:13">
      <c r="A1298" s="1">
        <f>HYPERLINK("http://www.twitter.com/NathanBLawrence/status/993655522653102081", "993655522653102081")</f>
        <v/>
      </c>
      <c r="B1298" s="2" t="n">
        <v>43228.03833333333</v>
      </c>
      <c r="C1298" t="n">
        <v>20</v>
      </c>
      <c r="D1298" t="n">
        <v>20</v>
      </c>
      <c r="E1298" t="s">
        <v>1301</v>
      </c>
      <c r="F1298">
        <f>HYPERLINK("http://pbs.twimg.com/media/DcosbawU8AAx11e.jpg", "http://pbs.twimg.com/media/DcosbawU8AAx11e.jpg")</f>
        <v/>
      </c>
      <c r="G1298" t="s"/>
      <c r="H1298" t="s"/>
      <c r="I1298" t="s"/>
      <c r="J1298" t="n">
        <v>0</v>
      </c>
      <c r="K1298" t="n">
        <v>0</v>
      </c>
      <c r="L1298" t="n">
        <v>1</v>
      </c>
      <c r="M1298" t="n">
        <v>0</v>
      </c>
    </row>
    <row r="1299" spans="1:13">
      <c r="A1299" s="1">
        <f>HYPERLINK("http://www.twitter.com/NathanBLawrence/status/993655500763025408", "993655500763025408")</f>
        <v/>
      </c>
      <c r="B1299" s="2" t="n">
        <v>43228.03827546296</v>
      </c>
      <c r="C1299" t="n">
        <v>14</v>
      </c>
      <c r="D1299" t="n">
        <v>16</v>
      </c>
      <c r="E1299" t="s">
        <v>1302</v>
      </c>
      <c r="F1299" t="s"/>
      <c r="G1299" t="s"/>
      <c r="H1299" t="s"/>
      <c r="I1299" t="s"/>
      <c r="J1299" t="n">
        <v>0</v>
      </c>
      <c r="K1299" t="n">
        <v>0</v>
      </c>
      <c r="L1299" t="n">
        <v>1</v>
      </c>
      <c r="M1299" t="n">
        <v>0</v>
      </c>
    </row>
    <row r="1300" spans="1:13">
      <c r="A1300" s="1">
        <f>HYPERLINK("http://www.twitter.com/NathanBLawrence/status/993634008847343616", "993634008847343616")</f>
        <v/>
      </c>
      <c r="B1300" s="2" t="n">
        <v>43227.97896990741</v>
      </c>
      <c r="C1300" t="n">
        <v>0</v>
      </c>
      <c r="D1300" t="n">
        <v>13242</v>
      </c>
      <c r="E1300" t="s">
        <v>1303</v>
      </c>
      <c r="F1300" t="s"/>
      <c r="G1300" t="s"/>
      <c r="H1300" t="s"/>
      <c r="I1300" t="s"/>
      <c r="J1300" t="n">
        <v>0</v>
      </c>
      <c r="K1300" t="n">
        <v>0</v>
      </c>
      <c r="L1300" t="n">
        <v>1</v>
      </c>
      <c r="M1300" t="n">
        <v>0</v>
      </c>
    </row>
    <row r="1301" spans="1:13">
      <c r="A1301" s="1">
        <f>HYPERLINK("http://www.twitter.com/NathanBLawrence/status/993609500866248705", "993609500866248705")</f>
        <v/>
      </c>
      <c r="B1301" s="2" t="n">
        <v>43227.91134259259</v>
      </c>
      <c r="C1301" t="n">
        <v>0</v>
      </c>
      <c r="D1301" t="n">
        <v>7</v>
      </c>
      <c r="E1301" t="s">
        <v>1304</v>
      </c>
      <c r="F1301">
        <f>HYPERLINK("http://pbs.twimg.com/media/Dcnn7iiXkAAqp2v.jpg", "http://pbs.twimg.com/media/Dcnn7iiXkAAqp2v.jpg")</f>
        <v/>
      </c>
      <c r="G1301">
        <f>HYPERLINK("http://pbs.twimg.com/media/Dcnn7ieXcAAQWAM.jpg", "http://pbs.twimg.com/media/Dcnn7ieXcAAQWAM.jpg")</f>
        <v/>
      </c>
      <c r="H1301">
        <f>HYPERLINK("http://pbs.twimg.com/media/Dcnn7iqW4AYCHAQ.jpg", "http://pbs.twimg.com/media/Dcnn7iqW4AYCHAQ.jpg")</f>
        <v/>
      </c>
      <c r="I1301">
        <f>HYPERLINK("http://pbs.twimg.com/media/Dcnn7i3WsAAe-pK.jpg", "http://pbs.twimg.com/media/Dcnn7i3WsAAe-pK.jpg")</f>
        <v/>
      </c>
      <c r="J1301" t="n">
        <v>0.08359999999999999</v>
      </c>
      <c r="K1301" t="n">
        <v>0.136</v>
      </c>
      <c r="L1301" t="n">
        <v>0.709</v>
      </c>
      <c r="M1301" t="n">
        <v>0.154</v>
      </c>
    </row>
    <row r="1302" spans="1:13">
      <c r="A1302" s="1">
        <f>HYPERLINK("http://www.twitter.com/NathanBLawrence/status/993602123232358400", "993602123232358400")</f>
        <v/>
      </c>
      <c r="B1302" s="2" t="n">
        <v>43227.89098379629</v>
      </c>
      <c r="C1302" t="n">
        <v>4</v>
      </c>
      <c r="D1302" t="n">
        <v>1</v>
      </c>
      <c r="E1302" t="s">
        <v>1305</v>
      </c>
      <c r="F1302" t="s"/>
      <c r="G1302" t="s"/>
      <c r="H1302" t="s"/>
      <c r="I1302" t="s"/>
      <c r="J1302" t="n">
        <v>0.4588</v>
      </c>
      <c r="K1302" t="n">
        <v>0</v>
      </c>
      <c r="L1302" t="n">
        <v>0.914</v>
      </c>
      <c r="M1302" t="n">
        <v>0.08599999999999999</v>
      </c>
    </row>
    <row r="1303" spans="1:13">
      <c r="A1303" s="1">
        <f>HYPERLINK("http://www.twitter.com/NathanBLawrence/status/993572414951915522", "993572414951915522")</f>
        <v/>
      </c>
      <c r="B1303" s="2" t="n">
        <v>43227.80900462963</v>
      </c>
      <c r="C1303" t="n">
        <v>0</v>
      </c>
      <c r="D1303" t="n">
        <v>3</v>
      </c>
      <c r="E1303" t="s">
        <v>1306</v>
      </c>
      <c r="F1303">
        <f>HYPERLINK("http://pbs.twimg.com/media/DcnZ2kPU0AAtdZi.jpg", "http://pbs.twimg.com/media/DcnZ2kPU0AAtdZi.jpg")</f>
        <v/>
      </c>
      <c r="G1303" t="s"/>
      <c r="H1303" t="s"/>
      <c r="I1303" t="s"/>
      <c r="J1303" t="n">
        <v>0</v>
      </c>
      <c r="K1303" t="n">
        <v>0</v>
      </c>
      <c r="L1303" t="n">
        <v>1</v>
      </c>
      <c r="M1303" t="n">
        <v>0</v>
      </c>
    </row>
    <row r="1304" spans="1:13">
      <c r="A1304" s="1">
        <f>HYPERLINK("http://www.twitter.com/NathanBLawrence/status/993572367929675777", "993572367929675777")</f>
        <v/>
      </c>
      <c r="B1304" s="2" t="n">
        <v>43227.80886574074</v>
      </c>
      <c r="C1304" t="n">
        <v>0</v>
      </c>
      <c r="D1304" t="n">
        <v>3</v>
      </c>
      <c r="E1304" t="s">
        <v>1307</v>
      </c>
      <c r="F1304">
        <f>HYPERLINK("http://pbs.twimg.com/media/DcnZ1xuV4AA5KaD.jpg", "http://pbs.twimg.com/media/DcnZ1xuV4AA5KaD.jpg")</f>
        <v/>
      </c>
      <c r="G1304" t="s"/>
      <c r="H1304" t="s"/>
      <c r="I1304" t="s"/>
      <c r="J1304" t="n">
        <v>0</v>
      </c>
      <c r="K1304" t="n">
        <v>0</v>
      </c>
      <c r="L1304" t="n">
        <v>1</v>
      </c>
      <c r="M1304" t="n">
        <v>0</v>
      </c>
    </row>
    <row r="1305" spans="1:13">
      <c r="A1305" s="1">
        <f>HYPERLINK("http://www.twitter.com/NathanBLawrence/status/993564730576039937", "993564730576039937")</f>
        <v/>
      </c>
      <c r="B1305" s="2" t="n">
        <v>43227.78778935185</v>
      </c>
      <c r="C1305" t="n">
        <v>1</v>
      </c>
      <c r="D1305" t="n">
        <v>3</v>
      </c>
      <c r="E1305" t="s">
        <v>1308</v>
      </c>
      <c r="F1305">
        <f>HYPERLINK("http://pbs.twimg.com/media/DcnZ2kPU0AAtdZi.jpg", "http://pbs.twimg.com/media/DcnZ2kPU0AAtdZi.jpg")</f>
        <v/>
      </c>
      <c r="G1305" t="s"/>
      <c r="H1305" t="s"/>
      <c r="I1305" t="s"/>
      <c r="J1305" t="n">
        <v>0</v>
      </c>
      <c r="K1305" t="n">
        <v>0</v>
      </c>
      <c r="L1305" t="n">
        <v>1</v>
      </c>
      <c r="M1305" t="n">
        <v>0</v>
      </c>
    </row>
    <row r="1306" spans="1:13">
      <c r="A1306" s="1">
        <f>HYPERLINK("http://www.twitter.com/NathanBLawrence/status/993564720648114182", "993564720648114182")</f>
        <v/>
      </c>
      <c r="B1306" s="2" t="n">
        <v>43227.78776620371</v>
      </c>
      <c r="C1306" t="n">
        <v>1</v>
      </c>
      <c r="D1306" t="n">
        <v>3</v>
      </c>
      <c r="E1306" t="s">
        <v>1309</v>
      </c>
      <c r="F1306">
        <f>HYPERLINK("http://pbs.twimg.com/media/DcnZ1xuV4AA5KaD.jpg", "http://pbs.twimg.com/media/DcnZ1xuV4AA5KaD.jpg")</f>
        <v/>
      </c>
      <c r="G1306" t="s"/>
      <c r="H1306" t="s"/>
      <c r="I1306" t="s"/>
      <c r="J1306" t="n">
        <v>0</v>
      </c>
      <c r="K1306" t="n">
        <v>0</v>
      </c>
      <c r="L1306" t="n">
        <v>1</v>
      </c>
      <c r="M1306" t="n">
        <v>0</v>
      </c>
    </row>
    <row r="1307" spans="1:13">
      <c r="A1307" s="1">
        <f>HYPERLINK("http://www.twitter.com/NathanBLawrence/status/993563857451999233", "993563857451999233")</f>
        <v/>
      </c>
      <c r="B1307" s="2" t="n">
        <v>43227.78538194444</v>
      </c>
      <c r="C1307" t="n">
        <v>0</v>
      </c>
      <c r="D1307" t="n">
        <v>134</v>
      </c>
      <c r="E1307" t="s">
        <v>1310</v>
      </c>
      <c r="F1307" t="s"/>
      <c r="G1307" t="s"/>
      <c r="H1307" t="s"/>
      <c r="I1307" t="s"/>
      <c r="J1307" t="n">
        <v>0.516</v>
      </c>
      <c r="K1307" t="n">
        <v>0</v>
      </c>
      <c r="L1307" t="n">
        <v>0.796</v>
      </c>
      <c r="M1307" t="n">
        <v>0.204</v>
      </c>
    </row>
    <row r="1308" spans="1:13">
      <c r="A1308" s="1">
        <f>HYPERLINK("http://www.twitter.com/NathanBLawrence/status/993513218399141888", "993513218399141888")</f>
        <v/>
      </c>
      <c r="B1308" s="2" t="n">
        <v>43227.64564814815</v>
      </c>
      <c r="C1308" t="n">
        <v>1</v>
      </c>
      <c r="D1308" t="n">
        <v>0</v>
      </c>
      <c r="E1308" t="s">
        <v>1311</v>
      </c>
      <c r="F1308" t="s"/>
      <c r="G1308" t="s"/>
      <c r="H1308" t="s"/>
      <c r="I1308" t="s"/>
      <c r="J1308" t="n">
        <v>0</v>
      </c>
      <c r="K1308" t="n">
        <v>0</v>
      </c>
      <c r="L1308" t="n">
        <v>1</v>
      </c>
      <c r="M1308" t="n">
        <v>0</v>
      </c>
    </row>
    <row r="1309" spans="1:13">
      <c r="A1309" s="1">
        <f>HYPERLINK("http://www.twitter.com/NathanBLawrence/status/993512620589187074", "993512620589187074")</f>
        <v/>
      </c>
      <c r="B1309" s="2" t="n">
        <v>43227.64399305556</v>
      </c>
      <c r="C1309" t="n">
        <v>0</v>
      </c>
      <c r="D1309" t="n">
        <v>934</v>
      </c>
      <c r="E1309" t="s">
        <v>1312</v>
      </c>
      <c r="F1309">
        <f>HYPERLINK("https://video.twimg.com/amplify_video/993502911496830979/vid/1280x720/fmx4v9AUSfv23f9a.mp4?tag=2", "https://video.twimg.com/amplify_video/993502911496830979/vid/1280x720/fmx4v9AUSfv23f9a.mp4?tag=2")</f>
        <v/>
      </c>
      <c r="G1309" t="s"/>
      <c r="H1309" t="s"/>
      <c r="I1309" t="s"/>
      <c r="J1309" t="n">
        <v>0.7906</v>
      </c>
      <c r="K1309" t="n">
        <v>0</v>
      </c>
      <c r="L1309" t="n">
        <v>0.696</v>
      </c>
      <c r="M1309" t="n">
        <v>0.304</v>
      </c>
    </row>
    <row r="1310" spans="1:13">
      <c r="A1310" s="1">
        <f>HYPERLINK("http://www.twitter.com/NathanBLawrence/status/993512537789554688", "993512537789554688")</f>
        <v/>
      </c>
      <c r="B1310" s="2" t="n">
        <v>43227.64377314815</v>
      </c>
      <c r="C1310" t="n">
        <v>0</v>
      </c>
      <c r="D1310" t="n">
        <v>90</v>
      </c>
      <c r="E1310" t="s">
        <v>1313</v>
      </c>
      <c r="F1310" t="s"/>
      <c r="G1310" t="s"/>
      <c r="H1310" t="s"/>
      <c r="I1310" t="s"/>
      <c r="J1310" t="n">
        <v>-0.5228</v>
      </c>
      <c r="K1310" t="n">
        <v>0.16</v>
      </c>
      <c r="L1310" t="n">
        <v>0.84</v>
      </c>
      <c r="M1310" t="n">
        <v>0</v>
      </c>
    </row>
    <row r="1311" spans="1:13">
      <c r="A1311" s="1">
        <f>HYPERLINK("http://www.twitter.com/NathanBLawrence/status/993512306893082627", "993512306893082627")</f>
        <v/>
      </c>
      <c r="B1311" s="2" t="n">
        <v>43227.64313657407</v>
      </c>
      <c r="C1311" t="n">
        <v>0</v>
      </c>
      <c r="D1311" t="n">
        <v>1264</v>
      </c>
      <c r="E1311" t="s">
        <v>1314</v>
      </c>
      <c r="F1311" t="s"/>
      <c r="G1311" t="s"/>
      <c r="H1311" t="s"/>
      <c r="I1311" t="s"/>
      <c r="J1311" t="n">
        <v>-0.6155</v>
      </c>
      <c r="K1311" t="n">
        <v>0.228</v>
      </c>
      <c r="L1311" t="n">
        <v>0.772</v>
      </c>
      <c r="M1311" t="n">
        <v>0</v>
      </c>
    </row>
    <row r="1312" spans="1:13">
      <c r="A1312" s="1">
        <f>HYPERLINK("http://www.twitter.com/NathanBLawrence/status/993512237678694400", "993512237678694400")</f>
        <v/>
      </c>
      <c r="B1312" s="2" t="n">
        <v>43227.64293981482</v>
      </c>
      <c r="C1312" t="n">
        <v>3</v>
      </c>
      <c r="D1312" t="n">
        <v>2</v>
      </c>
      <c r="E1312" t="s">
        <v>1315</v>
      </c>
      <c r="F1312">
        <f>HYPERLINK("http://pbs.twimg.com/media/DcmqGtPU0AAr0Fm.jpg", "http://pbs.twimg.com/media/DcmqGtPU0AAr0Fm.jpg")</f>
        <v/>
      </c>
      <c r="G1312" t="s"/>
      <c r="H1312" t="s"/>
      <c r="I1312" t="s"/>
      <c r="J1312" t="n">
        <v>-0.296</v>
      </c>
      <c r="K1312" t="n">
        <v>0.062</v>
      </c>
      <c r="L1312" t="n">
        <v>0.9370000000000001</v>
      </c>
      <c r="M1312" t="n">
        <v>0</v>
      </c>
    </row>
    <row r="1313" spans="1:13">
      <c r="A1313" s="1">
        <f>HYPERLINK("http://www.twitter.com/NathanBLawrence/status/993505134238994432", "993505134238994432")</f>
        <v/>
      </c>
      <c r="B1313" s="2" t="n">
        <v>43227.62334490741</v>
      </c>
      <c r="C1313" t="n">
        <v>0</v>
      </c>
      <c r="D1313" t="n">
        <v>133</v>
      </c>
      <c r="E1313" t="s">
        <v>1316</v>
      </c>
      <c r="F1313" t="s"/>
      <c r="G1313" t="s"/>
      <c r="H1313" t="s"/>
      <c r="I1313" t="s"/>
      <c r="J1313" t="n">
        <v>0</v>
      </c>
      <c r="K1313" t="n">
        <v>0</v>
      </c>
      <c r="L1313" t="n">
        <v>1</v>
      </c>
      <c r="M1313" t="n">
        <v>0</v>
      </c>
    </row>
    <row r="1314" spans="1:13">
      <c r="A1314" s="1">
        <f>HYPERLINK("http://www.twitter.com/NathanBLawrence/status/993504939753312256", "993504939753312256")</f>
        <v/>
      </c>
      <c r="B1314" s="2" t="n">
        <v>43227.62280092593</v>
      </c>
      <c r="C1314" t="n">
        <v>0</v>
      </c>
      <c r="D1314" t="n">
        <v>3</v>
      </c>
      <c r="E1314" t="s">
        <v>1317</v>
      </c>
      <c r="F1314" t="s"/>
      <c r="G1314" t="s"/>
      <c r="H1314" t="s"/>
      <c r="I1314" t="s"/>
      <c r="J1314" t="n">
        <v>0.9169</v>
      </c>
      <c r="K1314" t="n">
        <v>0</v>
      </c>
      <c r="L1314" t="n">
        <v>0.573</v>
      </c>
      <c r="M1314" t="n">
        <v>0.427</v>
      </c>
    </row>
    <row r="1315" spans="1:13">
      <c r="A1315" s="1">
        <f>HYPERLINK("http://www.twitter.com/NathanBLawrence/status/993504768596340736", "993504768596340736")</f>
        <v/>
      </c>
      <c r="B1315" s="2" t="n">
        <v>43227.62232638889</v>
      </c>
      <c r="C1315" t="n">
        <v>0</v>
      </c>
      <c r="D1315" t="n">
        <v>465</v>
      </c>
      <c r="E1315" t="s">
        <v>1318</v>
      </c>
      <c r="F1315">
        <f>HYPERLINK("http://pbs.twimg.com/media/Dcg1xL_XkAALyEn.jpg", "http://pbs.twimg.com/media/Dcg1xL_XkAALyEn.jpg")</f>
        <v/>
      </c>
      <c r="G1315" t="s"/>
      <c r="H1315" t="s"/>
      <c r="I1315" t="s"/>
      <c r="J1315" t="n">
        <v>-0.2732</v>
      </c>
      <c r="K1315" t="n">
        <v>0.095</v>
      </c>
      <c r="L1315" t="n">
        <v>0.905</v>
      </c>
      <c r="M1315" t="n">
        <v>0</v>
      </c>
    </row>
    <row r="1316" spans="1:13">
      <c r="A1316" s="1">
        <f>HYPERLINK("http://www.twitter.com/NathanBLawrence/status/993504035750731776", "993504035750731776")</f>
        <v/>
      </c>
      <c r="B1316" s="2" t="n">
        <v>43227.6203125</v>
      </c>
      <c r="C1316" t="n">
        <v>0</v>
      </c>
      <c r="D1316" t="n">
        <v>3</v>
      </c>
      <c r="E1316" t="s">
        <v>1319</v>
      </c>
      <c r="F1316" t="s"/>
      <c r="G1316" t="s"/>
      <c r="H1316" t="s"/>
      <c r="I1316" t="s"/>
      <c r="J1316" t="n">
        <v>-0.296</v>
      </c>
      <c r="K1316" t="n">
        <v>0.08699999999999999</v>
      </c>
      <c r="L1316" t="n">
        <v>0.913</v>
      </c>
      <c r="M1316" t="n">
        <v>0</v>
      </c>
    </row>
    <row r="1317" spans="1:13">
      <c r="A1317" s="1">
        <f>HYPERLINK("http://www.twitter.com/NathanBLawrence/status/993498700294098944", "993498700294098944")</f>
        <v/>
      </c>
      <c r="B1317" s="2" t="n">
        <v>43227.60559027778</v>
      </c>
      <c r="C1317" t="n">
        <v>0</v>
      </c>
      <c r="D1317" t="n">
        <v>1</v>
      </c>
      <c r="E1317" t="s">
        <v>1320</v>
      </c>
      <c r="F1317" t="s"/>
      <c r="G1317" t="s"/>
      <c r="H1317" t="s"/>
      <c r="I1317" t="s"/>
      <c r="J1317" t="n">
        <v>0</v>
      </c>
      <c r="K1317" t="n">
        <v>0</v>
      </c>
      <c r="L1317" t="n">
        <v>1</v>
      </c>
      <c r="M1317" t="n">
        <v>0</v>
      </c>
    </row>
    <row r="1318" spans="1:13">
      <c r="A1318" s="1">
        <f>HYPERLINK("http://www.twitter.com/NathanBLawrence/status/993498567372353536", "993498567372353536")</f>
        <v/>
      </c>
      <c r="B1318" s="2" t="n">
        <v>43227.6052199074</v>
      </c>
      <c r="C1318" t="n">
        <v>0</v>
      </c>
      <c r="D1318" t="n">
        <v>3</v>
      </c>
      <c r="E1318" t="s">
        <v>1321</v>
      </c>
      <c r="F1318">
        <f>HYPERLINK("http://pbs.twimg.com/media/Dcmc_QQX4AA2Uao.jpg", "http://pbs.twimg.com/media/Dcmc_QQX4AA2Uao.jpg")</f>
        <v/>
      </c>
      <c r="G1318" t="s"/>
      <c r="H1318" t="s"/>
      <c r="I1318" t="s"/>
      <c r="J1318" t="n">
        <v>0</v>
      </c>
      <c r="K1318" t="n">
        <v>0</v>
      </c>
      <c r="L1318" t="n">
        <v>1</v>
      </c>
      <c r="M1318" t="n">
        <v>0</v>
      </c>
    </row>
    <row r="1319" spans="1:13">
      <c r="A1319" s="1">
        <f>HYPERLINK("http://www.twitter.com/NathanBLawrence/status/993495216018677760", "993495216018677760")</f>
        <v/>
      </c>
      <c r="B1319" s="2" t="n">
        <v>43227.59597222223</v>
      </c>
      <c r="C1319" t="n">
        <v>4</v>
      </c>
      <c r="D1319" t="n">
        <v>2</v>
      </c>
      <c r="E1319" t="s">
        <v>1322</v>
      </c>
      <c r="F1319">
        <f>HYPERLINK("http://pbs.twimg.com/media/Dcmaog_U0AATEnN.jpg", "http://pbs.twimg.com/media/Dcmaog_U0AATEnN.jpg")</f>
        <v/>
      </c>
      <c r="G1319" t="s"/>
      <c r="H1319" t="s"/>
      <c r="I1319" t="s"/>
      <c r="J1319" t="n">
        <v>0</v>
      </c>
      <c r="K1319" t="n">
        <v>0</v>
      </c>
      <c r="L1319" t="n">
        <v>1</v>
      </c>
      <c r="M1319" t="n">
        <v>0</v>
      </c>
    </row>
    <row r="1320" spans="1:13">
      <c r="A1320" s="1">
        <f>HYPERLINK("http://www.twitter.com/NathanBLawrence/status/993494201844330496", "993494201844330496")</f>
        <v/>
      </c>
      <c r="B1320" s="2" t="n">
        <v>43227.5931712963</v>
      </c>
      <c r="C1320" t="n">
        <v>0</v>
      </c>
      <c r="D1320" t="n">
        <v>1</v>
      </c>
      <c r="E1320" t="s">
        <v>1323</v>
      </c>
      <c r="F1320" t="s"/>
      <c r="G1320" t="s"/>
      <c r="H1320" t="s"/>
      <c r="I1320" t="s"/>
      <c r="J1320" t="n">
        <v>-0.1779</v>
      </c>
      <c r="K1320" t="n">
        <v>0.195</v>
      </c>
      <c r="L1320" t="n">
        <v>0.805</v>
      </c>
      <c r="M1320" t="n">
        <v>0</v>
      </c>
    </row>
    <row r="1321" spans="1:13">
      <c r="A1321" s="1">
        <f>HYPERLINK("http://www.twitter.com/NathanBLawrence/status/993493981496528896", "993493981496528896")</f>
        <v/>
      </c>
      <c r="B1321" s="2" t="n">
        <v>43227.59256944444</v>
      </c>
      <c r="C1321" t="n">
        <v>0</v>
      </c>
      <c r="D1321" t="n">
        <v>9</v>
      </c>
      <c r="E1321" t="s">
        <v>1324</v>
      </c>
      <c r="F1321">
        <f>HYPERLINK("http://pbs.twimg.com/media/DbZ8KkNWAAUUP4L.jpg", "http://pbs.twimg.com/media/DbZ8KkNWAAUUP4L.jpg")</f>
        <v/>
      </c>
      <c r="G1321" t="s"/>
      <c r="H1321" t="s"/>
      <c r="I1321" t="s"/>
      <c r="J1321" t="n">
        <v>0</v>
      </c>
      <c r="K1321" t="n">
        <v>0</v>
      </c>
      <c r="L1321" t="n">
        <v>1</v>
      </c>
      <c r="M1321" t="n">
        <v>0</v>
      </c>
    </row>
    <row r="1322" spans="1:13">
      <c r="A1322" s="1">
        <f>HYPERLINK("http://www.twitter.com/NathanBLawrence/status/993493917394964482", "993493917394964482")</f>
        <v/>
      </c>
      <c r="B1322" s="2" t="n">
        <v>43227.59238425926</v>
      </c>
      <c r="C1322" t="n">
        <v>0</v>
      </c>
      <c r="D1322" t="n">
        <v>52</v>
      </c>
      <c r="E1322" t="s">
        <v>1325</v>
      </c>
      <c r="F1322">
        <f>HYPERLINK("http://pbs.twimg.com/media/DbOfIeWUMAI2Pjz.jpg", "http://pbs.twimg.com/media/DbOfIeWUMAI2Pjz.jpg")</f>
        <v/>
      </c>
      <c r="G1322" t="s"/>
      <c r="H1322" t="s"/>
      <c r="I1322" t="s"/>
      <c r="J1322" t="n">
        <v>0</v>
      </c>
      <c r="K1322" t="n">
        <v>0</v>
      </c>
      <c r="L1322" t="n">
        <v>1</v>
      </c>
      <c r="M1322" t="n">
        <v>0</v>
      </c>
    </row>
    <row r="1323" spans="1:13">
      <c r="A1323" s="1">
        <f>HYPERLINK("http://www.twitter.com/NathanBLawrence/status/993493901158821890", "993493901158821890")</f>
        <v/>
      </c>
      <c r="B1323" s="2" t="n">
        <v>43227.59233796296</v>
      </c>
      <c r="C1323" t="n">
        <v>0</v>
      </c>
      <c r="D1323" t="n">
        <v>128</v>
      </c>
      <c r="E1323" t="s">
        <v>1326</v>
      </c>
      <c r="F1323">
        <f>HYPERLINK("http://pbs.twimg.com/media/DbOeL6pUwAArUCZ.jpg", "http://pbs.twimg.com/media/DbOeL6pUwAArUCZ.jpg")</f>
        <v/>
      </c>
      <c r="G1323" t="s"/>
      <c r="H1323" t="s"/>
      <c r="I1323" t="s"/>
      <c r="J1323" t="n">
        <v>0.5610000000000001</v>
      </c>
      <c r="K1323" t="n">
        <v>0</v>
      </c>
      <c r="L1323" t="n">
        <v>0.824</v>
      </c>
      <c r="M1323" t="n">
        <v>0.176</v>
      </c>
    </row>
    <row r="1324" spans="1:13">
      <c r="A1324" s="1">
        <f>HYPERLINK("http://www.twitter.com/NathanBLawrence/status/993492383600926720", "993492383600926720")</f>
        <v/>
      </c>
      <c r="B1324" s="2" t="n">
        <v>43227.58815972223</v>
      </c>
      <c r="C1324" t="n">
        <v>0</v>
      </c>
      <c r="D1324" t="n">
        <v>10</v>
      </c>
      <c r="E1324" t="s">
        <v>1327</v>
      </c>
      <c r="F1324" t="s"/>
      <c r="G1324" t="s"/>
      <c r="H1324" t="s"/>
      <c r="I1324" t="s"/>
      <c r="J1324" t="n">
        <v>0.5423</v>
      </c>
      <c r="K1324" t="n">
        <v>0</v>
      </c>
      <c r="L1324" t="n">
        <v>0.769</v>
      </c>
      <c r="M1324" t="n">
        <v>0.231</v>
      </c>
    </row>
    <row r="1325" spans="1:13">
      <c r="A1325" s="1">
        <f>HYPERLINK("http://www.twitter.com/NathanBLawrence/status/993492295176671233", "993492295176671233")</f>
        <v/>
      </c>
      <c r="B1325" s="2" t="n">
        <v>43227.58791666666</v>
      </c>
      <c r="C1325" t="n">
        <v>2</v>
      </c>
      <c r="D1325" t="n">
        <v>0</v>
      </c>
      <c r="E1325" t="s">
        <v>1328</v>
      </c>
      <c r="F1325" t="s"/>
      <c r="G1325" t="s"/>
      <c r="H1325" t="s"/>
      <c r="I1325" t="s"/>
      <c r="J1325" t="n">
        <v>-0.6115</v>
      </c>
      <c r="K1325" t="n">
        <v>0.182</v>
      </c>
      <c r="L1325" t="n">
        <v>0.727</v>
      </c>
      <c r="M1325" t="n">
        <v>0.091</v>
      </c>
    </row>
    <row r="1326" spans="1:13">
      <c r="A1326" s="1">
        <f>HYPERLINK("http://www.twitter.com/NathanBLawrence/status/993490234405945344", "993490234405945344")</f>
        <v/>
      </c>
      <c r="B1326" s="2" t="n">
        <v>43227.58222222222</v>
      </c>
      <c r="C1326" t="n">
        <v>0</v>
      </c>
      <c r="D1326" t="n">
        <v>2</v>
      </c>
      <c r="E1326" t="s">
        <v>1329</v>
      </c>
      <c r="F1326" t="s"/>
      <c r="G1326" t="s"/>
      <c r="H1326" t="s"/>
      <c r="I1326" t="s"/>
      <c r="J1326" t="n">
        <v>0</v>
      </c>
      <c r="K1326" t="n">
        <v>0</v>
      </c>
      <c r="L1326" t="n">
        <v>1</v>
      </c>
      <c r="M1326" t="n">
        <v>0</v>
      </c>
    </row>
    <row r="1327" spans="1:13">
      <c r="A1327" s="1">
        <f>HYPERLINK("http://www.twitter.com/NathanBLawrence/status/993490134845870081", "993490134845870081")</f>
        <v/>
      </c>
      <c r="B1327" s="2" t="n">
        <v>43227.58194444444</v>
      </c>
      <c r="C1327" t="n">
        <v>5</v>
      </c>
      <c r="D1327" t="n">
        <v>2</v>
      </c>
      <c r="E1327" t="s">
        <v>1330</v>
      </c>
      <c r="F1327">
        <f>HYPERLINK("http://pbs.twimg.com/media/DcmWAKYVwAEc-Ol.jpg", "http://pbs.twimg.com/media/DcmWAKYVwAEc-Ol.jpg")</f>
        <v/>
      </c>
      <c r="G1327" t="s"/>
      <c r="H1327" t="s"/>
      <c r="I1327" t="s"/>
      <c r="J1327" t="n">
        <v>-0.8934</v>
      </c>
      <c r="K1327" t="n">
        <v>0.24</v>
      </c>
      <c r="L1327" t="n">
        <v>0.715</v>
      </c>
      <c r="M1327" t="n">
        <v>0.045</v>
      </c>
    </row>
    <row r="1328" spans="1:13">
      <c r="A1328" s="1">
        <f>HYPERLINK("http://www.twitter.com/NathanBLawrence/status/993486903549878273", "993486903549878273")</f>
        <v/>
      </c>
      <c r="B1328" s="2" t="n">
        <v>43227.57303240741</v>
      </c>
      <c r="C1328" t="n">
        <v>7</v>
      </c>
      <c r="D1328" t="n">
        <v>3</v>
      </c>
      <c r="E1328" t="s">
        <v>1331</v>
      </c>
      <c r="F1328" t="s"/>
      <c r="G1328" t="s"/>
      <c r="H1328" t="s"/>
      <c r="I1328" t="s"/>
      <c r="J1328" t="n">
        <v>0.4215</v>
      </c>
      <c r="K1328" t="n">
        <v>0</v>
      </c>
      <c r="L1328" t="n">
        <v>0.517</v>
      </c>
      <c r="M1328" t="n">
        <v>0.483</v>
      </c>
    </row>
    <row r="1329" spans="1:13">
      <c r="A1329" s="1">
        <f>HYPERLINK("http://www.twitter.com/NathanBLawrence/status/993486725912645634", "993486725912645634")</f>
        <v/>
      </c>
      <c r="B1329" s="2" t="n">
        <v>43227.57254629629</v>
      </c>
      <c r="C1329" t="n">
        <v>0</v>
      </c>
      <c r="D1329" t="n">
        <v>3759</v>
      </c>
      <c r="E1329" t="s">
        <v>1332</v>
      </c>
      <c r="F1329" t="s"/>
      <c r="G1329" t="s"/>
      <c r="H1329" t="s"/>
      <c r="I1329" t="s"/>
      <c r="J1329" t="n">
        <v>-0.8625</v>
      </c>
      <c r="K1329" t="n">
        <v>0.551</v>
      </c>
      <c r="L1329" t="n">
        <v>0.449</v>
      </c>
      <c r="M1329" t="n">
        <v>0</v>
      </c>
    </row>
    <row r="1330" spans="1:13">
      <c r="A1330" s="1">
        <f>HYPERLINK("http://www.twitter.com/NathanBLawrence/status/993486551110897665", "993486551110897665")</f>
        <v/>
      </c>
      <c r="B1330" s="2" t="n">
        <v>43227.57206018519</v>
      </c>
      <c r="C1330" t="n">
        <v>10</v>
      </c>
      <c r="D1330" t="n">
        <v>6</v>
      </c>
      <c r="E1330" t="s">
        <v>1333</v>
      </c>
      <c r="F1330" t="s"/>
      <c r="G1330" t="s"/>
      <c r="H1330" t="s"/>
      <c r="I1330" t="s"/>
      <c r="J1330" t="n">
        <v>0.4404</v>
      </c>
      <c r="K1330" t="n">
        <v>0</v>
      </c>
      <c r="L1330" t="n">
        <v>0.9</v>
      </c>
      <c r="M1330" t="n">
        <v>0.1</v>
      </c>
    </row>
    <row r="1331" spans="1:13">
      <c r="A1331" s="1">
        <f>HYPERLINK("http://www.twitter.com/NathanBLawrence/status/993486424203776001", "993486424203776001")</f>
        <v/>
      </c>
      <c r="B1331" s="2" t="n">
        <v>43227.57171296296</v>
      </c>
      <c r="C1331" t="n">
        <v>0</v>
      </c>
      <c r="D1331" t="n">
        <v>14</v>
      </c>
      <c r="E1331" t="s">
        <v>1334</v>
      </c>
      <c r="F1331" t="s"/>
      <c r="G1331" t="s"/>
      <c r="H1331" t="s"/>
      <c r="I1331" t="s"/>
      <c r="J1331" t="n">
        <v>0</v>
      </c>
      <c r="K1331" t="n">
        <v>0</v>
      </c>
      <c r="L1331" t="n">
        <v>1</v>
      </c>
      <c r="M1331" t="n">
        <v>0</v>
      </c>
    </row>
    <row r="1332" spans="1:13">
      <c r="A1332" s="1">
        <f>HYPERLINK("http://www.twitter.com/NathanBLawrence/status/993486315198050305", "993486315198050305")</f>
        <v/>
      </c>
      <c r="B1332" s="2" t="n">
        <v>43227.57141203704</v>
      </c>
      <c r="C1332" t="n">
        <v>0</v>
      </c>
      <c r="D1332" t="n">
        <v>5</v>
      </c>
      <c r="E1332" t="s">
        <v>1335</v>
      </c>
      <c r="F1332">
        <f>HYPERLINK("http://pbs.twimg.com/media/DcmSZOFVAAAAqHu.jpg", "http://pbs.twimg.com/media/DcmSZOFVAAAAqHu.jpg")</f>
        <v/>
      </c>
      <c r="G1332" t="s"/>
      <c r="H1332" t="s"/>
      <c r="I1332" t="s"/>
      <c r="J1332" t="n">
        <v>0.3182</v>
      </c>
      <c r="K1332" t="n">
        <v>0</v>
      </c>
      <c r="L1332" t="n">
        <v>0.881</v>
      </c>
      <c r="M1332" t="n">
        <v>0.119</v>
      </c>
    </row>
    <row r="1333" spans="1:13">
      <c r="A1333" s="1">
        <f>HYPERLINK("http://www.twitter.com/NathanBLawrence/status/993486270457352193", "993486270457352193")</f>
        <v/>
      </c>
      <c r="B1333" s="2" t="n">
        <v>43227.57128472222</v>
      </c>
      <c r="C1333" t="n">
        <v>0</v>
      </c>
      <c r="D1333" t="n">
        <v>0</v>
      </c>
      <c r="E1333" t="s">
        <v>1336</v>
      </c>
      <c r="F1333" t="s"/>
      <c r="G1333" t="s"/>
      <c r="H1333" t="s"/>
      <c r="I1333" t="s"/>
      <c r="J1333" t="n">
        <v>0</v>
      </c>
      <c r="K1333" t="n">
        <v>0</v>
      </c>
      <c r="L1333" t="n">
        <v>1</v>
      </c>
      <c r="M1333" t="n">
        <v>0</v>
      </c>
    </row>
    <row r="1334" spans="1:13">
      <c r="A1334" s="1">
        <f>HYPERLINK("http://www.twitter.com/NathanBLawrence/status/993486112596353025", "993486112596353025")</f>
        <v/>
      </c>
      <c r="B1334" s="2" t="n">
        <v>43227.57084490741</v>
      </c>
      <c r="C1334" t="n">
        <v>0</v>
      </c>
      <c r="D1334" t="n">
        <v>5</v>
      </c>
      <c r="E1334" t="s">
        <v>1337</v>
      </c>
      <c r="F1334">
        <f>HYPERLINK("http://pbs.twimg.com/media/DcmRoMeX4AAc0sP.jpg", "http://pbs.twimg.com/media/DcmRoMeX4AAc0sP.jpg")</f>
        <v/>
      </c>
      <c r="G1334" t="s"/>
      <c r="H1334" t="s"/>
      <c r="I1334" t="s"/>
      <c r="J1334" t="n">
        <v>0</v>
      </c>
      <c r="K1334" t="n">
        <v>0</v>
      </c>
      <c r="L1334" t="n">
        <v>1</v>
      </c>
      <c r="M1334" t="n">
        <v>0</v>
      </c>
    </row>
    <row r="1335" spans="1:13">
      <c r="A1335" s="1">
        <f>HYPERLINK("http://www.twitter.com/NathanBLawrence/status/993486080845414401", "993486080845414401")</f>
        <v/>
      </c>
      <c r="B1335" s="2" t="n">
        <v>43227.57076388889</v>
      </c>
      <c r="C1335" t="n">
        <v>0</v>
      </c>
      <c r="D1335" t="n">
        <v>5</v>
      </c>
      <c r="E1335" t="s">
        <v>1338</v>
      </c>
      <c r="F1335" t="s"/>
      <c r="G1335" t="s"/>
      <c r="H1335" t="s"/>
      <c r="I1335" t="s"/>
      <c r="J1335" t="n">
        <v>-0.8585</v>
      </c>
      <c r="K1335" t="n">
        <v>0.301</v>
      </c>
      <c r="L1335" t="n">
        <v>0.699</v>
      </c>
      <c r="M1335" t="n">
        <v>0</v>
      </c>
    </row>
    <row r="1336" spans="1:13">
      <c r="A1336" s="1">
        <f>HYPERLINK("http://www.twitter.com/NathanBLawrence/status/993485958053056512", "993485958053056512")</f>
        <v/>
      </c>
      <c r="B1336" s="2" t="n">
        <v>43227.57042824074</v>
      </c>
      <c r="C1336" t="n">
        <v>0</v>
      </c>
      <c r="D1336" t="n">
        <v>30</v>
      </c>
      <c r="E1336" t="s">
        <v>1339</v>
      </c>
      <c r="F1336">
        <f>HYPERLINK("http://pbs.twimg.com/media/DcmQ5BTVQAM3M2r.jpg", "http://pbs.twimg.com/media/DcmQ5BTVQAM3M2r.jpg")</f>
        <v/>
      </c>
      <c r="G1336" t="s"/>
      <c r="H1336" t="s"/>
      <c r="I1336" t="s"/>
      <c r="J1336" t="n">
        <v>0</v>
      </c>
      <c r="K1336" t="n">
        <v>0</v>
      </c>
      <c r="L1336" t="n">
        <v>1</v>
      </c>
      <c r="M1336" t="n">
        <v>0</v>
      </c>
    </row>
    <row r="1337" spans="1:13">
      <c r="A1337" s="1">
        <f>HYPERLINK("http://www.twitter.com/NathanBLawrence/status/993485830323924992", "993485830323924992")</f>
        <v/>
      </c>
      <c r="B1337" s="2" t="n">
        <v>43227.57006944445</v>
      </c>
      <c r="C1337" t="n">
        <v>0</v>
      </c>
      <c r="D1337" t="n">
        <v>3</v>
      </c>
      <c r="E1337" t="s">
        <v>1340</v>
      </c>
      <c r="F1337" t="s"/>
      <c r="G1337" t="s"/>
      <c r="H1337" t="s"/>
      <c r="I1337" t="s"/>
      <c r="J1337" t="n">
        <v>0</v>
      </c>
      <c r="K1337" t="n">
        <v>0</v>
      </c>
      <c r="L1337" t="n">
        <v>1</v>
      </c>
      <c r="M1337" t="n">
        <v>0</v>
      </c>
    </row>
    <row r="1338" spans="1:13">
      <c r="A1338" s="1">
        <f>HYPERLINK("http://www.twitter.com/NathanBLawrence/status/993485788917706752", "993485788917706752")</f>
        <v/>
      </c>
      <c r="B1338" s="2" t="n">
        <v>43227.56995370371</v>
      </c>
      <c r="C1338" t="n">
        <v>12</v>
      </c>
      <c r="D1338" t="n">
        <v>9</v>
      </c>
      <c r="E1338" t="s">
        <v>1341</v>
      </c>
      <c r="F1338" t="s"/>
      <c r="G1338" t="s"/>
      <c r="H1338" t="s"/>
      <c r="I1338" t="s"/>
      <c r="J1338" t="n">
        <v>0.4404</v>
      </c>
      <c r="K1338" t="n">
        <v>0</v>
      </c>
      <c r="L1338" t="n">
        <v>0.892</v>
      </c>
      <c r="M1338" t="n">
        <v>0.108</v>
      </c>
    </row>
    <row r="1339" spans="1:13">
      <c r="A1339" s="1">
        <f>HYPERLINK("http://www.twitter.com/NathanBLawrence/status/993485197487280128", "993485197487280128")</f>
        <v/>
      </c>
      <c r="B1339" s="2" t="n">
        <v>43227.56832175926</v>
      </c>
      <c r="C1339" t="n">
        <v>0</v>
      </c>
      <c r="D1339" t="n">
        <v>13</v>
      </c>
      <c r="E1339" t="s">
        <v>1342</v>
      </c>
      <c r="F1339" t="s"/>
      <c r="G1339" t="s"/>
      <c r="H1339" t="s"/>
      <c r="I1339" t="s"/>
      <c r="J1339" t="n">
        <v>0</v>
      </c>
      <c r="K1339" t="n">
        <v>0</v>
      </c>
      <c r="L1339" t="n">
        <v>1</v>
      </c>
      <c r="M1339" t="n">
        <v>0</v>
      </c>
    </row>
    <row r="1340" spans="1:13">
      <c r="A1340" s="1">
        <f>HYPERLINK("http://www.twitter.com/NathanBLawrence/status/993485044621697024", "993485044621697024")</f>
        <v/>
      </c>
      <c r="B1340" s="2" t="n">
        <v>43227.56790509259</v>
      </c>
      <c r="C1340" t="n">
        <v>0</v>
      </c>
      <c r="D1340" t="n">
        <v>4</v>
      </c>
      <c r="E1340" t="s">
        <v>1343</v>
      </c>
      <c r="F1340">
        <f>HYPERLINK("http://pbs.twimg.com/media/DcmROVdV0AAoBCa.jpg", "http://pbs.twimg.com/media/DcmROVdV0AAoBCa.jpg")</f>
        <v/>
      </c>
      <c r="G1340" t="s"/>
      <c r="H1340" t="s"/>
      <c r="I1340" t="s"/>
      <c r="J1340" t="n">
        <v>0</v>
      </c>
      <c r="K1340" t="n">
        <v>0</v>
      </c>
      <c r="L1340" t="n">
        <v>1</v>
      </c>
      <c r="M1340" t="n">
        <v>0</v>
      </c>
    </row>
    <row r="1341" spans="1:13">
      <c r="A1341" s="1">
        <f>HYPERLINK("http://www.twitter.com/NathanBLawrence/status/993484988392886273", "993484988392886273")</f>
        <v/>
      </c>
      <c r="B1341" s="2" t="n">
        <v>43227.56774305556</v>
      </c>
      <c r="C1341" t="n">
        <v>0</v>
      </c>
      <c r="D1341" t="n">
        <v>5</v>
      </c>
      <c r="E1341" t="s">
        <v>1344</v>
      </c>
      <c r="F1341" t="s"/>
      <c r="G1341" t="s"/>
      <c r="H1341" t="s"/>
      <c r="I1341" t="s"/>
      <c r="J1341" t="n">
        <v>0.4019</v>
      </c>
      <c r="K1341" t="n">
        <v>0</v>
      </c>
      <c r="L1341" t="n">
        <v>0.838</v>
      </c>
      <c r="M1341" t="n">
        <v>0.162</v>
      </c>
    </row>
    <row r="1342" spans="1:13">
      <c r="A1342" s="1">
        <f>HYPERLINK("http://www.twitter.com/NathanBLawrence/status/993484965047361537", "993484965047361537")</f>
        <v/>
      </c>
      <c r="B1342" s="2" t="n">
        <v>43227.56768518518</v>
      </c>
      <c r="C1342" t="n">
        <v>0</v>
      </c>
      <c r="D1342" t="n">
        <v>3</v>
      </c>
      <c r="E1342" t="s">
        <v>1345</v>
      </c>
      <c r="F1342" t="s"/>
      <c r="G1342" t="s"/>
      <c r="H1342" t="s"/>
      <c r="I1342" t="s"/>
      <c r="J1342" t="n">
        <v>0</v>
      </c>
      <c r="K1342" t="n">
        <v>0</v>
      </c>
      <c r="L1342" t="n">
        <v>1</v>
      </c>
      <c r="M1342" t="n">
        <v>0</v>
      </c>
    </row>
    <row r="1343" spans="1:13">
      <c r="A1343" s="1">
        <f>HYPERLINK("http://www.twitter.com/NathanBLawrence/status/993484877180887040", "993484877180887040")</f>
        <v/>
      </c>
      <c r="B1343" s="2" t="n">
        <v>43227.56744212963</v>
      </c>
      <c r="C1343" t="n">
        <v>3</v>
      </c>
      <c r="D1343" t="n">
        <v>4</v>
      </c>
      <c r="E1343" t="s">
        <v>1346</v>
      </c>
      <c r="F1343">
        <f>HYPERLINK("http://pbs.twimg.com/media/DcmROVdV0AAoBCa.jpg", "http://pbs.twimg.com/media/DcmROVdV0AAoBCa.jpg")</f>
        <v/>
      </c>
      <c r="G1343" t="s"/>
      <c r="H1343" t="s"/>
      <c r="I1343" t="s"/>
      <c r="J1343" t="n">
        <v>0.6124000000000001</v>
      </c>
      <c r="K1343" t="n">
        <v>0</v>
      </c>
      <c r="L1343" t="n">
        <v>0.872</v>
      </c>
      <c r="M1343" t="n">
        <v>0.128</v>
      </c>
    </row>
    <row r="1344" spans="1:13">
      <c r="A1344" s="1">
        <f>HYPERLINK("http://www.twitter.com/NathanBLawrence/status/993483012695363584", "993483012695363584")</f>
        <v/>
      </c>
      <c r="B1344" s="2" t="n">
        <v>43227.56229166667</v>
      </c>
      <c r="C1344" t="n">
        <v>0</v>
      </c>
      <c r="D1344" t="n">
        <v>2</v>
      </c>
      <c r="E1344" t="s">
        <v>1347</v>
      </c>
      <c r="F1344" t="s"/>
      <c r="G1344" t="s"/>
      <c r="H1344" t="s"/>
      <c r="I1344" t="s"/>
      <c r="J1344" t="n">
        <v>-0.4767</v>
      </c>
      <c r="K1344" t="n">
        <v>0.154</v>
      </c>
      <c r="L1344" t="n">
        <v>0.846</v>
      </c>
      <c r="M1344" t="n">
        <v>0</v>
      </c>
    </row>
    <row r="1345" spans="1:13">
      <c r="A1345" s="1">
        <f>HYPERLINK("http://www.twitter.com/NathanBLawrence/status/993482912044634112", "993482912044634112")</f>
        <v/>
      </c>
      <c r="B1345" s="2" t="n">
        <v>43227.56201388889</v>
      </c>
      <c r="C1345" t="n">
        <v>10</v>
      </c>
      <c r="D1345" t="n">
        <v>10</v>
      </c>
      <c r="E1345" t="s">
        <v>1348</v>
      </c>
      <c r="F1345" t="s"/>
      <c r="G1345" t="s"/>
      <c r="H1345" t="s"/>
      <c r="I1345" t="s"/>
      <c r="J1345" t="n">
        <v>0.5423</v>
      </c>
      <c r="K1345" t="n">
        <v>0</v>
      </c>
      <c r="L1345" t="n">
        <v>0.743</v>
      </c>
      <c r="M1345" t="n">
        <v>0.257</v>
      </c>
    </row>
    <row r="1346" spans="1:13">
      <c r="A1346" s="1">
        <f>HYPERLINK("http://www.twitter.com/NathanBLawrence/status/993482209750343680", "993482209750343680")</f>
        <v/>
      </c>
      <c r="B1346" s="2" t="n">
        <v>43227.56008101852</v>
      </c>
      <c r="C1346" t="n">
        <v>0</v>
      </c>
      <c r="D1346" t="n">
        <v>52</v>
      </c>
      <c r="E1346" t="s">
        <v>1349</v>
      </c>
      <c r="F1346" t="s"/>
      <c r="G1346" t="s"/>
      <c r="H1346" t="s"/>
      <c r="I1346" t="s"/>
      <c r="J1346" t="n">
        <v>0.1901</v>
      </c>
      <c r="K1346" t="n">
        <v>0</v>
      </c>
      <c r="L1346" t="n">
        <v>0.907</v>
      </c>
      <c r="M1346" t="n">
        <v>0.093</v>
      </c>
    </row>
    <row r="1347" spans="1:13">
      <c r="A1347" s="1">
        <f>HYPERLINK("http://www.twitter.com/NathanBLawrence/status/993482007278743552", "993482007278743552")</f>
        <v/>
      </c>
      <c r="B1347" s="2" t="n">
        <v>43227.55952546297</v>
      </c>
      <c r="C1347" t="n">
        <v>0</v>
      </c>
      <c r="D1347" t="n">
        <v>18</v>
      </c>
      <c r="E1347" t="s">
        <v>1350</v>
      </c>
      <c r="F1347" t="s"/>
      <c r="G1347" t="s"/>
      <c r="H1347" t="s"/>
      <c r="I1347" t="s"/>
      <c r="J1347" t="n">
        <v>0.5994</v>
      </c>
      <c r="K1347" t="n">
        <v>0</v>
      </c>
      <c r="L1347" t="n">
        <v>0.741</v>
      </c>
      <c r="M1347" t="n">
        <v>0.259</v>
      </c>
    </row>
    <row r="1348" spans="1:13">
      <c r="A1348" s="1">
        <f>HYPERLINK("http://www.twitter.com/NathanBLawrence/status/993481931907063808", "993481931907063808")</f>
        <v/>
      </c>
      <c r="B1348" s="2" t="n">
        <v>43227.55931712963</v>
      </c>
      <c r="C1348" t="n">
        <v>0</v>
      </c>
      <c r="D1348" t="n">
        <v>2</v>
      </c>
      <c r="E1348" t="s">
        <v>1351</v>
      </c>
      <c r="F1348" t="s"/>
      <c r="G1348" t="s"/>
      <c r="H1348" t="s"/>
      <c r="I1348" t="s"/>
      <c r="J1348" t="n">
        <v>0</v>
      </c>
      <c r="K1348" t="n">
        <v>0</v>
      </c>
      <c r="L1348" t="n">
        <v>1</v>
      </c>
      <c r="M1348" t="n">
        <v>0</v>
      </c>
    </row>
    <row r="1349" spans="1:13">
      <c r="A1349" s="1">
        <f>HYPERLINK("http://www.twitter.com/NathanBLawrence/status/993481913313656833", "993481913313656833")</f>
        <v/>
      </c>
      <c r="B1349" s="2" t="n">
        <v>43227.55925925926</v>
      </c>
      <c r="C1349" t="n">
        <v>0</v>
      </c>
      <c r="D1349" t="n">
        <v>2</v>
      </c>
      <c r="E1349" t="s">
        <v>1352</v>
      </c>
      <c r="F1349" t="s"/>
      <c r="G1349" t="s"/>
      <c r="H1349" t="s"/>
      <c r="I1349" t="s"/>
      <c r="J1349" t="n">
        <v>0.3291</v>
      </c>
      <c r="K1349" t="n">
        <v>0</v>
      </c>
      <c r="L1349" t="n">
        <v>0.8070000000000001</v>
      </c>
      <c r="M1349" t="n">
        <v>0.193</v>
      </c>
    </row>
    <row r="1350" spans="1:13">
      <c r="A1350" s="1">
        <f>HYPERLINK("http://www.twitter.com/NathanBLawrence/status/993481870154326021", "993481870154326021")</f>
        <v/>
      </c>
      <c r="B1350" s="2" t="n">
        <v>43227.55914351852</v>
      </c>
      <c r="C1350" t="n">
        <v>0</v>
      </c>
      <c r="D1350" t="n">
        <v>15</v>
      </c>
      <c r="E1350" t="s">
        <v>1353</v>
      </c>
      <c r="F1350">
        <f>HYPERLINK("http://pbs.twimg.com/media/DcmOLyEU0AAQLMG.jpg", "http://pbs.twimg.com/media/DcmOLyEU0AAQLMG.jpg")</f>
        <v/>
      </c>
      <c r="G1350" t="s"/>
      <c r="H1350" t="s"/>
      <c r="I1350" t="s"/>
      <c r="J1350" t="n">
        <v>0</v>
      </c>
      <c r="K1350" t="n">
        <v>0</v>
      </c>
      <c r="L1350" t="n">
        <v>1</v>
      </c>
      <c r="M1350" t="n">
        <v>0</v>
      </c>
    </row>
    <row r="1351" spans="1:13">
      <c r="A1351" s="1">
        <f>HYPERLINK("http://www.twitter.com/NathanBLawrence/status/993481627232866304", "993481627232866304")</f>
        <v/>
      </c>
      <c r="B1351" s="2" t="n">
        <v>43227.55847222222</v>
      </c>
      <c r="C1351" t="n">
        <v>0</v>
      </c>
      <c r="D1351" t="n">
        <v>3</v>
      </c>
      <c r="E1351" t="s">
        <v>1354</v>
      </c>
      <c r="F1351" t="s"/>
      <c r="G1351" t="s"/>
      <c r="H1351" t="s"/>
      <c r="I1351" t="s"/>
      <c r="J1351" t="n">
        <v>0</v>
      </c>
      <c r="K1351" t="n">
        <v>0</v>
      </c>
      <c r="L1351" t="n">
        <v>1</v>
      </c>
      <c r="M1351" t="n">
        <v>0</v>
      </c>
    </row>
    <row r="1352" spans="1:13">
      <c r="A1352" s="1">
        <f>HYPERLINK("http://www.twitter.com/NathanBLawrence/status/993481533473394695", "993481533473394695")</f>
        <v/>
      </c>
      <c r="B1352" s="2" t="n">
        <v>43227.5582175926</v>
      </c>
      <c r="C1352" t="n">
        <v>14</v>
      </c>
      <c r="D1352" t="n">
        <v>15</v>
      </c>
      <c r="E1352" t="s">
        <v>1355</v>
      </c>
      <c r="F1352">
        <f>HYPERLINK("http://pbs.twimg.com/media/DcmOLyEU0AAQLMG.jpg", "http://pbs.twimg.com/media/DcmOLyEU0AAQLMG.jpg")</f>
        <v/>
      </c>
      <c r="G1352" t="s"/>
      <c r="H1352" t="s"/>
      <c r="I1352" t="s"/>
      <c r="J1352" t="n">
        <v>0</v>
      </c>
      <c r="K1352" t="n">
        <v>0</v>
      </c>
      <c r="L1352" t="n">
        <v>1</v>
      </c>
      <c r="M1352" t="n">
        <v>0</v>
      </c>
    </row>
    <row r="1353" spans="1:13">
      <c r="A1353" s="1">
        <f>HYPERLINK("http://www.twitter.com/NathanBLawrence/status/993480126015959042", "993480126015959042")</f>
        <v/>
      </c>
      <c r="B1353" s="2" t="n">
        <v>43227.55432870371</v>
      </c>
      <c r="C1353" t="n">
        <v>0</v>
      </c>
      <c r="D1353" t="n">
        <v>15</v>
      </c>
      <c r="E1353" t="s">
        <v>1356</v>
      </c>
      <c r="F1353">
        <f>HYPERLINK("http://pbs.twimg.com/media/DcmLm5LU8AIr2bi.jpg", "http://pbs.twimg.com/media/DcmLm5LU8AIr2bi.jpg")</f>
        <v/>
      </c>
      <c r="G1353" t="s"/>
      <c r="H1353" t="s"/>
      <c r="I1353" t="s"/>
      <c r="J1353" t="n">
        <v>0.4648</v>
      </c>
      <c r="K1353" t="n">
        <v>0</v>
      </c>
      <c r="L1353" t="n">
        <v>0.879</v>
      </c>
      <c r="M1353" t="n">
        <v>0.121</v>
      </c>
    </row>
    <row r="1354" spans="1:13">
      <c r="A1354" s="1">
        <f>HYPERLINK("http://www.twitter.com/NathanBLawrence/status/993479887808811009", "993479887808811009")</f>
        <v/>
      </c>
      <c r="B1354" s="2" t="n">
        <v>43227.55366898148</v>
      </c>
      <c r="C1354" t="n">
        <v>31</v>
      </c>
      <c r="D1354" t="n">
        <v>18</v>
      </c>
      <c r="E1354" t="s">
        <v>1357</v>
      </c>
      <c r="F1354" t="s"/>
      <c r="G1354" t="s"/>
      <c r="H1354" t="s"/>
      <c r="I1354" t="s"/>
      <c r="J1354" t="n">
        <v>0.8201000000000001</v>
      </c>
      <c r="K1354" t="n">
        <v>0</v>
      </c>
      <c r="L1354" t="n">
        <v>0.764</v>
      </c>
      <c r="M1354" t="n">
        <v>0.236</v>
      </c>
    </row>
    <row r="1355" spans="1:13">
      <c r="A1355" s="1">
        <f>HYPERLINK("http://www.twitter.com/NathanBLawrence/status/993473768797372416", "993473768797372416")</f>
        <v/>
      </c>
      <c r="B1355" s="2" t="n">
        <v>43227.53678240741</v>
      </c>
      <c r="C1355" t="n">
        <v>0</v>
      </c>
      <c r="D1355" t="n">
        <v>2</v>
      </c>
      <c r="E1355" t="s">
        <v>1358</v>
      </c>
      <c r="F1355" t="s"/>
      <c r="G1355" t="s"/>
      <c r="H1355" t="s"/>
      <c r="I1355" t="s"/>
      <c r="J1355" t="n">
        <v>0</v>
      </c>
      <c r="K1355" t="n">
        <v>0</v>
      </c>
      <c r="L1355" t="n">
        <v>1</v>
      </c>
      <c r="M1355" t="n">
        <v>0</v>
      </c>
    </row>
    <row r="1356" spans="1:13">
      <c r="A1356" s="1">
        <f>HYPERLINK("http://www.twitter.com/NathanBLawrence/status/993473614916792320", "993473614916792320")</f>
        <v/>
      </c>
      <c r="B1356" s="2" t="n">
        <v>43227.53636574074</v>
      </c>
      <c r="C1356" t="n">
        <v>0</v>
      </c>
      <c r="D1356" t="n">
        <v>11142</v>
      </c>
      <c r="E1356" t="s">
        <v>1359</v>
      </c>
      <c r="F1356" t="s"/>
      <c r="G1356" t="s"/>
      <c r="H1356" t="s"/>
      <c r="I1356" t="s"/>
      <c r="J1356" t="n">
        <v>-0.5859</v>
      </c>
      <c r="K1356" t="n">
        <v>0.167</v>
      </c>
      <c r="L1356" t="n">
        <v>0.833</v>
      </c>
      <c r="M1356" t="n">
        <v>0</v>
      </c>
    </row>
    <row r="1357" spans="1:13">
      <c r="A1357" s="1">
        <f>HYPERLINK("http://www.twitter.com/NathanBLawrence/status/993472960219484161", "993472960219484161")</f>
        <v/>
      </c>
      <c r="B1357" s="2" t="n">
        <v>43227.53456018519</v>
      </c>
      <c r="C1357" t="n">
        <v>0</v>
      </c>
      <c r="D1357" t="n">
        <v>2</v>
      </c>
      <c r="E1357" t="s">
        <v>1360</v>
      </c>
      <c r="F1357" t="s"/>
      <c r="G1357" t="s"/>
      <c r="H1357" t="s"/>
      <c r="I1357" t="s"/>
      <c r="J1357" t="n">
        <v>0</v>
      </c>
      <c r="K1357" t="n">
        <v>0</v>
      </c>
      <c r="L1357" t="n">
        <v>1</v>
      </c>
      <c r="M1357" t="n">
        <v>0</v>
      </c>
    </row>
    <row r="1358" spans="1:13">
      <c r="A1358" s="1">
        <f>HYPERLINK("http://www.twitter.com/NathanBLawrence/status/993470832017051649", "993470832017051649")</f>
        <v/>
      </c>
      <c r="B1358" s="2" t="n">
        <v>43227.52868055556</v>
      </c>
      <c r="C1358" t="n">
        <v>0</v>
      </c>
      <c r="D1358" t="n">
        <v>5</v>
      </c>
      <c r="E1358" t="s">
        <v>1361</v>
      </c>
      <c r="F1358" t="s"/>
      <c r="G1358" t="s"/>
      <c r="H1358" t="s"/>
      <c r="I1358" t="s"/>
      <c r="J1358" t="n">
        <v>-0.5423</v>
      </c>
      <c r="K1358" t="n">
        <v>0.132</v>
      </c>
      <c r="L1358" t="n">
        <v>0.868</v>
      </c>
      <c r="M1358" t="n">
        <v>0</v>
      </c>
    </row>
    <row r="1359" spans="1:13">
      <c r="A1359" s="1">
        <f>HYPERLINK("http://www.twitter.com/NathanBLawrence/status/993342448385646592", "993342448385646592")</f>
        <v/>
      </c>
      <c r="B1359" s="2" t="n">
        <v>43227.17440972223</v>
      </c>
      <c r="C1359" t="n">
        <v>4</v>
      </c>
      <c r="D1359" t="n">
        <v>4</v>
      </c>
      <c r="E1359" t="s">
        <v>1362</v>
      </c>
      <c r="F1359" t="s"/>
      <c r="G1359" t="s"/>
      <c r="H1359" t="s"/>
      <c r="I1359" t="s"/>
      <c r="J1359" t="n">
        <v>-0.7003</v>
      </c>
      <c r="K1359" t="n">
        <v>0.266</v>
      </c>
      <c r="L1359" t="n">
        <v>0.734</v>
      </c>
      <c r="M1359" t="n">
        <v>0</v>
      </c>
    </row>
    <row r="1360" spans="1:13">
      <c r="A1360" s="1">
        <f>HYPERLINK("http://www.twitter.com/NathanBLawrence/status/993341875934384129", "993341875934384129")</f>
        <v/>
      </c>
      <c r="B1360" s="2" t="n">
        <v>43227.17283564815</v>
      </c>
      <c r="C1360" t="n">
        <v>0</v>
      </c>
      <c r="D1360" t="n">
        <v>7</v>
      </c>
      <c r="E1360" t="s">
        <v>1363</v>
      </c>
      <c r="F1360">
        <f>HYPERLINK("http://pbs.twimg.com/media/Dcj0t3aU0AEUWLk.jpg", "http://pbs.twimg.com/media/Dcj0t3aU0AEUWLk.jpg")</f>
        <v/>
      </c>
      <c r="G1360" t="s"/>
      <c r="H1360" t="s"/>
      <c r="I1360" t="s"/>
      <c r="J1360" t="n">
        <v>0.4019</v>
      </c>
      <c r="K1360" t="n">
        <v>0</v>
      </c>
      <c r="L1360" t="n">
        <v>0.856</v>
      </c>
      <c r="M1360" t="n">
        <v>0.144</v>
      </c>
    </row>
    <row r="1361" spans="1:13">
      <c r="A1361" s="1">
        <f>HYPERLINK("http://www.twitter.com/NathanBLawrence/status/993341583905959937", "993341583905959937")</f>
        <v/>
      </c>
      <c r="B1361" s="2" t="n">
        <v>43227.17202546296</v>
      </c>
      <c r="C1361" t="n">
        <v>3</v>
      </c>
      <c r="D1361" t="n">
        <v>0</v>
      </c>
      <c r="E1361" t="s">
        <v>1364</v>
      </c>
      <c r="F1361" t="s"/>
      <c r="G1361" t="s"/>
      <c r="H1361" t="s"/>
      <c r="I1361" t="s"/>
      <c r="J1361" t="n">
        <v>-0.6124000000000001</v>
      </c>
      <c r="K1361" t="n">
        <v>0.139</v>
      </c>
      <c r="L1361" t="n">
        <v>0.861</v>
      </c>
      <c r="M1361" t="n">
        <v>0</v>
      </c>
    </row>
    <row r="1362" spans="1:13">
      <c r="A1362" s="1">
        <f>HYPERLINK("http://www.twitter.com/NathanBLawrence/status/993334222042607616", "993334222042607616")</f>
        <v/>
      </c>
      <c r="B1362" s="2" t="n">
        <v>43227.15171296296</v>
      </c>
      <c r="C1362" t="n">
        <v>0</v>
      </c>
      <c r="D1362" t="n">
        <v>49</v>
      </c>
      <c r="E1362" t="s">
        <v>1365</v>
      </c>
      <c r="F1362" t="s"/>
      <c r="G1362" t="s"/>
      <c r="H1362" t="s"/>
      <c r="I1362" t="s"/>
      <c r="J1362" t="n">
        <v>0</v>
      </c>
      <c r="K1362" t="n">
        <v>0</v>
      </c>
      <c r="L1362" t="n">
        <v>1</v>
      </c>
      <c r="M1362" t="n">
        <v>0</v>
      </c>
    </row>
    <row r="1363" spans="1:13">
      <c r="A1363" s="1">
        <f>HYPERLINK("http://www.twitter.com/NathanBLawrence/status/993334191847886849", "993334191847886849")</f>
        <v/>
      </c>
      <c r="B1363" s="2" t="n">
        <v>43227.15163194444</v>
      </c>
      <c r="C1363" t="n">
        <v>0</v>
      </c>
      <c r="D1363" t="n">
        <v>66</v>
      </c>
      <c r="E1363" t="s">
        <v>1366</v>
      </c>
      <c r="F1363" t="s"/>
      <c r="G1363" t="s"/>
      <c r="H1363" t="s"/>
      <c r="I1363" t="s"/>
      <c r="J1363" t="n">
        <v>0</v>
      </c>
      <c r="K1363" t="n">
        <v>0</v>
      </c>
      <c r="L1363" t="n">
        <v>1</v>
      </c>
      <c r="M1363" t="n">
        <v>0</v>
      </c>
    </row>
    <row r="1364" spans="1:13">
      <c r="A1364" s="1">
        <f>HYPERLINK("http://www.twitter.com/NathanBLawrence/status/993333763345211392", "993333763345211392")</f>
        <v/>
      </c>
      <c r="B1364" s="2" t="n">
        <v>43227.15045138889</v>
      </c>
      <c r="C1364" t="n">
        <v>0</v>
      </c>
      <c r="D1364" t="n">
        <v>46</v>
      </c>
      <c r="E1364" t="s">
        <v>1367</v>
      </c>
      <c r="F1364" t="s"/>
      <c r="G1364" t="s"/>
      <c r="H1364" t="s"/>
      <c r="I1364" t="s"/>
      <c r="J1364" t="n">
        <v>0</v>
      </c>
      <c r="K1364" t="n">
        <v>0</v>
      </c>
      <c r="L1364" t="n">
        <v>1</v>
      </c>
      <c r="M1364" t="n">
        <v>0</v>
      </c>
    </row>
    <row r="1365" spans="1:13">
      <c r="A1365" s="1">
        <f>HYPERLINK("http://www.twitter.com/NathanBLawrence/status/993333402651844608", "993333402651844608")</f>
        <v/>
      </c>
      <c r="B1365" s="2" t="n">
        <v>43227.14945601852</v>
      </c>
      <c r="C1365" t="n">
        <v>0</v>
      </c>
      <c r="D1365" t="n">
        <v>1</v>
      </c>
      <c r="E1365" t="s">
        <v>1368</v>
      </c>
      <c r="F1365" t="s"/>
      <c r="G1365" t="s"/>
      <c r="H1365" t="s"/>
      <c r="I1365" t="s"/>
      <c r="J1365" t="n">
        <v>0</v>
      </c>
      <c r="K1365" t="n">
        <v>0</v>
      </c>
      <c r="L1365" t="n">
        <v>1</v>
      </c>
      <c r="M1365" t="n">
        <v>0</v>
      </c>
    </row>
    <row r="1366" spans="1:13">
      <c r="A1366" s="1">
        <f>HYPERLINK("http://www.twitter.com/NathanBLawrence/status/993333390974902272", "993333390974902272")</f>
        <v/>
      </c>
      <c r="B1366" s="2" t="n">
        <v>43227.14942129629</v>
      </c>
      <c r="C1366" t="n">
        <v>0</v>
      </c>
      <c r="D1366" t="n">
        <v>3</v>
      </c>
      <c r="E1366" t="s">
        <v>1369</v>
      </c>
      <c r="F1366" t="s"/>
      <c r="G1366" t="s"/>
      <c r="H1366" t="s"/>
      <c r="I1366" t="s"/>
      <c r="J1366" t="n">
        <v>0.8519</v>
      </c>
      <c r="K1366" t="n">
        <v>0.054</v>
      </c>
      <c r="L1366" t="n">
        <v>0.502</v>
      </c>
      <c r="M1366" t="n">
        <v>0.444</v>
      </c>
    </row>
    <row r="1367" spans="1:13">
      <c r="A1367" s="1">
        <f>HYPERLINK("http://www.twitter.com/NathanBLawrence/status/993333358057918465", "993333358057918465")</f>
        <v/>
      </c>
      <c r="B1367" s="2" t="n">
        <v>43227.1493287037</v>
      </c>
      <c r="C1367" t="n">
        <v>0</v>
      </c>
      <c r="D1367" t="n">
        <v>109905</v>
      </c>
      <c r="E1367" t="s">
        <v>1370</v>
      </c>
      <c r="F1367" t="s"/>
      <c r="G1367" t="s"/>
      <c r="H1367" t="s"/>
      <c r="I1367" t="s"/>
      <c r="J1367" t="n">
        <v>-0.6808</v>
      </c>
      <c r="K1367" t="n">
        <v>0.167</v>
      </c>
      <c r="L1367" t="n">
        <v>0.833</v>
      </c>
      <c r="M1367" t="n">
        <v>0</v>
      </c>
    </row>
    <row r="1368" spans="1:13">
      <c r="A1368" s="1">
        <f>HYPERLINK("http://www.twitter.com/NathanBLawrence/status/993333329280798721", "993333329280798721")</f>
        <v/>
      </c>
      <c r="B1368" s="2" t="n">
        <v>43227.14924768519</v>
      </c>
      <c r="C1368" t="n">
        <v>0</v>
      </c>
      <c r="D1368" t="n">
        <v>3065</v>
      </c>
      <c r="E1368" t="s">
        <v>1371</v>
      </c>
      <c r="F1368" t="s"/>
      <c r="G1368" t="s"/>
      <c r="H1368" t="s"/>
      <c r="I1368" t="s"/>
      <c r="J1368" t="n">
        <v>-0.6369</v>
      </c>
      <c r="K1368" t="n">
        <v>0.154</v>
      </c>
      <c r="L1368" t="n">
        <v>0.846</v>
      </c>
      <c r="M1368" t="n">
        <v>0</v>
      </c>
    </row>
    <row r="1369" spans="1:13">
      <c r="A1369" s="1">
        <f>HYPERLINK("http://www.twitter.com/NathanBLawrence/status/993307257973673984", "993307257973673984")</f>
        <v/>
      </c>
      <c r="B1369" s="2" t="n">
        <v>43227.07730324074</v>
      </c>
      <c r="C1369" t="n">
        <v>0</v>
      </c>
      <c r="D1369" t="n">
        <v>6</v>
      </c>
      <c r="E1369" t="s">
        <v>1372</v>
      </c>
      <c r="F1369" t="s"/>
      <c r="G1369" t="s"/>
      <c r="H1369" t="s"/>
      <c r="I1369" t="s"/>
      <c r="J1369" t="n">
        <v>0.0772</v>
      </c>
      <c r="K1369" t="n">
        <v>0</v>
      </c>
      <c r="L1369" t="n">
        <v>0.902</v>
      </c>
      <c r="M1369" t="n">
        <v>0.098</v>
      </c>
    </row>
    <row r="1370" spans="1:13">
      <c r="A1370" s="1">
        <f>HYPERLINK("http://www.twitter.com/NathanBLawrence/status/993300138528473088", "993300138528473088")</f>
        <v/>
      </c>
      <c r="B1370" s="2" t="n">
        <v>43227.05766203703</v>
      </c>
      <c r="C1370" t="n">
        <v>0</v>
      </c>
      <c r="D1370" t="n">
        <v>9</v>
      </c>
      <c r="E1370" t="s">
        <v>1373</v>
      </c>
      <c r="F1370">
        <f>HYPERLINK("http://pbs.twimg.com/media/DPhQ4USX0AA6Wxt.jpg", "http://pbs.twimg.com/media/DPhQ4USX0AA6Wxt.jpg")</f>
        <v/>
      </c>
      <c r="G1370" t="s"/>
      <c r="H1370" t="s"/>
      <c r="I1370" t="s"/>
      <c r="J1370" t="n">
        <v>0</v>
      </c>
      <c r="K1370" t="n">
        <v>0</v>
      </c>
      <c r="L1370" t="n">
        <v>1</v>
      </c>
      <c r="M1370" t="n">
        <v>0</v>
      </c>
    </row>
    <row r="1371" spans="1:13">
      <c r="A1371" s="1">
        <f>HYPERLINK("http://www.twitter.com/NathanBLawrence/status/993300012389027840", "993300012389027840")</f>
        <v/>
      </c>
      <c r="B1371" s="2" t="n">
        <v>43227.05731481482</v>
      </c>
      <c r="C1371" t="n">
        <v>0</v>
      </c>
      <c r="D1371" t="n">
        <v>6</v>
      </c>
      <c r="E1371" t="s">
        <v>1374</v>
      </c>
      <c r="F1371" t="s"/>
      <c r="G1371" t="s"/>
      <c r="H1371" t="s"/>
      <c r="I1371" t="s"/>
      <c r="J1371" t="n">
        <v>0</v>
      </c>
      <c r="K1371" t="n">
        <v>0</v>
      </c>
      <c r="L1371" t="n">
        <v>1</v>
      </c>
      <c r="M1371" t="n">
        <v>0</v>
      </c>
    </row>
    <row r="1372" spans="1:13">
      <c r="A1372" s="1">
        <f>HYPERLINK("http://www.twitter.com/NathanBLawrence/status/993299780209201153", "993299780209201153")</f>
        <v/>
      </c>
      <c r="B1372" s="2" t="n">
        <v>43227.05666666666</v>
      </c>
      <c r="C1372" t="n">
        <v>0</v>
      </c>
      <c r="D1372" t="n">
        <v>5</v>
      </c>
      <c r="E1372" t="s">
        <v>1375</v>
      </c>
      <c r="F1372" t="s"/>
      <c r="G1372" t="s"/>
      <c r="H1372" t="s"/>
      <c r="I1372" t="s"/>
      <c r="J1372" t="n">
        <v>0</v>
      </c>
      <c r="K1372" t="n">
        <v>0</v>
      </c>
      <c r="L1372" t="n">
        <v>1</v>
      </c>
      <c r="M1372" t="n">
        <v>0</v>
      </c>
    </row>
    <row r="1373" spans="1:13">
      <c r="A1373" s="1">
        <f>HYPERLINK("http://www.twitter.com/NathanBLawrence/status/993299754816860160", "993299754816860160")</f>
        <v/>
      </c>
      <c r="B1373" s="2" t="n">
        <v>43227.05659722222</v>
      </c>
      <c r="C1373" t="n">
        <v>0</v>
      </c>
      <c r="D1373" t="n">
        <v>5</v>
      </c>
      <c r="E1373" t="s">
        <v>1376</v>
      </c>
      <c r="F1373" t="s"/>
      <c r="G1373" t="s"/>
      <c r="H1373" t="s"/>
      <c r="I1373" t="s"/>
      <c r="J1373" t="n">
        <v>0</v>
      </c>
      <c r="K1373" t="n">
        <v>0</v>
      </c>
      <c r="L1373" t="n">
        <v>1</v>
      </c>
      <c r="M1373" t="n">
        <v>0</v>
      </c>
    </row>
    <row r="1374" spans="1:13">
      <c r="A1374" s="1">
        <f>HYPERLINK("http://www.twitter.com/NathanBLawrence/status/993299060860874752", "993299060860874752")</f>
        <v/>
      </c>
      <c r="B1374" s="2" t="n">
        <v>43227.0546875</v>
      </c>
      <c r="C1374" t="n">
        <v>24</v>
      </c>
      <c r="D1374" t="n">
        <v>18</v>
      </c>
      <c r="E1374" t="s">
        <v>1377</v>
      </c>
      <c r="F1374" t="s"/>
      <c r="G1374" t="s"/>
      <c r="H1374" t="s"/>
      <c r="I1374" t="s"/>
      <c r="J1374" t="n">
        <v>-0.5859</v>
      </c>
      <c r="K1374" t="n">
        <v>0.12</v>
      </c>
      <c r="L1374" t="n">
        <v>0.83</v>
      </c>
      <c r="M1374" t="n">
        <v>0.05</v>
      </c>
    </row>
    <row r="1375" spans="1:13">
      <c r="A1375" s="1">
        <f>HYPERLINK("http://www.twitter.com/NathanBLawrence/status/993298357513801729", "993298357513801729")</f>
        <v/>
      </c>
      <c r="B1375" s="2" t="n">
        <v>43227.05274305555</v>
      </c>
      <c r="C1375" t="n">
        <v>0</v>
      </c>
      <c r="D1375" t="n">
        <v>6</v>
      </c>
      <c r="E1375" t="s">
        <v>1378</v>
      </c>
      <c r="F1375" t="s"/>
      <c r="G1375" t="s"/>
      <c r="H1375" t="s"/>
      <c r="I1375" t="s"/>
      <c r="J1375" t="n">
        <v>0</v>
      </c>
      <c r="K1375" t="n">
        <v>0</v>
      </c>
      <c r="L1375" t="n">
        <v>1</v>
      </c>
      <c r="M1375" t="n">
        <v>0</v>
      </c>
    </row>
    <row r="1376" spans="1:13">
      <c r="A1376" s="1">
        <f>HYPERLINK("http://www.twitter.com/NathanBLawrence/status/993298323795775488", "993298323795775488")</f>
        <v/>
      </c>
      <c r="B1376" s="2" t="n">
        <v>43227.05265046296</v>
      </c>
      <c r="C1376" t="n">
        <v>0</v>
      </c>
      <c r="D1376" t="n">
        <v>7</v>
      </c>
      <c r="E1376" t="s">
        <v>1379</v>
      </c>
      <c r="F1376" t="s"/>
      <c r="G1376" t="s"/>
      <c r="H1376" t="s"/>
      <c r="I1376" t="s"/>
      <c r="J1376" t="n">
        <v>0</v>
      </c>
      <c r="K1376" t="n">
        <v>0</v>
      </c>
      <c r="L1376" t="n">
        <v>1</v>
      </c>
      <c r="M1376" t="n">
        <v>0</v>
      </c>
    </row>
    <row r="1377" spans="1:13">
      <c r="A1377" s="1">
        <f>HYPERLINK("http://www.twitter.com/NathanBLawrence/status/993298309283569664", "993298309283569664")</f>
        <v/>
      </c>
      <c r="B1377" s="2" t="n">
        <v>43227.05261574074</v>
      </c>
      <c r="C1377" t="n">
        <v>0</v>
      </c>
      <c r="D1377" t="n">
        <v>6</v>
      </c>
      <c r="E1377" t="s">
        <v>1380</v>
      </c>
      <c r="F1377" t="s"/>
      <c r="G1377" t="s"/>
      <c r="H1377" t="s"/>
      <c r="I1377" t="s"/>
      <c r="J1377" t="n">
        <v>0</v>
      </c>
      <c r="K1377" t="n">
        <v>0</v>
      </c>
      <c r="L1377" t="n">
        <v>1</v>
      </c>
      <c r="M1377" t="n">
        <v>0</v>
      </c>
    </row>
    <row r="1378" spans="1:13">
      <c r="A1378" s="1">
        <f>HYPERLINK("http://www.twitter.com/NathanBLawrence/status/993298281072558082", "993298281072558082")</f>
        <v/>
      </c>
      <c r="B1378" s="2" t="n">
        <v>43227.05253472222</v>
      </c>
      <c r="C1378" t="n">
        <v>0</v>
      </c>
      <c r="D1378" t="n">
        <v>7</v>
      </c>
      <c r="E1378" t="s">
        <v>1381</v>
      </c>
      <c r="F1378" t="s"/>
      <c r="G1378" t="s"/>
      <c r="H1378" t="s"/>
      <c r="I1378" t="s"/>
      <c r="J1378" t="n">
        <v>0</v>
      </c>
      <c r="K1378" t="n">
        <v>0</v>
      </c>
      <c r="L1378" t="n">
        <v>1</v>
      </c>
      <c r="M1378" t="n">
        <v>0</v>
      </c>
    </row>
    <row r="1379" spans="1:13">
      <c r="A1379" s="1">
        <f>HYPERLINK("http://www.twitter.com/NathanBLawrence/status/993298268523319296", "993298268523319296")</f>
        <v/>
      </c>
      <c r="B1379" s="2" t="n">
        <v>43227.0525</v>
      </c>
      <c r="C1379" t="n">
        <v>0</v>
      </c>
      <c r="D1379" t="n">
        <v>7</v>
      </c>
      <c r="E1379" t="s">
        <v>1382</v>
      </c>
      <c r="F1379" t="s"/>
      <c r="G1379" t="s"/>
      <c r="H1379" t="s"/>
      <c r="I1379" t="s"/>
      <c r="J1379" t="n">
        <v>0</v>
      </c>
      <c r="K1379" t="n">
        <v>0</v>
      </c>
      <c r="L1379" t="n">
        <v>1</v>
      </c>
      <c r="M1379" t="n">
        <v>0</v>
      </c>
    </row>
    <row r="1380" spans="1:13">
      <c r="A1380" s="1">
        <f>HYPERLINK("http://www.twitter.com/NathanBLawrence/status/993298252845010945", "993298252845010945")</f>
        <v/>
      </c>
      <c r="B1380" s="2" t="n">
        <v>43227.05245370371</v>
      </c>
      <c r="C1380" t="n">
        <v>0</v>
      </c>
      <c r="D1380" t="n">
        <v>12</v>
      </c>
      <c r="E1380" t="s">
        <v>1383</v>
      </c>
      <c r="F1380" t="s"/>
      <c r="G1380" t="s"/>
      <c r="H1380" t="s"/>
      <c r="I1380" t="s"/>
      <c r="J1380" t="n">
        <v>0</v>
      </c>
      <c r="K1380" t="n">
        <v>0</v>
      </c>
      <c r="L1380" t="n">
        <v>1</v>
      </c>
      <c r="M1380" t="n">
        <v>0</v>
      </c>
    </row>
    <row r="1381" spans="1:13">
      <c r="A1381" s="1">
        <f>HYPERLINK("http://www.twitter.com/NathanBLawrence/status/993298241721634816", "993298241721634816")</f>
        <v/>
      </c>
      <c r="B1381" s="2" t="n">
        <v>43227.05243055556</v>
      </c>
      <c r="C1381" t="n">
        <v>0</v>
      </c>
      <c r="D1381" t="n">
        <v>11</v>
      </c>
      <c r="E1381" t="s">
        <v>1384</v>
      </c>
      <c r="F1381" t="s"/>
      <c r="G1381" t="s"/>
      <c r="H1381" t="s"/>
      <c r="I1381" t="s"/>
      <c r="J1381" t="n">
        <v>0</v>
      </c>
      <c r="K1381" t="n">
        <v>0</v>
      </c>
      <c r="L1381" t="n">
        <v>1</v>
      </c>
      <c r="M1381" t="n">
        <v>0</v>
      </c>
    </row>
    <row r="1382" spans="1:13">
      <c r="A1382" s="1">
        <f>HYPERLINK("http://www.twitter.com/NathanBLawrence/status/993298045952581632", "993298045952581632")</f>
        <v/>
      </c>
      <c r="B1382" s="2" t="n">
        <v>43227.05188657407</v>
      </c>
      <c r="C1382" t="n">
        <v>0</v>
      </c>
      <c r="D1382" t="n">
        <v>2</v>
      </c>
      <c r="E1382" t="s">
        <v>1385</v>
      </c>
      <c r="F1382" t="s"/>
      <c r="G1382" t="s"/>
      <c r="H1382" t="s"/>
      <c r="I1382" t="s"/>
      <c r="J1382" t="n">
        <v>0</v>
      </c>
      <c r="K1382" t="n">
        <v>0</v>
      </c>
      <c r="L1382" t="n">
        <v>1</v>
      </c>
      <c r="M1382" t="n">
        <v>0</v>
      </c>
    </row>
    <row r="1383" spans="1:13">
      <c r="A1383" s="1">
        <f>HYPERLINK("http://www.twitter.com/NathanBLawrence/status/993297990457716739", "993297990457716739")</f>
        <v/>
      </c>
      <c r="B1383" s="2" t="n">
        <v>43227.05173611111</v>
      </c>
      <c r="C1383" t="n">
        <v>0</v>
      </c>
      <c r="D1383" t="n">
        <v>3</v>
      </c>
      <c r="E1383" t="s">
        <v>1386</v>
      </c>
      <c r="F1383" t="s"/>
      <c r="G1383" t="s"/>
      <c r="H1383" t="s"/>
      <c r="I1383" t="s"/>
      <c r="J1383" t="n">
        <v>0</v>
      </c>
      <c r="K1383" t="n">
        <v>0</v>
      </c>
      <c r="L1383" t="n">
        <v>1</v>
      </c>
      <c r="M1383" t="n">
        <v>0</v>
      </c>
    </row>
    <row r="1384" spans="1:13">
      <c r="A1384" s="1">
        <f>HYPERLINK("http://www.twitter.com/NathanBLawrence/status/993297860224540673", "993297860224540673")</f>
        <v/>
      </c>
      <c r="B1384" s="2" t="n">
        <v>43227.05137731481</v>
      </c>
      <c r="C1384" t="n">
        <v>0</v>
      </c>
      <c r="D1384" t="n">
        <v>8</v>
      </c>
      <c r="E1384" t="s">
        <v>1387</v>
      </c>
      <c r="F1384" t="s"/>
      <c r="G1384" t="s"/>
      <c r="H1384" t="s"/>
      <c r="I1384" t="s"/>
      <c r="J1384" t="n">
        <v>0</v>
      </c>
      <c r="K1384" t="n">
        <v>0</v>
      </c>
      <c r="L1384" t="n">
        <v>1</v>
      </c>
      <c r="M1384" t="n">
        <v>0</v>
      </c>
    </row>
    <row r="1385" spans="1:13">
      <c r="A1385" s="1">
        <f>HYPERLINK("http://www.twitter.com/NathanBLawrence/status/993273653235208193", "993273653235208193")</f>
        <v/>
      </c>
      <c r="B1385" s="2" t="n">
        <v>43226.98457175926</v>
      </c>
      <c r="C1385" t="n">
        <v>5</v>
      </c>
      <c r="D1385" t="n">
        <v>0</v>
      </c>
      <c r="E1385" t="s">
        <v>1388</v>
      </c>
      <c r="F1385" t="s"/>
      <c r="G1385" t="s"/>
      <c r="H1385" t="s"/>
      <c r="I1385" t="s"/>
      <c r="J1385" t="n">
        <v>0</v>
      </c>
      <c r="K1385" t="n">
        <v>0</v>
      </c>
      <c r="L1385" t="n">
        <v>1</v>
      </c>
      <c r="M1385" t="n">
        <v>0</v>
      </c>
    </row>
    <row r="1386" spans="1:13">
      <c r="A1386" s="1">
        <f>HYPERLINK("http://www.twitter.com/NathanBLawrence/status/993273516974845952", "993273516974845952")</f>
        <v/>
      </c>
      <c r="B1386" s="2" t="n">
        <v>43226.98420138889</v>
      </c>
      <c r="C1386" t="n">
        <v>0</v>
      </c>
      <c r="D1386" t="n">
        <v>55</v>
      </c>
      <c r="E1386" t="s">
        <v>1389</v>
      </c>
      <c r="F1386" t="s"/>
      <c r="G1386" t="s"/>
      <c r="H1386" t="s"/>
      <c r="I1386" t="s"/>
      <c r="J1386" t="n">
        <v>0</v>
      </c>
      <c r="K1386" t="n">
        <v>0</v>
      </c>
      <c r="L1386" t="n">
        <v>1</v>
      </c>
      <c r="M1386" t="n">
        <v>0</v>
      </c>
    </row>
    <row r="1387" spans="1:13">
      <c r="A1387" s="1">
        <f>HYPERLINK("http://www.twitter.com/NathanBLawrence/status/993273361177436161", "993273361177436161")</f>
        <v/>
      </c>
      <c r="B1387" s="2" t="n">
        <v>43226.98377314815</v>
      </c>
      <c r="C1387" t="n">
        <v>0</v>
      </c>
      <c r="D1387" t="n">
        <v>3</v>
      </c>
      <c r="E1387" t="s">
        <v>1390</v>
      </c>
      <c r="F1387">
        <f>HYPERLINK("http://pbs.twimg.com/media/DcjQfODV0AEJ1mn.jpg", "http://pbs.twimg.com/media/DcjQfODV0AEJ1mn.jpg")</f>
        <v/>
      </c>
      <c r="G1387" t="s"/>
      <c r="H1387" t="s"/>
      <c r="I1387" t="s"/>
      <c r="J1387" t="n">
        <v>-0.4404</v>
      </c>
      <c r="K1387" t="n">
        <v>0.367</v>
      </c>
      <c r="L1387" t="n">
        <v>0.633</v>
      </c>
      <c r="M1387" t="n">
        <v>0</v>
      </c>
    </row>
    <row r="1388" spans="1:13">
      <c r="A1388" s="1">
        <f>HYPERLINK("http://www.twitter.com/NathanBLawrence/status/993273254012968961", "993273254012968961")</f>
        <v/>
      </c>
      <c r="B1388" s="2" t="n">
        <v>43226.98347222222</v>
      </c>
      <c r="C1388" t="n">
        <v>2</v>
      </c>
      <c r="D1388" t="n">
        <v>4</v>
      </c>
      <c r="E1388" t="s">
        <v>1391</v>
      </c>
      <c r="F1388" t="s"/>
      <c r="G1388" t="s"/>
      <c r="H1388" t="s"/>
      <c r="I1388" t="s"/>
      <c r="J1388" t="n">
        <v>0</v>
      </c>
      <c r="K1388" t="n">
        <v>0</v>
      </c>
      <c r="L1388" t="n">
        <v>1</v>
      </c>
      <c r="M1388" t="n">
        <v>0</v>
      </c>
    </row>
    <row r="1389" spans="1:13">
      <c r="A1389" s="1">
        <f>HYPERLINK("http://www.twitter.com/NathanBLawrence/status/993271634776743937", "993271634776743937")</f>
        <v/>
      </c>
      <c r="B1389" s="2" t="n">
        <v>43226.97900462963</v>
      </c>
      <c r="C1389" t="n">
        <v>0</v>
      </c>
      <c r="D1389" t="n">
        <v>20</v>
      </c>
      <c r="E1389" t="s">
        <v>1392</v>
      </c>
      <c r="F1389" t="s"/>
      <c r="G1389" t="s"/>
      <c r="H1389" t="s"/>
      <c r="I1389" t="s"/>
      <c r="J1389" t="n">
        <v>-0.1027</v>
      </c>
      <c r="K1389" t="n">
        <v>0.057</v>
      </c>
      <c r="L1389" t="n">
        <v>0.9429999999999999</v>
      </c>
      <c r="M1389" t="n">
        <v>0</v>
      </c>
    </row>
    <row r="1390" spans="1:13">
      <c r="A1390" s="1">
        <f>HYPERLINK("http://www.twitter.com/NathanBLawrence/status/993270710603780097", "993270710603780097")</f>
        <v/>
      </c>
      <c r="B1390" s="2" t="n">
        <v>43226.97645833333</v>
      </c>
      <c r="C1390" t="n">
        <v>1</v>
      </c>
      <c r="D1390" t="n">
        <v>0</v>
      </c>
      <c r="E1390" t="s">
        <v>1393</v>
      </c>
      <c r="F1390" t="s"/>
      <c r="G1390" t="s"/>
      <c r="H1390" t="s"/>
      <c r="I1390" t="s"/>
      <c r="J1390" t="n">
        <v>-0.5859</v>
      </c>
      <c r="K1390" t="n">
        <v>0.432</v>
      </c>
      <c r="L1390" t="n">
        <v>0.5679999999999999</v>
      </c>
      <c r="M1390" t="n">
        <v>0</v>
      </c>
    </row>
    <row r="1391" spans="1:13">
      <c r="A1391" s="1">
        <f>HYPERLINK("http://www.twitter.com/NathanBLawrence/status/993270384853176321", "993270384853176321")</f>
        <v/>
      </c>
      <c r="B1391" s="2" t="n">
        <v>43226.97555555555</v>
      </c>
      <c r="C1391" t="n">
        <v>0</v>
      </c>
      <c r="D1391" t="n">
        <v>5</v>
      </c>
      <c r="E1391" t="s">
        <v>1394</v>
      </c>
      <c r="F1391" t="s"/>
      <c r="G1391" t="s"/>
      <c r="H1391" t="s"/>
      <c r="I1391" t="s"/>
      <c r="J1391" t="n">
        <v>-0.6418</v>
      </c>
      <c r="K1391" t="n">
        <v>0.156</v>
      </c>
      <c r="L1391" t="n">
        <v>0.844</v>
      </c>
      <c r="M1391" t="n">
        <v>0</v>
      </c>
    </row>
    <row r="1392" spans="1:13">
      <c r="A1392" s="1">
        <f>HYPERLINK("http://www.twitter.com/NathanBLawrence/status/993270290657566722", "993270290657566722")</f>
        <v/>
      </c>
      <c r="B1392" s="2" t="n">
        <v>43226.97530092593</v>
      </c>
      <c r="C1392" t="n">
        <v>4</v>
      </c>
      <c r="D1392" t="n">
        <v>1</v>
      </c>
      <c r="E1392" t="s">
        <v>1395</v>
      </c>
      <c r="F1392" t="s"/>
      <c r="G1392" t="s"/>
      <c r="H1392" t="s"/>
      <c r="I1392" t="s"/>
      <c r="J1392" t="n">
        <v>0.0516</v>
      </c>
      <c r="K1392" t="n">
        <v>0.158</v>
      </c>
      <c r="L1392" t="n">
        <v>0.658</v>
      </c>
      <c r="M1392" t="n">
        <v>0.184</v>
      </c>
    </row>
    <row r="1393" spans="1:13">
      <c r="A1393" s="1">
        <f>HYPERLINK("http://www.twitter.com/NathanBLawrence/status/993269816512405504", "993269816512405504")</f>
        <v/>
      </c>
      <c r="B1393" s="2" t="n">
        <v>43226.97398148148</v>
      </c>
      <c r="C1393" t="n">
        <v>0</v>
      </c>
      <c r="D1393" t="n">
        <v>747</v>
      </c>
      <c r="E1393" t="s">
        <v>1396</v>
      </c>
      <c r="F1393">
        <f>HYPERLINK("http://pbs.twimg.com/media/DcjMCdnUQAADY4w.jpg", "http://pbs.twimg.com/media/DcjMCdnUQAADY4w.jpg")</f>
        <v/>
      </c>
      <c r="G1393" t="s"/>
      <c r="H1393" t="s"/>
      <c r="I1393" t="s"/>
      <c r="J1393" t="n">
        <v>0.3912</v>
      </c>
      <c r="K1393" t="n">
        <v>0.122</v>
      </c>
      <c r="L1393" t="n">
        <v>0.665</v>
      </c>
      <c r="M1393" t="n">
        <v>0.213</v>
      </c>
    </row>
    <row r="1394" spans="1:13">
      <c r="A1394" s="1">
        <f>HYPERLINK("http://www.twitter.com/NathanBLawrence/status/993269688007385089", "993269688007385089")</f>
        <v/>
      </c>
      <c r="B1394" s="2" t="n">
        <v>43226.97363425926</v>
      </c>
      <c r="C1394" t="n">
        <v>0</v>
      </c>
      <c r="D1394" t="n">
        <v>1</v>
      </c>
      <c r="E1394" t="s">
        <v>1397</v>
      </c>
      <c r="F1394" t="s"/>
      <c r="G1394" t="s"/>
      <c r="H1394" t="s"/>
      <c r="I1394" t="s"/>
      <c r="J1394" t="n">
        <v>0</v>
      </c>
      <c r="K1394" t="n">
        <v>0</v>
      </c>
      <c r="L1394" t="n">
        <v>1</v>
      </c>
      <c r="M1394" t="n">
        <v>0</v>
      </c>
    </row>
    <row r="1395" spans="1:13">
      <c r="A1395" s="1">
        <f>HYPERLINK("http://www.twitter.com/NathanBLawrence/status/993269643736469505", "993269643736469505")</f>
        <v/>
      </c>
      <c r="B1395" s="2" t="n">
        <v>43226.97350694444</v>
      </c>
      <c r="C1395" t="n">
        <v>11</v>
      </c>
      <c r="D1395" t="n">
        <v>1</v>
      </c>
      <c r="E1395" t="s">
        <v>1398</v>
      </c>
      <c r="F1395" t="s"/>
      <c r="G1395" t="s"/>
      <c r="H1395" t="s"/>
      <c r="I1395" t="s"/>
      <c r="J1395" t="n">
        <v>0</v>
      </c>
      <c r="K1395" t="n">
        <v>0</v>
      </c>
      <c r="L1395" t="n">
        <v>1</v>
      </c>
      <c r="M1395" t="n">
        <v>0</v>
      </c>
    </row>
    <row r="1396" spans="1:13">
      <c r="A1396" s="1">
        <f>HYPERLINK("http://www.twitter.com/NathanBLawrence/status/993269602028343299", "993269602028343299")</f>
        <v/>
      </c>
      <c r="B1396" s="2" t="n">
        <v>43226.9733912037</v>
      </c>
      <c r="C1396" t="n">
        <v>0</v>
      </c>
      <c r="D1396" t="n">
        <v>75</v>
      </c>
      <c r="E1396" t="s">
        <v>1399</v>
      </c>
      <c r="F1396" t="s"/>
      <c r="G1396" t="s"/>
      <c r="H1396" t="s"/>
      <c r="I1396" t="s"/>
      <c r="J1396" t="n">
        <v>-0.4019</v>
      </c>
      <c r="K1396" t="n">
        <v>0.481</v>
      </c>
      <c r="L1396" t="n">
        <v>0.519</v>
      </c>
      <c r="M1396" t="n">
        <v>0</v>
      </c>
    </row>
    <row r="1397" spans="1:13">
      <c r="A1397" s="1">
        <f>HYPERLINK("http://www.twitter.com/NathanBLawrence/status/993269511439704065", "993269511439704065")</f>
        <v/>
      </c>
      <c r="B1397" s="2" t="n">
        <v>43226.97314814815</v>
      </c>
      <c r="C1397" t="n">
        <v>18</v>
      </c>
      <c r="D1397" t="n">
        <v>13</v>
      </c>
      <c r="E1397" t="s">
        <v>1400</v>
      </c>
      <c r="F1397">
        <f>HYPERLINK("http://pbs.twimg.com/media/DcjNWF7VAAEZ3YH.png", "http://pbs.twimg.com/media/DcjNWF7VAAEZ3YH.png")</f>
        <v/>
      </c>
      <c r="G1397" t="s"/>
      <c r="H1397" t="s"/>
      <c r="I1397" t="s"/>
      <c r="J1397" t="n">
        <v>0.9349</v>
      </c>
      <c r="K1397" t="n">
        <v>0</v>
      </c>
      <c r="L1397" t="n">
        <v>0.725</v>
      </c>
      <c r="M1397" t="n">
        <v>0.275</v>
      </c>
    </row>
    <row r="1398" spans="1:13">
      <c r="A1398" s="1">
        <f>HYPERLINK("http://www.twitter.com/NathanBLawrence/status/993266602748542976", "993266602748542976")</f>
        <v/>
      </c>
      <c r="B1398" s="2" t="n">
        <v>43226.96511574074</v>
      </c>
      <c r="C1398" t="n">
        <v>0</v>
      </c>
      <c r="D1398" t="n">
        <v>20</v>
      </c>
      <c r="E1398" t="s">
        <v>1401</v>
      </c>
      <c r="F1398" t="s"/>
      <c r="G1398" t="s"/>
      <c r="H1398" t="s"/>
      <c r="I1398" t="s"/>
      <c r="J1398" t="n">
        <v>-0.3127</v>
      </c>
      <c r="K1398" t="n">
        <v>0.198</v>
      </c>
      <c r="L1398" t="n">
        <v>0.6899999999999999</v>
      </c>
      <c r="M1398" t="n">
        <v>0.111</v>
      </c>
    </row>
    <row r="1399" spans="1:13">
      <c r="A1399" s="1">
        <f>HYPERLINK("http://www.twitter.com/NathanBLawrence/status/993250923437854720", "993250923437854720")</f>
        <v/>
      </c>
      <c r="B1399" s="2" t="n">
        <v>43226.92185185185</v>
      </c>
      <c r="C1399" t="n">
        <v>2</v>
      </c>
      <c r="D1399" t="n">
        <v>0</v>
      </c>
      <c r="E1399" t="s">
        <v>1402</v>
      </c>
      <c r="F1399" t="s"/>
      <c r="G1399" t="s"/>
      <c r="H1399" t="s"/>
      <c r="I1399" t="s"/>
      <c r="J1399" t="n">
        <v>0.2732</v>
      </c>
      <c r="K1399" t="n">
        <v>0</v>
      </c>
      <c r="L1399" t="n">
        <v>0.741</v>
      </c>
      <c r="M1399" t="n">
        <v>0.259</v>
      </c>
    </row>
    <row r="1400" spans="1:13">
      <c r="A1400" s="1">
        <f>HYPERLINK("http://www.twitter.com/NathanBLawrence/status/993250830726909952", "993250830726909952")</f>
        <v/>
      </c>
      <c r="B1400" s="2" t="n">
        <v>43226.92159722222</v>
      </c>
      <c r="C1400" t="n">
        <v>0</v>
      </c>
      <c r="D1400" t="n">
        <v>373</v>
      </c>
      <c r="E1400" t="s">
        <v>1403</v>
      </c>
      <c r="F1400">
        <f>HYPERLINK("https://video.twimg.com/ext_tw_video/993250229276246021/pu/vid/1280x720/6AgliU1oQHUjldgd.mp4?tag=3", "https://video.twimg.com/ext_tw_video/993250229276246021/pu/vid/1280x720/6AgliU1oQHUjldgd.mp4?tag=3")</f>
        <v/>
      </c>
      <c r="G1400" t="s"/>
      <c r="H1400" t="s"/>
      <c r="I1400" t="s"/>
      <c r="J1400" t="n">
        <v>0</v>
      </c>
      <c r="K1400" t="n">
        <v>0</v>
      </c>
      <c r="L1400" t="n">
        <v>1</v>
      </c>
      <c r="M1400" t="n">
        <v>0</v>
      </c>
    </row>
    <row r="1401" spans="1:13">
      <c r="A1401" s="1">
        <f>HYPERLINK("http://www.twitter.com/NathanBLawrence/status/993250466824970240", "993250466824970240")</f>
        <v/>
      </c>
      <c r="B1401" s="2" t="n">
        <v>43226.92059027778</v>
      </c>
      <c r="C1401" t="n">
        <v>0</v>
      </c>
      <c r="D1401" t="n">
        <v>18</v>
      </c>
      <c r="E1401" t="s">
        <v>1404</v>
      </c>
      <c r="F1401" t="s"/>
      <c r="G1401" t="s"/>
      <c r="H1401" t="s"/>
      <c r="I1401" t="s"/>
      <c r="J1401" t="n">
        <v>0</v>
      </c>
      <c r="K1401" t="n">
        <v>0</v>
      </c>
      <c r="L1401" t="n">
        <v>1</v>
      </c>
      <c r="M1401" t="n">
        <v>0</v>
      </c>
    </row>
    <row r="1402" spans="1:13">
      <c r="A1402" s="1">
        <f>HYPERLINK("http://www.twitter.com/NathanBLawrence/status/993250100410449920", "993250100410449920")</f>
        <v/>
      </c>
      <c r="B1402" s="2" t="n">
        <v>43226.91958333334</v>
      </c>
      <c r="C1402" t="n">
        <v>1</v>
      </c>
      <c r="D1402" t="n">
        <v>0</v>
      </c>
      <c r="E1402" t="s">
        <v>1405</v>
      </c>
      <c r="F1402">
        <f>HYPERLINK("http://pbs.twimg.com/media/Dci7sjIU0AAOivB.png", "http://pbs.twimg.com/media/Dci7sjIU0AAOivB.png")</f>
        <v/>
      </c>
      <c r="G1402" t="s"/>
      <c r="H1402" t="s"/>
      <c r="I1402" t="s"/>
      <c r="J1402" t="n">
        <v>0</v>
      </c>
      <c r="K1402" t="n">
        <v>0</v>
      </c>
      <c r="L1402" t="n">
        <v>1</v>
      </c>
      <c r="M1402" t="n">
        <v>0</v>
      </c>
    </row>
    <row r="1403" spans="1:13">
      <c r="A1403" s="1">
        <f>HYPERLINK("http://www.twitter.com/NathanBLawrence/status/993249857757499392", "993249857757499392")</f>
        <v/>
      </c>
      <c r="B1403" s="2" t="n">
        <v>43226.91891203704</v>
      </c>
      <c r="C1403" t="n">
        <v>0</v>
      </c>
      <c r="D1403" t="n">
        <v>32</v>
      </c>
      <c r="E1403" t="s">
        <v>1406</v>
      </c>
      <c r="F1403">
        <f>HYPERLINK("http://pbs.twimg.com/media/DciuZjKUwAArEYe.jpg", "http://pbs.twimg.com/media/DciuZjKUwAArEYe.jpg")</f>
        <v/>
      </c>
      <c r="G1403" t="s"/>
      <c r="H1403" t="s"/>
      <c r="I1403" t="s"/>
      <c r="J1403" t="n">
        <v>0.6989</v>
      </c>
      <c r="K1403" t="n">
        <v>0</v>
      </c>
      <c r="L1403" t="n">
        <v>0.722</v>
      </c>
      <c r="M1403" t="n">
        <v>0.278</v>
      </c>
    </row>
    <row r="1404" spans="1:13">
      <c r="A1404" s="1">
        <f>HYPERLINK("http://www.twitter.com/NathanBLawrence/status/993249788287160320", "993249788287160320")</f>
        <v/>
      </c>
      <c r="B1404" s="2" t="n">
        <v>43226.91871527778</v>
      </c>
      <c r="C1404" t="n">
        <v>7</v>
      </c>
      <c r="D1404" t="n">
        <v>7</v>
      </c>
      <c r="E1404" t="s">
        <v>1407</v>
      </c>
      <c r="F1404">
        <f>HYPERLINK("http://pbs.twimg.com/media/Dci7aB0VAAAHHCb.jpg", "http://pbs.twimg.com/media/Dci7aB0VAAAHHCb.jpg")</f>
        <v/>
      </c>
      <c r="G1404" t="s"/>
      <c r="H1404" t="s"/>
      <c r="I1404" t="s"/>
      <c r="J1404" t="n">
        <v>0</v>
      </c>
      <c r="K1404" t="n">
        <v>0</v>
      </c>
      <c r="L1404" t="n">
        <v>1</v>
      </c>
      <c r="M1404" t="n">
        <v>0</v>
      </c>
    </row>
    <row r="1405" spans="1:13">
      <c r="A1405" s="1">
        <f>HYPERLINK("http://www.twitter.com/NathanBLawrence/status/993247202532261894", "993247202532261894")</f>
        <v/>
      </c>
      <c r="B1405" s="2" t="n">
        <v>43226.91158564815</v>
      </c>
      <c r="C1405" t="n">
        <v>0</v>
      </c>
      <c r="D1405" t="n">
        <v>14</v>
      </c>
      <c r="E1405" t="s">
        <v>1408</v>
      </c>
      <c r="F1405" t="s"/>
      <c r="G1405" t="s"/>
      <c r="H1405" t="s"/>
      <c r="I1405" t="s"/>
      <c r="J1405" t="n">
        <v>0</v>
      </c>
      <c r="K1405" t="n">
        <v>0</v>
      </c>
      <c r="L1405" t="n">
        <v>1</v>
      </c>
      <c r="M1405" t="n">
        <v>0</v>
      </c>
    </row>
    <row r="1406" spans="1:13">
      <c r="A1406" s="1">
        <f>HYPERLINK("http://www.twitter.com/NathanBLawrence/status/993215899065880576", "993215899065880576")</f>
        <v/>
      </c>
      <c r="B1406" s="2" t="n">
        <v>43226.82520833334</v>
      </c>
      <c r="C1406" t="n">
        <v>0</v>
      </c>
      <c r="D1406" t="n">
        <v>3</v>
      </c>
      <c r="E1406" t="s">
        <v>1409</v>
      </c>
      <c r="F1406" t="s"/>
      <c r="G1406" t="s"/>
      <c r="H1406" t="s"/>
      <c r="I1406" t="s"/>
      <c r="J1406" t="n">
        <v>0</v>
      </c>
      <c r="K1406" t="n">
        <v>0</v>
      </c>
      <c r="L1406" t="n">
        <v>1</v>
      </c>
      <c r="M1406" t="n">
        <v>0</v>
      </c>
    </row>
    <row r="1407" spans="1:13">
      <c r="A1407" s="1">
        <f>HYPERLINK("http://www.twitter.com/NathanBLawrence/status/993215841633259521", "993215841633259521")</f>
        <v/>
      </c>
      <c r="B1407" s="2" t="n">
        <v>43226.8250462963</v>
      </c>
      <c r="C1407" t="n">
        <v>0</v>
      </c>
      <c r="D1407" t="n">
        <v>6</v>
      </c>
      <c r="E1407" t="s">
        <v>1410</v>
      </c>
      <c r="F1407" t="s"/>
      <c r="G1407" t="s"/>
      <c r="H1407" t="s"/>
      <c r="I1407" t="s"/>
      <c r="J1407" t="n">
        <v>0</v>
      </c>
      <c r="K1407" t="n">
        <v>0</v>
      </c>
      <c r="L1407" t="n">
        <v>1</v>
      </c>
      <c r="M1407" t="n">
        <v>0</v>
      </c>
    </row>
    <row r="1408" spans="1:13">
      <c r="A1408" s="1">
        <f>HYPERLINK("http://www.twitter.com/NathanBLawrence/status/993215272558432258", "993215272558432258")</f>
        <v/>
      </c>
      <c r="B1408" s="2" t="n">
        <v>43226.82347222222</v>
      </c>
      <c r="C1408" t="n">
        <v>2</v>
      </c>
      <c r="D1408" t="n">
        <v>0</v>
      </c>
      <c r="E1408" t="s">
        <v>1411</v>
      </c>
      <c r="F1408" t="s"/>
      <c r="G1408" t="s"/>
      <c r="H1408" t="s"/>
      <c r="I1408" t="s"/>
      <c r="J1408" t="n">
        <v>0</v>
      </c>
      <c r="K1408" t="n">
        <v>0</v>
      </c>
      <c r="L1408" t="n">
        <v>1</v>
      </c>
      <c r="M1408" t="n">
        <v>0</v>
      </c>
    </row>
    <row r="1409" spans="1:13">
      <c r="A1409" s="1">
        <f>HYPERLINK("http://www.twitter.com/NathanBLawrence/status/993207874913554432", "993207874913554432")</f>
        <v/>
      </c>
      <c r="B1409" s="2" t="n">
        <v>43226.80305555555</v>
      </c>
      <c r="C1409" t="n">
        <v>0</v>
      </c>
      <c r="D1409" t="n">
        <v>7</v>
      </c>
      <c r="E1409" t="s">
        <v>1412</v>
      </c>
      <c r="F1409" t="s"/>
      <c r="G1409" t="s"/>
      <c r="H1409" t="s"/>
      <c r="I1409" t="s"/>
      <c r="J1409" t="n">
        <v>0.3612</v>
      </c>
      <c r="K1409" t="n">
        <v>0</v>
      </c>
      <c r="L1409" t="n">
        <v>0.828</v>
      </c>
      <c r="M1409" t="n">
        <v>0.172</v>
      </c>
    </row>
    <row r="1410" spans="1:13">
      <c r="A1410" s="1">
        <f>HYPERLINK("http://www.twitter.com/NathanBLawrence/status/993207849462398977", "993207849462398977")</f>
        <v/>
      </c>
      <c r="B1410" s="2" t="n">
        <v>43226.80298611111</v>
      </c>
      <c r="C1410" t="n">
        <v>0</v>
      </c>
      <c r="D1410" t="n">
        <v>2</v>
      </c>
      <c r="E1410" t="s">
        <v>1413</v>
      </c>
      <c r="F1410" t="s"/>
      <c r="G1410" t="s"/>
      <c r="H1410" t="s"/>
      <c r="I1410" t="s"/>
      <c r="J1410" t="n">
        <v>0</v>
      </c>
      <c r="K1410" t="n">
        <v>0</v>
      </c>
      <c r="L1410" t="n">
        <v>1</v>
      </c>
      <c r="M1410" t="n">
        <v>0</v>
      </c>
    </row>
    <row r="1411" spans="1:13">
      <c r="A1411" s="1">
        <f>HYPERLINK("http://www.twitter.com/NathanBLawrence/status/993207824216920064", "993207824216920064")</f>
        <v/>
      </c>
      <c r="B1411" s="2" t="n">
        <v>43226.80291666667</v>
      </c>
      <c r="C1411" t="n">
        <v>0</v>
      </c>
      <c r="D1411" t="n">
        <v>5</v>
      </c>
      <c r="E1411" t="s">
        <v>1414</v>
      </c>
      <c r="F1411" t="s"/>
      <c r="G1411" t="s"/>
      <c r="H1411" t="s"/>
      <c r="I1411" t="s"/>
      <c r="J1411" t="n">
        <v>0.5719</v>
      </c>
      <c r="K1411" t="n">
        <v>0</v>
      </c>
      <c r="L1411" t="n">
        <v>0.778</v>
      </c>
      <c r="M1411" t="n">
        <v>0.222</v>
      </c>
    </row>
    <row r="1412" spans="1:13">
      <c r="A1412" s="1">
        <f>HYPERLINK("http://www.twitter.com/NathanBLawrence/status/993207644730150912", "993207644730150912")</f>
        <v/>
      </c>
      <c r="B1412" s="2" t="n">
        <v>43226.80243055556</v>
      </c>
      <c r="C1412" t="n">
        <v>0</v>
      </c>
      <c r="D1412" t="n">
        <v>16</v>
      </c>
      <c r="E1412" t="s">
        <v>1415</v>
      </c>
      <c r="F1412">
        <f>HYPERLINK("https://video.twimg.com/ext_tw_video/993068479413673985/pu/vid/688x360/1geiMwKWbxx-KIKB.mp4?tag=3", "https://video.twimg.com/ext_tw_video/993068479413673985/pu/vid/688x360/1geiMwKWbxx-KIKB.mp4?tag=3")</f>
        <v/>
      </c>
      <c r="G1412" t="s"/>
      <c r="H1412" t="s"/>
      <c r="I1412" t="s"/>
      <c r="J1412" t="n">
        <v>0</v>
      </c>
      <c r="K1412" t="n">
        <v>0</v>
      </c>
      <c r="L1412" t="n">
        <v>1</v>
      </c>
      <c r="M1412" t="n">
        <v>0</v>
      </c>
    </row>
    <row r="1413" spans="1:13">
      <c r="A1413" s="1">
        <f>HYPERLINK("http://www.twitter.com/NathanBLawrence/status/993207603701297152", "993207603701297152")</f>
        <v/>
      </c>
      <c r="B1413" s="2" t="n">
        <v>43226.80231481481</v>
      </c>
      <c r="C1413" t="n">
        <v>0</v>
      </c>
      <c r="D1413" t="n">
        <v>5</v>
      </c>
      <c r="E1413" t="s">
        <v>1416</v>
      </c>
      <c r="F1413" t="s"/>
      <c r="G1413" t="s"/>
      <c r="H1413" t="s"/>
      <c r="I1413" t="s"/>
      <c r="J1413" t="n">
        <v>0</v>
      </c>
      <c r="K1413" t="n">
        <v>0</v>
      </c>
      <c r="L1413" t="n">
        <v>1</v>
      </c>
      <c r="M1413" t="n">
        <v>0</v>
      </c>
    </row>
    <row r="1414" spans="1:13">
      <c r="A1414" s="1">
        <f>HYPERLINK("http://www.twitter.com/NathanBLawrence/status/993207465050279937", "993207465050279937")</f>
        <v/>
      </c>
      <c r="B1414" s="2" t="n">
        <v>43226.80193287037</v>
      </c>
      <c r="C1414" t="n">
        <v>0</v>
      </c>
      <c r="D1414" t="n">
        <v>16</v>
      </c>
      <c r="E1414" t="s">
        <v>1417</v>
      </c>
      <c r="F1414" t="s"/>
      <c r="G1414" t="s"/>
      <c r="H1414" t="s"/>
      <c r="I1414" t="s"/>
      <c r="J1414" t="n">
        <v>0.5719</v>
      </c>
      <c r="K1414" t="n">
        <v>0</v>
      </c>
      <c r="L1414" t="n">
        <v>0.791</v>
      </c>
      <c r="M1414" t="n">
        <v>0.209</v>
      </c>
    </row>
    <row r="1415" spans="1:13">
      <c r="A1415" s="1">
        <f>HYPERLINK("http://www.twitter.com/NathanBLawrence/status/993207424868913152", "993207424868913152")</f>
        <v/>
      </c>
      <c r="B1415" s="2" t="n">
        <v>43226.80181712963</v>
      </c>
      <c r="C1415" t="n">
        <v>0</v>
      </c>
      <c r="D1415" t="n">
        <v>12</v>
      </c>
      <c r="E1415" t="s">
        <v>1418</v>
      </c>
      <c r="F1415">
        <f>HYPERLINK("http://pbs.twimg.com/media/DcZtSYxWkAAWpl4.jpg", "http://pbs.twimg.com/media/DcZtSYxWkAAWpl4.jpg")</f>
        <v/>
      </c>
      <c r="G1415" t="s"/>
      <c r="H1415" t="s"/>
      <c r="I1415" t="s"/>
      <c r="J1415" t="n">
        <v>0.6908</v>
      </c>
      <c r="K1415" t="n">
        <v>0</v>
      </c>
      <c r="L1415" t="n">
        <v>0.769</v>
      </c>
      <c r="M1415" t="n">
        <v>0.231</v>
      </c>
    </row>
    <row r="1416" spans="1:13">
      <c r="A1416" s="1">
        <f>HYPERLINK("http://www.twitter.com/NathanBLawrence/status/993169766176231425", "993169766176231425")</f>
        <v/>
      </c>
      <c r="B1416" s="2" t="n">
        <v>43226.69790509259</v>
      </c>
      <c r="C1416" t="n">
        <v>0</v>
      </c>
      <c r="D1416" t="n">
        <v>18</v>
      </c>
      <c r="E1416" t="s">
        <v>1419</v>
      </c>
      <c r="F1416" t="s"/>
      <c r="G1416" t="s"/>
      <c r="H1416" t="s"/>
      <c r="I1416" t="s"/>
      <c r="J1416" t="n">
        <v>0.6884</v>
      </c>
      <c r="K1416" t="n">
        <v>0</v>
      </c>
      <c r="L1416" t="n">
        <v>0.66</v>
      </c>
      <c r="M1416" t="n">
        <v>0.34</v>
      </c>
    </row>
    <row r="1417" spans="1:13">
      <c r="A1417" s="1">
        <f>HYPERLINK("http://www.twitter.com/NathanBLawrence/status/993169751730946050", "993169751730946050")</f>
        <v/>
      </c>
      <c r="B1417" s="2" t="n">
        <v>43226.69785879629</v>
      </c>
      <c r="C1417" t="n">
        <v>0</v>
      </c>
      <c r="D1417" t="n">
        <v>46</v>
      </c>
      <c r="E1417" t="s">
        <v>1420</v>
      </c>
      <c r="F1417">
        <f>HYPERLINK("http://pbs.twimg.com/media/Dchkct_U8AAoKvc.jpg", "http://pbs.twimg.com/media/Dchkct_U8AAoKvc.jpg")</f>
        <v/>
      </c>
      <c r="G1417" t="s"/>
      <c r="H1417" t="s"/>
      <c r="I1417" t="s"/>
      <c r="J1417" t="n">
        <v>0</v>
      </c>
      <c r="K1417" t="n">
        <v>0</v>
      </c>
      <c r="L1417" t="n">
        <v>1</v>
      </c>
      <c r="M1417" t="n">
        <v>0</v>
      </c>
    </row>
    <row r="1418" spans="1:13">
      <c r="A1418" s="1">
        <f>HYPERLINK("http://www.twitter.com/NathanBLawrence/status/993169737277468672", "993169737277468672")</f>
        <v/>
      </c>
      <c r="B1418" s="2" t="n">
        <v>43226.69782407407</v>
      </c>
      <c r="C1418" t="n">
        <v>0</v>
      </c>
      <c r="D1418" t="n">
        <v>90</v>
      </c>
      <c r="E1418" t="s">
        <v>1421</v>
      </c>
      <c r="F1418" t="s"/>
      <c r="G1418" t="s"/>
      <c r="H1418" t="s"/>
      <c r="I1418" t="s"/>
      <c r="J1418" t="n">
        <v>0.5319</v>
      </c>
      <c r="K1418" t="n">
        <v>0</v>
      </c>
      <c r="L1418" t="n">
        <v>0.847</v>
      </c>
      <c r="M1418" t="n">
        <v>0.153</v>
      </c>
    </row>
    <row r="1419" spans="1:13">
      <c r="A1419" s="1">
        <f>HYPERLINK("http://www.twitter.com/NathanBLawrence/status/993165997141102594", "993165997141102594")</f>
        <v/>
      </c>
      <c r="B1419" s="2" t="n">
        <v>43226.6875</v>
      </c>
      <c r="C1419" t="n">
        <v>0</v>
      </c>
      <c r="D1419" t="n">
        <v>1</v>
      </c>
      <c r="E1419" t="s">
        <v>1422</v>
      </c>
      <c r="F1419" t="s"/>
      <c r="G1419" t="s"/>
      <c r="H1419" t="s"/>
      <c r="I1419" t="s"/>
      <c r="J1419" t="n">
        <v>0</v>
      </c>
      <c r="K1419" t="n">
        <v>0</v>
      </c>
      <c r="L1419" t="n">
        <v>1</v>
      </c>
      <c r="M1419" t="n">
        <v>0</v>
      </c>
    </row>
    <row r="1420" spans="1:13">
      <c r="A1420" s="1">
        <f>HYPERLINK("http://www.twitter.com/NathanBLawrence/status/993162767929610241", "993162767929610241")</f>
        <v/>
      </c>
      <c r="B1420" s="2" t="n">
        <v>43226.67858796296</v>
      </c>
      <c r="C1420" t="n">
        <v>0</v>
      </c>
      <c r="D1420" t="n">
        <v>2</v>
      </c>
      <c r="E1420" t="s">
        <v>1423</v>
      </c>
      <c r="F1420" t="s"/>
      <c r="G1420" t="s"/>
      <c r="H1420" t="s"/>
      <c r="I1420" t="s"/>
      <c r="J1420" t="n">
        <v>0.8718</v>
      </c>
      <c r="K1420" t="n">
        <v>0</v>
      </c>
      <c r="L1420" t="n">
        <v>0.632</v>
      </c>
      <c r="M1420" t="n">
        <v>0.368</v>
      </c>
    </row>
    <row r="1421" spans="1:13">
      <c r="A1421" s="1">
        <f>HYPERLINK("http://www.twitter.com/NathanBLawrence/status/993162042252185600", "993162042252185600")</f>
        <v/>
      </c>
      <c r="B1421" s="2" t="n">
        <v>43226.67658564815</v>
      </c>
      <c r="C1421" t="n">
        <v>0</v>
      </c>
      <c r="D1421" t="n">
        <v>7</v>
      </c>
      <c r="E1421" t="s">
        <v>1424</v>
      </c>
      <c r="F1421">
        <f>HYPERLINK("http://pbs.twimg.com/media/DchrSqEU8AAjEyT.jpg", "http://pbs.twimg.com/media/DchrSqEU8AAjEyT.jpg")</f>
        <v/>
      </c>
      <c r="G1421" t="s"/>
      <c r="H1421" t="s"/>
      <c r="I1421" t="s"/>
      <c r="J1421" t="n">
        <v>0</v>
      </c>
      <c r="K1421" t="n">
        <v>0</v>
      </c>
      <c r="L1421" t="n">
        <v>1</v>
      </c>
      <c r="M1421" t="n">
        <v>0</v>
      </c>
    </row>
    <row r="1422" spans="1:13">
      <c r="A1422" s="1">
        <f>HYPERLINK("http://www.twitter.com/NathanBLawrence/status/993161859133067264", "993161859133067264")</f>
        <v/>
      </c>
      <c r="B1422" s="2" t="n">
        <v>43226.67607638889</v>
      </c>
      <c r="C1422" t="n">
        <v>0</v>
      </c>
      <c r="D1422" t="n">
        <v>102</v>
      </c>
      <c r="E1422" t="s">
        <v>1425</v>
      </c>
      <c r="F1422">
        <f>HYPERLINK("https://video.twimg.com/ext_tw_video/952247653382811648/pu/vid/1280x720/qKguG8ER8NQyNGNU.mp4", "https://video.twimg.com/ext_tw_video/952247653382811648/pu/vid/1280x720/qKguG8ER8NQyNGNU.mp4")</f>
        <v/>
      </c>
      <c r="G1422" t="s"/>
      <c r="H1422" t="s"/>
      <c r="I1422" t="s"/>
      <c r="J1422" t="n">
        <v>-0.3356</v>
      </c>
      <c r="K1422" t="n">
        <v>0.16</v>
      </c>
      <c r="L1422" t="n">
        <v>0.729</v>
      </c>
      <c r="M1422" t="n">
        <v>0.112</v>
      </c>
    </row>
    <row r="1423" spans="1:13">
      <c r="A1423" s="1">
        <f>HYPERLINK("http://www.twitter.com/NathanBLawrence/status/993161201298427904", "993161201298427904")</f>
        <v/>
      </c>
      <c r="B1423" s="2" t="n">
        <v>43226.67427083333</v>
      </c>
      <c r="C1423" t="n">
        <v>0</v>
      </c>
      <c r="D1423" t="n">
        <v>21217</v>
      </c>
      <c r="E1423" t="s">
        <v>1426</v>
      </c>
      <c r="F1423" t="s"/>
      <c r="G1423" t="s"/>
      <c r="H1423" t="s"/>
      <c r="I1423" t="s"/>
      <c r="J1423" t="n">
        <v>-0.6124000000000001</v>
      </c>
      <c r="K1423" t="n">
        <v>0.154</v>
      </c>
      <c r="L1423" t="n">
        <v>0.846</v>
      </c>
      <c r="M1423" t="n">
        <v>0</v>
      </c>
    </row>
    <row r="1424" spans="1:13">
      <c r="A1424" s="1">
        <f>HYPERLINK("http://www.twitter.com/NathanBLawrence/status/993161159468572672", "993161159468572672")</f>
        <v/>
      </c>
      <c r="B1424" s="2" t="n">
        <v>43226.67415509259</v>
      </c>
      <c r="C1424" t="n">
        <v>0</v>
      </c>
      <c r="D1424" t="n">
        <v>4</v>
      </c>
      <c r="E1424" t="s">
        <v>1427</v>
      </c>
      <c r="F1424" t="s"/>
      <c r="G1424" t="s"/>
      <c r="H1424" t="s"/>
      <c r="I1424" t="s"/>
      <c r="J1424" t="n">
        <v>0.8622</v>
      </c>
      <c r="K1424" t="n">
        <v>0</v>
      </c>
      <c r="L1424" t="n">
        <v>0.62</v>
      </c>
      <c r="M1424" t="n">
        <v>0.38</v>
      </c>
    </row>
    <row r="1425" spans="1:13">
      <c r="A1425" s="1">
        <f>HYPERLINK("http://www.twitter.com/NathanBLawrence/status/993161030086942721", "993161030086942721")</f>
        <v/>
      </c>
      <c r="B1425" s="2" t="n">
        <v>43226.67379629629</v>
      </c>
      <c r="C1425" t="n">
        <v>0</v>
      </c>
      <c r="D1425" t="n">
        <v>25</v>
      </c>
      <c r="E1425" t="s">
        <v>1428</v>
      </c>
      <c r="F1425" t="s"/>
      <c r="G1425" t="s"/>
      <c r="H1425" t="s"/>
      <c r="I1425" t="s"/>
      <c r="J1425" t="n">
        <v>0</v>
      </c>
      <c r="K1425" t="n">
        <v>0</v>
      </c>
      <c r="L1425" t="n">
        <v>1</v>
      </c>
      <c r="M1425" t="n">
        <v>0</v>
      </c>
    </row>
    <row r="1426" spans="1:13">
      <c r="A1426" s="1">
        <f>HYPERLINK("http://www.twitter.com/NathanBLawrence/status/993159681781714944", "993159681781714944")</f>
        <v/>
      </c>
      <c r="B1426" s="2" t="n">
        <v>43226.67006944444</v>
      </c>
      <c r="C1426" t="n">
        <v>19</v>
      </c>
      <c r="D1426" t="n">
        <v>12</v>
      </c>
      <c r="E1426" t="s">
        <v>1429</v>
      </c>
      <c r="F1426" t="s"/>
      <c r="G1426" t="s"/>
      <c r="H1426" t="s"/>
      <c r="I1426" t="s"/>
      <c r="J1426" t="n">
        <v>0</v>
      </c>
      <c r="K1426" t="n">
        <v>0</v>
      </c>
      <c r="L1426" t="n">
        <v>1</v>
      </c>
      <c r="M1426" t="n">
        <v>0</v>
      </c>
    </row>
    <row r="1427" spans="1:13">
      <c r="A1427" s="1">
        <f>HYPERLINK("http://www.twitter.com/NathanBLawrence/status/993156575505330177", "993156575505330177")</f>
        <v/>
      </c>
      <c r="B1427" s="2" t="n">
        <v>43226.66150462963</v>
      </c>
      <c r="C1427" t="n">
        <v>0</v>
      </c>
      <c r="D1427" t="n">
        <v>23</v>
      </c>
      <c r="E1427" t="s">
        <v>1430</v>
      </c>
      <c r="F1427" t="s"/>
      <c r="G1427" t="s"/>
      <c r="H1427" t="s"/>
      <c r="I1427" t="s"/>
      <c r="J1427" t="n">
        <v>0.4019</v>
      </c>
      <c r="K1427" t="n">
        <v>0</v>
      </c>
      <c r="L1427" t="n">
        <v>0.856</v>
      </c>
      <c r="M1427" t="n">
        <v>0.144</v>
      </c>
    </row>
    <row r="1428" spans="1:13">
      <c r="A1428" s="1">
        <f>HYPERLINK("http://www.twitter.com/NathanBLawrence/status/993156292540862464", "993156292540862464")</f>
        <v/>
      </c>
      <c r="B1428" s="2" t="n">
        <v>43226.66071759259</v>
      </c>
      <c r="C1428" t="n">
        <v>0</v>
      </c>
      <c r="D1428" t="n">
        <v>12</v>
      </c>
      <c r="E1428" t="s">
        <v>1431</v>
      </c>
      <c r="F1428" t="s"/>
      <c r="G1428" t="s"/>
      <c r="H1428" t="s"/>
      <c r="I1428" t="s"/>
      <c r="J1428" t="n">
        <v>-0.8481</v>
      </c>
      <c r="K1428" t="n">
        <v>0.349</v>
      </c>
      <c r="L1428" t="n">
        <v>0.651</v>
      </c>
      <c r="M1428" t="n">
        <v>0</v>
      </c>
    </row>
    <row r="1429" spans="1:13">
      <c r="A1429" s="1">
        <f>HYPERLINK("http://www.twitter.com/NathanBLawrence/status/993156200060669952", "993156200060669952")</f>
        <v/>
      </c>
      <c r="B1429" s="2" t="n">
        <v>43226.66046296297</v>
      </c>
      <c r="C1429" t="n">
        <v>0</v>
      </c>
      <c r="D1429" t="n">
        <v>6</v>
      </c>
      <c r="E1429" t="s">
        <v>1432</v>
      </c>
      <c r="F1429" t="s"/>
      <c r="G1429" t="s"/>
      <c r="H1429" t="s"/>
      <c r="I1429" t="s"/>
      <c r="J1429" t="n">
        <v>0</v>
      </c>
      <c r="K1429" t="n">
        <v>0</v>
      </c>
      <c r="L1429" t="n">
        <v>1</v>
      </c>
      <c r="M1429" t="n">
        <v>0</v>
      </c>
    </row>
    <row r="1430" spans="1:13">
      <c r="A1430" s="1">
        <f>HYPERLINK("http://www.twitter.com/NathanBLawrence/status/993087775074390018", "993087775074390018")</f>
        <v/>
      </c>
      <c r="B1430" s="2" t="n">
        <v>43226.47164351852</v>
      </c>
      <c r="C1430" t="n">
        <v>0</v>
      </c>
      <c r="D1430" t="n">
        <v>20</v>
      </c>
      <c r="E1430" t="s">
        <v>1433</v>
      </c>
      <c r="F1430" t="s"/>
      <c r="G1430" t="s"/>
      <c r="H1430" t="s"/>
      <c r="I1430" t="s"/>
      <c r="J1430" t="n">
        <v>0.3182</v>
      </c>
      <c r="K1430" t="n">
        <v>0</v>
      </c>
      <c r="L1430" t="n">
        <v>0.867</v>
      </c>
      <c r="M1430" t="n">
        <v>0.133</v>
      </c>
    </row>
    <row r="1431" spans="1:13">
      <c r="A1431" s="1">
        <f>HYPERLINK("http://www.twitter.com/NathanBLawrence/status/993087573630291969", "993087573630291969")</f>
        <v/>
      </c>
      <c r="B1431" s="2" t="n">
        <v>43226.47108796296</v>
      </c>
      <c r="C1431" t="n">
        <v>0</v>
      </c>
      <c r="D1431" t="n">
        <v>3</v>
      </c>
      <c r="E1431" t="s">
        <v>1434</v>
      </c>
      <c r="F1431">
        <f>HYPERLINK("http://pbs.twimg.com/media/DZkJBjEVoAAVFIF.jpg", "http://pbs.twimg.com/media/DZkJBjEVoAAVFIF.jpg")</f>
        <v/>
      </c>
      <c r="G1431">
        <f>HYPERLINK("http://pbs.twimg.com/media/DZkJB6TU0AAuHa8.jpg", "http://pbs.twimg.com/media/DZkJB6TU0AAuHa8.jpg")</f>
        <v/>
      </c>
      <c r="H1431">
        <f>HYPERLINK("http://pbs.twimg.com/media/DZkJCqzVAAAGmJJ.jpg", "http://pbs.twimg.com/media/DZkJCqzVAAAGmJJ.jpg")</f>
        <v/>
      </c>
      <c r="I1431">
        <f>HYPERLINK("http://pbs.twimg.com/media/DZkJEtAVwAEulIF.jpg", "http://pbs.twimg.com/media/DZkJEtAVwAEulIF.jpg")</f>
        <v/>
      </c>
      <c r="J1431" t="n">
        <v>0</v>
      </c>
      <c r="K1431" t="n">
        <v>0</v>
      </c>
      <c r="L1431" t="n">
        <v>1</v>
      </c>
      <c r="M1431" t="n">
        <v>0</v>
      </c>
    </row>
    <row r="1432" spans="1:13">
      <c r="A1432" s="1">
        <f>HYPERLINK("http://www.twitter.com/NathanBLawrence/status/993087542550548480", "993087542550548480")</f>
        <v/>
      </c>
      <c r="B1432" s="2" t="n">
        <v>43226.47100694444</v>
      </c>
      <c r="C1432" t="n">
        <v>0</v>
      </c>
      <c r="D1432" t="n">
        <v>56</v>
      </c>
      <c r="E1432" t="s">
        <v>1435</v>
      </c>
      <c r="F1432" t="s"/>
      <c r="G1432" t="s"/>
      <c r="H1432" t="s"/>
      <c r="I1432" t="s"/>
      <c r="J1432" t="n">
        <v>0.6688</v>
      </c>
      <c r="K1432" t="n">
        <v>0</v>
      </c>
      <c r="L1432" t="n">
        <v>0.698</v>
      </c>
      <c r="M1432" t="n">
        <v>0.302</v>
      </c>
    </row>
    <row r="1433" spans="1:13">
      <c r="A1433" s="1">
        <f>HYPERLINK("http://www.twitter.com/NathanBLawrence/status/993087363785084928", "993087363785084928")</f>
        <v/>
      </c>
      <c r="B1433" s="2" t="n">
        <v>43226.47050925926</v>
      </c>
      <c r="C1433" t="n">
        <v>0</v>
      </c>
      <c r="D1433" t="n">
        <v>122</v>
      </c>
      <c r="E1433" t="s">
        <v>1436</v>
      </c>
      <c r="F1433" t="s"/>
      <c r="G1433" t="s"/>
      <c r="H1433" t="s"/>
      <c r="I1433" t="s"/>
      <c r="J1433" t="n">
        <v>-0.25</v>
      </c>
      <c r="K1433" t="n">
        <v>0.2</v>
      </c>
      <c r="L1433" t="n">
        <v>0.6</v>
      </c>
      <c r="M1433" t="n">
        <v>0.2</v>
      </c>
    </row>
    <row r="1434" spans="1:13">
      <c r="A1434" s="1">
        <f>HYPERLINK("http://www.twitter.com/NathanBLawrence/status/993087351130853376", "993087351130853376")</f>
        <v/>
      </c>
      <c r="B1434" s="2" t="n">
        <v>43226.47047453704</v>
      </c>
      <c r="C1434" t="n">
        <v>0</v>
      </c>
      <c r="D1434" t="n">
        <v>2</v>
      </c>
      <c r="E1434" t="s">
        <v>1437</v>
      </c>
      <c r="F1434" t="s"/>
      <c r="G1434" t="s"/>
      <c r="H1434" t="s"/>
      <c r="I1434" t="s"/>
      <c r="J1434" t="n">
        <v>0.1511</v>
      </c>
      <c r="K1434" t="n">
        <v>0</v>
      </c>
      <c r="L1434" t="n">
        <v>0.926</v>
      </c>
      <c r="M1434" t="n">
        <v>0.074</v>
      </c>
    </row>
    <row r="1435" spans="1:13">
      <c r="A1435" s="1">
        <f>HYPERLINK("http://www.twitter.com/NathanBLawrence/status/993081836204101632", "993081836204101632")</f>
        <v/>
      </c>
      <c r="B1435" s="2" t="n">
        <v>43226.45525462963</v>
      </c>
      <c r="C1435" t="n">
        <v>1</v>
      </c>
      <c r="D1435" t="n">
        <v>0</v>
      </c>
      <c r="E1435" t="s">
        <v>1438</v>
      </c>
      <c r="F1435" t="s"/>
      <c r="G1435" t="s"/>
      <c r="H1435" t="s"/>
      <c r="I1435" t="s"/>
      <c r="J1435" t="n">
        <v>-0.6249</v>
      </c>
      <c r="K1435" t="n">
        <v>0.63</v>
      </c>
      <c r="L1435" t="n">
        <v>0.37</v>
      </c>
      <c r="M1435" t="n">
        <v>0</v>
      </c>
    </row>
    <row r="1436" spans="1:13">
      <c r="A1436" s="1">
        <f>HYPERLINK("http://www.twitter.com/NathanBLawrence/status/993080428012728321", "993080428012728321")</f>
        <v/>
      </c>
      <c r="B1436" s="2" t="n">
        <v>43226.45137731481</v>
      </c>
      <c r="C1436" t="n">
        <v>11</v>
      </c>
      <c r="D1436" t="n">
        <v>12</v>
      </c>
      <c r="E1436" t="s">
        <v>1439</v>
      </c>
      <c r="F1436" t="s"/>
      <c r="G1436" t="s"/>
      <c r="H1436" t="s"/>
      <c r="I1436" t="s"/>
      <c r="J1436" t="n">
        <v>-0.8481</v>
      </c>
      <c r="K1436" t="n">
        <v>0.267</v>
      </c>
      <c r="L1436" t="n">
        <v>0.733</v>
      </c>
      <c r="M1436" t="n">
        <v>0</v>
      </c>
    </row>
    <row r="1437" spans="1:13">
      <c r="A1437" s="1">
        <f>HYPERLINK("http://www.twitter.com/NathanBLawrence/status/993074722991673344", "993074722991673344")</f>
        <v/>
      </c>
      <c r="B1437" s="2" t="n">
        <v>43226.43563657408</v>
      </c>
      <c r="C1437" t="n">
        <v>0</v>
      </c>
      <c r="D1437" t="n">
        <v>2706</v>
      </c>
      <c r="E1437" t="s">
        <v>1440</v>
      </c>
      <c r="F1437" t="s"/>
      <c r="G1437" t="s"/>
      <c r="H1437" t="s"/>
      <c r="I1437" t="s"/>
      <c r="J1437" t="n">
        <v>0.4941</v>
      </c>
      <c r="K1437" t="n">
        <v>0.077</v>
      </c>
      <c r="L1437" t="n">
        <v>0.774</v>
      </c>
      <c r="M1437" t="n">
        <v>0.148</v>
      </c>
    </row>
    <row r="1438" spans="1:13">
      <c r="A1438" s="1">
        <f>HYPERLINK("http://www.twitter.com/NathanBLawrence/status/993073937721503744", "993073937721503744")</f>
        <v/>
      </c>
      <c r="B1438" s="2" t="n">
        <v>43226.43346064815</v>
      </c>
      <c r="C1438" t="n">
        <v>0</v>
      </c>
      <c r="D1438" t="n">
        <v>195</v>
      </c>
      <c r="E1438" t="s">
        <v>1441</v>
      </c>
      <c r="F1438">
        <f>HYPERLINK("http://pbs.twimg.com/media/DcXWyXSXkAEjcXK.jpg", "http://pbs.twimg.com/media/DcXWyXSXkAEjcXK.jpg")</f>
        <v/>
      </c>
      <c r="G1438" t="s"/>
      <c r="H1438" t="s"/>
      <c r="I1438" t="s"/>
      <c r="J1438" t="n">
        <v>-0.7269</v>
      </c>
      <c r="K1438" t="n">
        <v>0.264</v>
      </c>
      <c r="L1438" t="n">
        <v>0.736</v>
      </c>
      <c r="M1438" t="n">
        <v>0</v>
      </c>
    </row>
    <row r="1439" spans="1:13">
      <c r="A1439" s="1">
        <f>HYPERLINK("http://www.twitter.com/NathanBLawrence/status/993072558915440640", "993072558915440640")</f>
        <v/>
      </c>
      <c r="B1439" s="2" t="n">
        <v>43226.42966435185</v>
      </c>
      <c r="C1439" t="n">
        <v>5</v>
      </c>
      <c r="D1439" t="n">
        <v>6</v>
      </c>
      <c r="E1439" t="s">
        <v>1442</v>
      </c>
      <c r="F1439" t="s"/>
      <c r="G1439" t="s"/>
      <c r="H1439" t="s"/>
      <c r="I1439" t="s"/>
      <c r="J1439" t="n">
        <v>0</v>
      </c>
      <c r="K1439" t="n">
        <v>0</v>
      </c>
      <c r="L1439" t="n">
        <v>1</v>
      </c>
      <c r="M1439" t="n">
        <v>0</v>
      </c>
    </row>
    <row r="1440" spans="1:13">
      <c r="A1440" s="1">
        <f>HYPERLINK("http://www.twitter.com/NathanBLawrence/status/993066055810641920", "993066055810641920")</f>
        <v/>
      </c>
      <c r="B1440" s="2" t="n">
        <v>43226.41171296296</v>
      </c>
      <c r="C1440" t="n">
        <v>0</v>
      </c>
      <c r="D1440" t="n">
        <v>54</v>
      </c>
      <c r="E1440" t="s">
        <v>1443</v>
      </c>
      <c r="F1440" t="s"/>
      <c r="G1440" t="s"/>
      <c r="H1440" t="s"/>
      <c r="I1440" t="s"/>
      <c r="J1440" t="n">
        <v>0</v>
      </c>
      <c r="K1440" t="n">
        <v>0</v>
      </c>
      <c r="L1440" t="n">
        <v>1</v>
      </c>
      <c r="M1440" t="n">
        <v>0</v>
      </c>
    </row>
    <row r="1441" spans="1:13">
      <c r="A1441" s="1">
        <f>HYPERLINK("http://www.twitter.com/NathanBLawrence/status/993064594238246913", "993064594238246913")</f>
        <v/>
      </c>
      <c r="B1441" s="2" t="n">
        <v>43226.40768518519</v>
      </c>
      <c r="C1441" t="n">
        <v>0</v>
      </c>
      <c r="D1441" t="n">
        <v>1</v>
      </c>
      <c r="E1441" t="s">
        <v>1444</v>
      </c>
      <c r="F1441" t="s"/>
      <c r="G1441" t="s"/>
      <c r="H1441" t="s"/>
      <c r="I1441" t="s"/>
      <c r="J1441" t="n">
        <v>0</v>
      </c>
      <c r="K1441" t="n">
        <v>0</v>
      </c>
      <c r="L1441" t="n">
        <v>1</v>
      </c>
      <c r="M1441" t="n">
        <v>0</v>
      </c>
    </row>
    <row r="1442" spans="1:13">
      <c r="A1442" s="1">
        <f>HYPERLINK("http://www.twitter.com/NathanBLawrence/status/993062387786887168", "993062387786887168")</f>
        <v/>
      </c>
      <c r="B1442" s="2" t="n">
        <v>43226.40159722222</v>
      </c>
      <c r="C1442" t="n">
        <v>0</v>
      </c>
      <c r="D1442" t="n">
        <v>2</v>
      </c>
      <c r="E1442" t="s">
        <v>1445</v>
      </c>
      <c r="F1442" t="s"/>
      <c r="G1442" t="s"/>
      <c r="H1442" t="s"/>
      <c r="I1442" t="s"/>
      <c r="J1442" t="n">
        <v>0</v>
      </c>
      <c r="K1442" t="n">
        <v>0</v>
      </c>
      <c r="L1442" t="n">
        <v>1</v>
      </c>
      <c r="M1442" t="n">
        <v>0</v>
      </c>
    </row>
    <row r="1443" spans="1:13">
      <c r="A1443" s="1">
        <f>HYPERLINK("http://www.twitter.com/NathanBLawrence/status/992941930811133952", "992941930811133952")</f>
        <v/>
      </c>
      <c r="B1443" s="2" t="n">
        <v>43226.06918981481</v>
      </c>
      <c r="C1443" t="n">
        <v>0</v>
      </c>
      <c r="D1443" t="n">
        <v>68</v>
      </c>
      <c r="E1443" t="s">
        <v>1446</v>
      </c>
      <c r="F1443" t="s"/>
      <c r="G1443" t="s"/>
      <c r="H1443" t="s"/>
      <c r="I1443" t="s"/>
      <c r="J1443" t="n">
        <v>-0.3164</v>
      </c>
      <c r="K1443" t="n">
        <v>0.16</v>
      </c>
      <c r="L1443" t="n">
        <v>0.736</v>
      </c>
      <c r="M1443" t="n">
        <v>0.104</v>
      </c>
    </row>
    <row r="1444" spans="1:13">
      <c r="A1444" s="1">
        <f>HYPERLINK("http://www.twitter.com/NathanBLawrence/status/992936570805276672", "992936570805276672")</f>
        <v/>
      </c>
      <c r="B1444" s="2" t="n">
        <v>43226.05440972222</v>
      </c>
      <c r="C1444" t="n">
        <v>0</v>
      </c>
      <c r="D1444" t="n">
        <v>12</v>
      </c>
      <c r="E1444" t="s">
        <v>1447</v>
      </c>
      <c r="F1444" t="s"/>
      <c r="G1444" t="s"/>
      <c r="H1444" t="s"/>
      <c r="I1444" t="s"/>
      <c r="J1444" t="n">
        <v>0</v>
      </c>
      <c r="K1444" t="n">
        <v>0</v>
      </c>
      <c r="L1444" t="n">
        <v>1</v>
      </c>
      <c r="M1444" t="n">
        <v>0</v>
      </c>
    </row>
    <row r="1445" spans="1:13">
      <c r="A1445" s="1">
        <f>HYPERLINK("http://www.twitter.com/NathanBLawrence/status/992936391049871361", "992936391049871361")</f>
        <v/>
      </c>
      <c r="B1445" s="2" t="n">
        <v>43226.05391203704</v>
      </c>
      <c r="C1445" t="n">
        <v>0</v>
      </c>
      <c r="D1445" t="n">
        <v>7</v>
      </c>
      <c r="E1445" t="s">
        <v>1448</v>
      </c>
      <c r="F1445" t="s"/>
      <c r="G1445" t="s"/>
      <c r="H1445" t="s"/>
      <c r="I1445" t="s"/>
      <c r="J1445" t="n">
        <v>0.5719</v>
      </c>
      <c r="K1445" t="n">
        <v>0</v>
      </c>
      <c r="L1445" t="n">
        <v>0.764</v>
      </c>
      <c r="M1445" t="n">
        <v>0.236</v>
      </c>
    </row>
    <row r="1446" spans="1:13">
      <c r="A1446" s="1">
        <f>HYPERLINK("http://www.twitter.com/NathanBLawrence/status/992936294790717441", "992936294790717441")</f>
        <v/>
      </c>
      <c r="B1446" s="2" t="n">
        <v>43226.05364583333</v>
      </c>
      <c r="C1446" t="n">
        <v>0</v>
      </c>
      <c r="D1446" t="n">
        <v>157</v>
      </c>
      <c r="E1446" t="s">
        <v>1449</v>
      </c>
      <c r="F1446">
        <f>HYPERLINK("http://pbs.twimg.com/media/DceEK7zV0AAU9Y-.jpg", "http://pbs.twimg.com/media/DceEK7zV0AAU9Y-.jpg")</f>
        <v/>
      </c>
      <c r="G1446" t="s"/>
      <c r="H1446" t="s"/>
      <c r="I1446" t="s"/>
      <c r="J1446" t="n">
        <v>0.4648</v>
      </c>
      <c r="K1446" t="n">
        <v>0</v>
      </c>
      <c r="L1446" t="n">
        <v>0.8110000000000001</v>
      </c>
      <c r="M1446" t="n">
        <v>0.189</v>
      </c>
    </row>
    <row r="1447" spans="1:13">
      <c r="A1447" s="1">
        <f>HYPERLINK("http://www.twitter.com/NathanBLawrence/status/992936207934984192", "992936207934984192")</f>
        <v/>
      </c>
      <c r="B1447" s="2" t="n">
        <v>43226.05340277778</v>
      </c>
      <c r="C1447" t="n">
        <v>3</v>
      </c>
      <c r="D1447" t="n">
        <v>2</v>
      </c>
      <c r="E1447" t="s">
        <v>1450</v>
      </c>
      <c r="F1447" t="s"/>
      <c r="G1447" t="s"/>
      <c r="H1447" t="s"/>
      <c r="I1447" t="s"/>
      <c r="J1447" t="n">
        <v>0.2732</v>
      </c>
      <c r="K1447" t="n">
        <v>0</v>
      </c>
      <c r="L1447" t="n">
        <v>0.913</v>
      </c>
      <c r="M1447" t="n">
        <v>0.08699999999999999</v>
      </c>
    </row>
    <row r="1448" spans="1:13">
      <c r="A1448" s="1">
        <f>HYPERLINK("http://www.twitter.com/NathanBLawrence/status/992935572506337281", "992935572506337281")</f>
        <v/>
      </c>
      <c r="B1448" s="2" t="n">
        <v>43226.05164351852</v>
      </c>
      <c r="C1448" t="n">
        <v>0</v>
      </c>
      <c r="D1448" t="n">
        <v>12</v>
      </c>
      <c r="E1448" t="s">
        <v>1451</v>
      </c>
      <c r="F1448" t="s"/>
      <c r="G1448" t="s"/>
      <c r="H1448" t="s"/>
      <c r="I1448" t="s"/>
      <c r="J1448" t="n">
        <v>0</v>
      </c>
      <c r="K1448" t="n">
        <v>0</v>
      </c>
      <c r="L1448" t="n">
        <v>1</v>
      </c>
      <c r="M1448" t="n">
        <v>0</v>
      </c>
    </row>
    <row r="1449" spans="1:13">
      <c r="A1449" s="1">
        <f>HYPERLINK("http://www.twitter.com/NathanBLawrence/status/992910479143178246", "992910479143178246")</f>
        <v/>
      </c>
      <c r="B1449" s="2" t="n">
        <v>43225.98240740741</v>
      </c>
      <c r="C1449" t="n">
        <v>3</v>
      </c>
      <c r="D1449" t="n">
        <v>2</v>
      </c>
      <c r="E1449" t="s">
        <v>1452</v>
      </c>
      <c r="F1449" t="s"/>
      <c r="G1449" t="s"/>
      <c r="H1449" t="s"/>
      <c r="I1449" t="s"/>
      <c r="J1449" t="n">
        <v>-0.4767</v>
      </c>
      <c r="K1449" t="n">
        <v>0.21</v>
      </c>
      <c r="L1449" t="n">
        <v>0.658</v>
      </c>
      <c r="M1449" t="n">
        <v>0.132</v>
      </c>
    </row>
    <row r="1450" spans="1:13">
      <c r="A1450" s="1">
        <f>HYPERLINK("http://www.twitter.com/NathanBLawrence/status/992906226999668737", "992906226999668737")</f>
        <v/>
      </c>
      <c r="B1450" s="2" t="n">
        <v>43225.97067129629</v>
      </c>
      <c r="C1450" t="n">
        <v>0</v>
      </c>
      <c r="D1450" t="n">
        <v>1</v>
      </c>
      <c r="E1450" t="s">
        <v>1453</v>
      </c>
      <c r="F1450" t="s"/>
      <c r="G1450" t="s"/>
      <c r="H1450" t="s"/>
      <c r="I1450" t="s"/>
      <c r="J1450" t="n">
        <v>0.6892</v>
      </c>
      <c r="K1450" t="n">
        <v>0</v>
      </c>
      <c r="L1450" t="n">
        <v>0.784</v>
      </c>
      <c r="M1450" t="n">
        <v>0.216</v>
      </c>
    </row>
    <row r="1451" spans="1:13">
      <c r="A1451" s="1">
        <f>HYPERLINK("http://www.twitter.com/NathanBLawrence/status/992906051266768896", "992906051266768896")</f>
        <v/>
      </c>
      <c r="B1451" s="2" t="n">
        <v>43225.97018518519</v>
      </c>
      <c r="C1451" t="n">
        <v>0</v>
      </c>
      <c r="D1451" t="n">
        <v>6</v>
      </c>
      <c r="E1451" t="s">
        <v>1454</v>
      </c>
      <c r="F1451" t="s"/>
      <c r="G1451" t="s"/>
      <c r="H1451" t="s"/>
      <c r="I1451" t="s"/>
      <c r="J1451" t="n">
        <v>0.3476</v>
      </c>
      <c r="K1451" t="n">
        <v>0.115</v>
      </c>
      <c r="L1451" t="n">
        <v>0.649</v>
      </c>
      <c r="M1451" t="n">
        <v>0.236</v>
      </c>
    </row>
    <row r="1452" spans="1:13">
      <c r="A1452" s="1">
        <f>HYPERLINK("http://www.twitter.com/NathanBLawrence/status/992905992328409088", "992905992328409088")</f>
        <v/>
      </c>
      <c r="B1452" s="2" t="n">
        <v>43225.97002314815</v>
      </c>
      <c r="C1452" t="n">
        <v>0</v>
      </c>
      <c r="D1452" t="n">
        <v>26</v>
      </c>
      <c r="E1452" t="s">
        <v>1455</v>
      </c>
      <c r="F1452">
        <f>HYPERLINK("http://pbs.twimg.com/media/DOcatPvU8AAu60e.jpg", "http://pbs.twimg.com/media/DOcatPvU8AAu60e.jpg")</f>
        <v/>
      </c>
      <c r="G1452" t="s"/>
      <c r="H1452" t="s"/>
      <c r="I1452" t="s"/>
      <c r="J1452" t="n">
        <v>0.4019</v>
      </c>
      <c r="K1452" t="n">
        <v>0</v>
      </c>
      <c r="L1452" t="n">
        <v>0.649</v>
      </c>
      <c r="M1452" t="n">
        <v>0.351</v>
      </c>
    </row>
    <row r="1453" spans="1:13">
      <c r="A1453" s="1">
        <f>HYPERLINK("http://www.twitter.com/NathanBLawrence/status/992905956513247232", "992905956513247232")</f>
        <v/>
      </c>
      <c r="B1453" s="2" t="n">
        <v>43225.96991898148</v>
      </c>
      <c r="C1453" t="n">
        <v>0</v>
      </c>
      <c r="D1453" t="n">
        <v>24</v>
      </c>
      <c r="E1453" t="s">
        <v>1456</v>
      </c>
      <c r="F1453">
        <f>HYPERLINK("http://pbs.twimg.com/media/DOca59kVwAAxKkv.jpg", "http://pbs.twimg.com/media/DOca59kVwAAxKkv.jpg")</f>
        <v/>
      </c>
      <c r="G1453" t="s"/>
      <c r="H1453" t="s"/>
      <c r="I1453" t="s"/>
      <c r="J1453" t="n">
        <v>0</v>
      </c>
      <c r="K1453" t="n">
        <v>0</v>
      </c>
      <c r="L1453" t="n">
        <v>1</v>
      </c>
      <c r="M1453" t="n">
        <v>0</v>
      </c>
    </row>
    <row r="1454" spans="1:13">
      <c r="A1454" s="1">
        <f>HYPERLINK("http://www.twitter.com/NathanBLawrence/status/992905904210284544", "992905904210284544")</f>
        <v/>
      </c>
      <c r="B1454" s="2" t="n">
        <v>43225.96978009259</v>
      </c>
      <c r="C1454" t="n">
        <v>0</v>
      </c>
      <c r="D1454" t="n">
        <v>12</v>
      </c>
      <c r="E1454" t="s">
        <v>1457</v>
      </c>
      <c r="F1454">
        <f>HYPERLINK("http://pbs.twimg.com/media/DOca7q3VQAEwG5r.jpg", "http://pbs.twimg.com/media/DOca7q3VQAEwG5r.jpg")</f>
        <v/>
      </c>
      <c r="G1454" t="s"/>
      <c r="H1454" t="s"/>
      <c r="I1454" t="s"/>
      <c r="J1454" t="n">
        <v>0</v>
      </c>
      <c r="K1454" t="n">
        <v>0</v>
      </c>
      <c r="L1454" t="n">
        <v>1</v>
      </c>
      <c r="M1454" t="n">
        <v>0</v>
      </c>
    </row>
    <row r="1455" spans="1:13">
      <c r="A1455" s="1">
        <f>HYPERLINK("http://www.twitter.com/NathanBLawrence/status/992905723960061958", "992905723960061958")</f>
        <v/>
      </c>
      <c r="B1455" s="2" t="n">
        <v>43225.96928240741</v>
      </c>
      <c r="C1455" t="n">
        <v>0</v>
      </c>
      <c r="D1455" t="n">
        <v>38</v>
      </c>
      <c r="E1455" t="s">
        <v>1458</v>
      </c>
      <c r="F1455">
        <f>HYPERLINK("http://pbs.twimg.com/media/DOcazRrVQAAY73f.jpg", "http://pbs.twimg.com/media/DOcazRrVQAAY73f.jpg")</f>
        <v/>
      </c>
      <c r="G1455" t="s"/>
      <c r="H1455" t="s"/>
      <c r="I1455" t="s"/>
      <c r="J1455" t="n">
        <v>0</v>
      </c>
      <c r="K1455" t="n">
        <v>0</v>
      </c>
      <c r="L1455" t="n">
        <v>1</v>
      </c>
      <c r="M1455" t="n">
        <v>0</v>
      </c>
    </row>
    <row r="1456" spans="1:13">
      <c r="A1456" s="1">
        <f>HYPERLINK("http://www.twitter.com/NathanBLawrence/status/992905658122080257", "992905658122080257")</f>
        <v/>
      </c>
      <c r="B1456" s="2" t="n">
        <v>43225.96909722222</v>
      </c>
      <c r="C1456" t="n">
        <v>0</v>
      </c>
      <c r="D1456" t="n">
        <v>9</v>
      </c>
      <c r="E1456" t="s">
        <v>1459</v>
      </c>
      <c r="F1456">
        <f>HYPERLINK("http://pbs.twimg.com/media/DbEavcJUMAAMXp0.jpg", "http://pbs.twimg.com/media/DbEavcJUMAAMXp0.jpg")</f>
        <v/>
      </c>
      <c r="G1456" t="s"/>
      <c r="H1456" t="s"/>
      <c r="I1456" t="s"/>
      <c r="J1456" t="n">
        <v>0.5399</v>
      </c>
      <c r="K1456" t="n">
        <v>0.124</v>
      </c>
      <c r="L1456" t="n">
        <v>0.652</v>
      </c>
      <c r="M1456" t="n">
        <v>0.225</v>
      </c>
    </row>
    <row r="1457" spans="1:13">
      <c r="A1457" s="1">
        <f>HYPERLINK("http://www.twitter.com/NathanBLawrence/status/992905634201915393", "992905634201915393")</f>
        <v/>
      </c>
      <c r="B1457" s="2" t="n">
        <v>43225.96903935185</v>
      </c>
      <c r="C1457" t="n">
        <v>0</v>
      </c>
      <c r="D1457" t="n">
        <v>12</v>
      </c>
      <c r="E1457" t="s">
        <v>1460</v>
      </c>
      <c r="F1457" t="s"/>
      <c r="G1457" t="s"/>
      <c r="H1457" t="s"/>
      <c r="I1457" t="s"/>
      <c r="J1457" t="n">
        <v>0</v>
      </c>
      <c r="K1457" t="n">
        <v>0</v>
      </c>
      <c r="L1457" t="n">
        <v>1</v>
      </c>
      <c r="M1457" t="n">
        <v>0</v>
      </c>
    </row>
    <row r="1458" spans="1:13">
      <c r="A1458" s="1">
        <f>HYPERLINK("http://www.twitter.com/NathanBLawrence/status/992905591973732352", "992905591973732352")</f>
        <v/>
      </c>
      <c r="B1458" s="2" t="n">
        <v>43225.96892361111</v>
      </c>
      <c r="C1458" t="n">
        <v>0</v>
      </c>
      <c r="D1458" t="n">
        <v>23</v>
      </c>
      <c r="E1458" t="s">
        <v>1461</v>
      </c>
      <c r="F1458">
        <f>HYPERLINK("https://video.twimg.com/ext_tw_video/929738051965796352/pu/vid/1280x720/ZxRFocsz_7ARthF3.mp4", "https://video.twimg.com/ext_tw_video/929738051965796352/pu/vid/1280x720/ZxRFocsz_7ARthF3.mp4")</f>
        <v/>
      </c>
      <c r="G1458" t="s"/>
      <c r="H1458" t="s"/>
      <c r="I1458" t="s"/>
      <c r="J1458" t="n">
        <v>0</v>
      </c>
      <c r="K1458" t="n">
        <v>0</v>
      </c>
      <c r="L1458" t="n">
        <v>1</v>
      </c>
      <c r="M1458" t="n">
        <v>0</v>
      </c>
    </row>
    <row r="1459" spans="1:13">
      <c r="A1459" s="1">
        <f>HYPERLINK("http://www.twitter.com/NathanBLawrence/status/992905513804468224", "992905513804468224")</f>
        <v/>
      </c>
      <c r="B1459" s="2" t="n">
        <v>43225.9687037037</v>
      </c>
      <c r="C1459" t="n">
        <v>0</v>
      </c>
      <c r="D1459" t="n">
        <v>356</v>
      </c>
      <c r="E1459" t="s">
        <v>1462</v>
      </c>
      <c r="F1459">
        <f>HYPERLINK("https://video.twimg.com/ext_tw_video/929738051965796352/pu/vid/1280x720/ZxRFocsz_7ARthF3.mp4", "https://video.twimg.com/ext_tw_video/929738051965796352/pu/vid/1280x720/ZxRFocsz_7ARthF3.mp4")</f>
        <v/>
      </c>
      <c r="G1459" t="s"/>
      <c r="H1459" t="s"/>
      <c r="I1459" t="s"/>
      <c r="J1459" t="n">
        <v>0.6996</v>
      </c>
      <c r="K1459" t="n">
        <v>0</v>
      </c>
      <c r="L1459" t="n">
        <v>0.775</v>
      </c>
      <c r="M1459" t="n">
        <v>0.225</v>
      </c>
    </row>
    <row r="1460" spans="1:13">
      <c r="A1460" s="1">
        <f>HYPERLINK("http://www.twitter.com/NathanBLawrence/status/992905267493986305", "992905267493986305")</f>
        <v/>
      </c>
      <c r="B1460" s="2" t="n">
        <v>43225.96802083333</v>
      </c>
      <c r="C1460" t="n">
        <v>0</v>
      </c>
      <c r="D1460" t="n">
        <v>5</v>
      </c>
      <c r="E1460" t="s">
        <v>1463</v>
      </c>
      <c r="F1460" t="s"/>
      <c r="G1460" t="s"/>
      <c r="H1460" t="s"/>
      <c r="I1460" t="s"/>
      <c r="J1460" t="n">
        <v>0.4939</v>
      </c>
      <c r="K1460" t="n">
        <v>0</v>
      </c>
      <c r="L1460" t="n">
        <v>0.714</v>
      </c>
      <c r="M1460" t="n">
        <v>0.286</v>
      </c>
    </row>
    <row r="1461" spans="1:13">
      <c r="A1461" s="1">
        <f>HYPERLINK("http://www.twitter.com/NathanBLawrence/status/992905225810927618", "992905225810927618")</f>
        <v/>
      </c>
      <c r="B1461" s="2" t="n">
        <v>43225.96790509259</v>
      </c>
      <c r="C1461" t="n">
        <v>0</v>
      </c>
      <c r="D1461" t="n">
        <v>3</v>
      </c>
      <c r="E1461" t="s">
        <v>1464</v>
      </c>
      <c r="F1461" t="s"/>
      <c r="G1461" t="s"/>
      <c r="H1461" t="s"/>
      <c r="I1461" t="s"/>
      <c r="J1461" t="n">
        <v>0.555</v>
      </c>
      <c r="K1461" t="n">
        <v>0</v>
      </c>
      <c r="L1461" t="n">
        <v>0.848</v>
      </c>
      <c r="M1461" t="n">
        <v>0.152</v>
      </c>
    </row>
    <row r="1462" spans="1:13">
      <c r="A1462" s="1">
        <f>HYPERLINK("http://www.twitter.com/NathanBLawrence/status/992905195041558531", "992905195041558531")</f>
        <v/>
      </c>
      <c r="B1462" s="2" t="n">
        <v>43225.96782407408</v>
      </c>
      <c r="C1462" t="n">
        <v>0</v>
      </c>
      <c r="D1462" t="n">
        <v>1</v>
      </c>
      <c r="E1462" t="s">
        <v>1465</v>
      </c>
      <c r="F1462" t="s"/>
      <c r="G1462" t="s"/>
      <c r="H1462" t="s"/>
      <c r="I1462" t="s"/>
      <c r="J1462" t="n">
        <v>0</v>
      </c>
      <c r="K1462" t="n">
        <v>0</v>
      </c>
      <c r="L1462" t="n">
        <v>1</v>
      </c>
      <c r="M1462" t="n">
        <v>0</v>
      </c>
    </row>
    <row r="1463" spans="1:13">
      <c r="A1463" s="1">
        <f>HYPERLINK("http://www.twitter.com/NathanBLawrence/status/992905183297499137", "992905183297499137")</f>
        <v/>
      </c>
      <c r="B1463" s="2" t="n">
        <v>43225.96778935185</v>
      </c>
      <c r="C1463" t="n">
        <v>0</v>
      </c>
      <c r="D1463" t="n">
        <v>5</v>
      </c>
      <c r="E1463" t="s">
        <v>1466</v>
      </c>
      <c r="F1463" t="s"/>
      <c r="G1463" t="s"/>
      <c r="H1463" t="s"/>
      <c r="I1463" t="s"/>
      <c r="J1463" t="n">
        <v>0.4199</v>
      </c>
      <c r="K1463" t="n">
        <v>0</v>
      </c>
      <c r="L1463" t="n">
        <v>0.715</v>
      </c>
      <c r="M1463" t="n">
        <v>0.285</v>
      </c>
    </row>
    <row r="1464" spans="1:13">
      <c r="A1464" s="1">
        <f>HYPERLINK("http://www.twitter.com/NathanBLawrence/status/992905009238040576", "992905009238040576")</f>
        <v/>
      </c>
      <c r="B1464" s="2" t="n">
        <v>43225.96731481481</v>
      </c>
      <c r="C1464" t="n">
        <v>0</v>
      </c>
      <c r="D1464" t="n">
        <v>43</v>
      </c>
      <c r="E1464" t="s">
        <v>1467</v>
      </c>
      <c r="F1464">
        <f>HYPERLINK("http://pbs.twimg.com/media/DcdqdDnX0AAY6Fz.jpg", "http://pbs.twimg.com/media/DcdqdDnX0AAY6Fz.jpg")</f>
        <v/>
      </c>
      <c r="G1464" t="s"/>
      <c r="H1464" t="s"/>
      <c r="I1464" t="s"/>
      <c r="J1464" t="n">
        <v>0.4019</v>
      </c>
      <c r="K1464" t="n">
        <v>0</v>
      </c>
      <c r="L1464" t="n">
        <v>0.881</v>
      </c>
      <c r="M1464" t="n">
        <v>0.119</v>
      </c>
    </row>
    <row r="1465" spans="1:13">
      <c r="A1465" s="1">
        <f>HYPERLINK("http://www.twitter.com/NathanBLawrence/status/992881543457726464", "992881543457726464")</f>
        <v/>
      </c>
      <c r="B1465" s="2" t="n">
        <v>43225.90255787037</v>
      </c>
      <c r="C1465" t="n">
        <v>2</v>
      </c>
      <c r="D1465" t="n">
        <v>2</v>
      </c>
      <c r="E1465" t="s">
        <v>1468</v>
      </c>
      <c r="F1465" t="s"/>
      <c r="G1465" t="s"/>
      <c r="H1465" t="s"/>
      <c r="I1465" t="s"/>
      <c r="J1465" t="n">
        <v>-0.4019</v>
      </c>
      <c r="K1465" t="n">
        <v>0.076</v>
      </c>
      <c r="L1465" t="n">
        <v>0.924</v>
      </c>
      <c r="M1465" t="n">
        <v>0</v>
      </c>
    </row>
    <row r="1466" spans="1:13">
      <c r="A1466" s="1">
        <f>HYPERLINK("http://www.twitter.com/NathanBLawrence/status/992875997476392960", "992875997476392960")</f>
        <v/>
      </c>
      <c r="B1466" s="2" t="n">
        <v>43225.88725694444</v>
      </c>
      <c r="C1466" t="n">
        <v>32</v>
      </c>
      <c r="D1466" t="n">
        <v>20</v>
      </c>
      <c r="E1466" t="s">
        <v>1469</v>
      </c>
      <c r="F1466" t="s"/>
      <c r="G1466" t="s"/>
      <c r="H1466" t="s"/>
      <c r="I1466" t="s"/>
      <c r="J1466" t="n">
        <v>0.9545</v>
      </c>
      <c r="K1466" t="n">
        <v>0</v>
      </c>
      <c r="L1466" t="n">
        <v>0.699</v>
      </c>
      <c r="M1466" t="n">
        <v>0.301</v>
      </c>
    </row>
    <row r="1467" spans="1:13">
      <c r="A1467" s="1">
        <f>HYPERLINK("http://www.twitter.com/NathanBLawrence/status/992873954913193985", "992873954913193985")</f>
        <v/>
      </c>
      <c r="B1467" s="2" t="n">
        <v>43225.88162037037</v>
      </c>
      <c r="C1467" t="n">
        <v>0</v>
      </c>
      <c r="D1467" t="n">
        <v>5</v>
      </c>
      <c r="E1467" t="s">
        <v>1470</v>
      </c>
      <c r="F1467" t="s"/>
      <c r="G1467" t="s"/>
      <c r="H1467" t="s"/>
      <c r="I1467" t="s"/>
      <c r="J1467" t="n">
        <v>0</v>
      </c>
      <c r="K1467" t="n">
        <v>0</v>
      </c>
      <c r="L1467" t="n">
        <v>1</v>
      </c>
      <c r="M1467" t="n">
        <v>0</v>
      </c>
    </row>
    <row r="1468" spans="1:13">
      <c r="A1468" s="1">
        <f>HYPERLINK("http://www.twitter.com/NathanBLawrence/status/992873851590709253", "992873851590709253")</f>
        <v/>
      </c>
      <c r="B1468" s="2" t="n">
        <v>43225.88133101852</v>
      </c>
      <c r="C1468" t="n">
        <v>2</v>
      </c>
      <c r="D1468" t="n">
        <v>1</v>
      </c>
      <c r="E1468" t="s">
        <v>1471</v>
      </c>
      <c r="F1468">
        <f>HYPERLINK("http://pbs.twimg.com/media/DcdlgF6UQAAC1zI.jpg", "http://pbs.twimg.com/media/DcdlgF6UQAAC1zI.jpg")</f>
        <v/>
      </c>
      <c r="G1468" t="s"/>
      <c r="H1468" t="s"/>
      <c r="I1468" t="s"/>
      <c r="J1468" t="n">
        <v>0</v>
      </c>
      <c r="K1468" t="n">
        <v>0</v>
      </c>
      <c r="L1468" t="n">
        <v>1</v>
      </c>
      <c r="M1468" t="n">
        <v>0</v>
      </c>
    </row>
    <row r="1469" spans="1:13">
      <c r="A1469" s="1">
        <f>HYPERLINK("http://www.twitter.com/NathanBLawrence/status/992873155223056385", "992873155223056385")</f>
        <v/>
      </c>
      <c r="B1469" s="2" t="n">
        <v>43225.87940972222</v>
      </c>
      <c r="C1469" t="n">
        <v>0</v>
      </c>
      <c r="D1469" t="n">
        <v>8</v>
      </c>
      <c r="E1469" t="s">
        <v>806</v>
      </c>
      <c r="F1469" t="s"/>
      <c r="G1469" t="s"/>
      <c r="H1469" t="s"/>
      <c r="I1469" t="s"/>
      <c r="J1469" t="n">
        <v>0</v>
      </c>
      <c r="K1469" t="n">
        <v>0</v>
      </c>
      <c r="L1469" t="n">
        <v>1</v>
      </c>
      <c r="M1469" t="n">
        <v>0</v>
      </c>
    </row>
    <row r="1470" spans="1:13">
      <c r="A1470" s="1">
        <f>HYPERLINK("http://www.twitter.com/NathanBLawrence/status/992872885038604294", "992872885038604294")</f>
        <v/>
      </c>
      <c r="B1470" s="2" t="n">
        <v>43225.87866898148</v>
      </c>
      <c r="C1470" t="n">
        <v>8</v>
      </c>
      <c r="D1470" t="n">
        <v>8</v>
      </c>
      <c r="E1470" t="s">
        <v>1472</v>
      </c>
      <c r="F1470" t="s"/>
      <c r="G1470" t="s"/>
      <c r="H1470" t="s"/>
      <c r="I1470" t="s"/>
      <c r="J1470" t="n">
        <v>0</v>
      </c>
      <c r="K1470" t="n">
        <v>0</v>
      </c>
      <c r="L1470" t="n">
        <v>1</v>
      </c>
      <c r="M1470" t="n">
        <v>0</v>
      </c>
    </row>
    <row r="1471" spans="1:13">
      <c r="A1471" s="1">
        <f>HYPERLINK("http://www.twitter.com/NathanBLawrence/status/992872656809668609", "992872656809668609")</f>
        <v/>
      </c>
      <c r="B1471" s="2" t="n">
        <v>43225.87803240741</v>
      </c>
      <c r="C1471" t="n">
        <v>0</v>
      </c>
      <c r="D1471" t="n">
        <v>15</v>
      </c>
      <c r="E1471" t="s">
        <v>1473</v>
      </c>
      <c r="F1471" t="s"/>
      <c r="G1471" t="s"/>
      <c r="H1471" t="s"/>
      <c r="I1471" t="s"/>
      <c r="J1471" t="n">
        <v>0</v>
      </c>
      <c r="K1471" t="n">
        <v>0</v>
      </c>
      <c r="L1471" t="n">
        <v>1</v>
      </c>
      <c r="M1471" t="n">
        <v>0</v>
      </c>
    </row>
    <row r="1472" spans="1:13">
      <c r="A1472" s="1">
        <f>HYPERLINK("http://www.twitter.com/NathanBLawrence/status/992872119297019905", "992872119297019905")</f>
        <v/>
      </c>
      <c r="B1472" s="2" t="n">
        <v>43225.87655092592</v>
      </c>
      <c r="C1472" t="n">
        <v>0</v>
      </c>
      <c r="D1472" t="n">
        <v>11</v>
      </c>
      <c r="E1472" t="s">
        <v>1474</v>
      </c>
      <c r="F1472" t="s"/>
      <c r="G1472" t="s"/>
      <c r="H1472" t="s"/>
      <c r="I1472" t="s"/>
      <c r="J1472" t="n">
        <v>0</v>
      </c>
      <c r="K1472" t="n">
        <v>0</v>
      </c>
      <c r="L1472" t="n">
        <v>1</v>
      </c>
      <c r="M1472" t="n">
        <v>0</v>
      </c>
    </row>
    <row r="1473" spans="1:13">
      <c r="A1473" s="1">
        <f>HYPERLINK("http://www.twitter.com/NathanBLawrence/status/992871836286439428", "992871836286439428")</f>
        <v/>
      </c>
      <c r="B1473" s="2" t="n">
        <v>43225.87577546296</v>
      </c>
      <c r="C1473" t="n">
        <v>0</v>
      </c>
      <c r="D1473" t="n">
        <v>2</v>
      </c>
      <c r="E1473" t="s">
        <v>1475</v>
      </c>
      <c r="F1473" t="s"/>
      <c r="G1473" t="s"/>
      <c r="H1473" t="s"/>
      <c r="I1473" t="s"/>
      <c r="J1473" t="n">
        <v>0</v>
      </c>
      <c r="K1473" t="n">
        <v>0</v>
      </c>
      <c r="L1473" t="n">
        <v>1</v>
      </c>
      <c r="M1473" t="n">
        <v>0</v>
      </c>
    </row>
    <row r="1474" spans="1:13">
      <c r="A1474" s="1">
        <f>HYPERLINK("http://www.twitter.com/NathanBLawrence/status/992871773719973889", "992871773719973889")</f>
        <v/>
      </c>
      <c r="B1474" s="2" t="n">
        <v>43225.87560185185</v>
      </c>
      <c r="C1474" t="n">
        <v>0</v>
      </c>
      <c r="D1474" t="n">
        <v>14</v>
      </c>
      <c r="E1474" t="s">
        <v>1476</v>
      </c>
      <c r="F1474" t="s"/>
      <c r="G1474" t="s"/>
      <c r="H1474" t="s"/>
      <c r="I1474" t="s"/>
      <c r="J1474" t="n">
        <v>0</v>
      </c>
      <c r="K1474" t="n">
        <v>0</v>
      </c>
      <c r="L1474" t="n">
        <v>1</v>
      </c>
      <c r="M1474" t="n">
        <v>0</v>
      </c>
    </row>
    <row r="1475" spans="1:13">
      <c r="A1475" s="1">
        <f>HYPERLINK("http://www.twitter.com/NathanBLawrence/status/992871569839022081", "992871569839022081")</f>
        <v/>
      </c>
      <c r="B1475" s="2" t="n">
        <v>43225.87503472222</v>
      </c>
      <c r="C1475" t="n">
        <v>0</v>
      </c>
      <c r="D1475" t="n">
        <v>2</v>
      </c>
      <c r="E1475" t="s">
        <v>1477</v>
      </c>
      <c r="F1475" t="s"/>
      <c r="G1475" t="s"/>
      <c r="H1475" t="s"/>
      <c r="I1475" t="s"/>
      <c r="J1475" t="n">
        <v>0</v>
      </c>
      <c r="K1475" t="n">
        <v>0</v>
      </c>
      <c r="L1475" t="n">
        <v>1</v>
      </c>
      <c r="M1475" t="n">
        <v>0</v>
      </c>
    </row>
    <row r="1476" spans="1:13">
      <c r="A1476" s="1">
        <f>HYPERLINK("http://www.twitter.com/NathanBLawrence/status/992865107385421829", "992865107385421829")</f>
        <v/>
      </c>
      <c r="B1476" s="2" t="n">
        <v>43225.85719907407</v>
      </c>
      <c r="C1476" t="n">
        <v>5</v>
      </c>
      <c r="D1476" t="n">
        <v>3</v>
      </c>
      <c r="E1476" t="s">
        <v>1478</v>
      </c>
      <c r="F1476" t="s"/>
      <c r="G1476" t="s"/>
      <c r="H1476" t="s"/>
      <c r="I1476" t="s"/>
      <c r="J1476" t="n">
        <v>-0.3875</v>
      </c>
      <c r="K1476" t="n">
        <v>0.081</v>
      </c>
      <c r="L1476" t="n">
        <v>0.919</v>
      </c>
      <c r="M1476" t="n">
        <v>0</v>
      </c>
    </row>
    <row r="1477" spans="1:13">
      <c r="A1477" s="1">
        <f>HYPERLINK("http://www.twitter.com/NathanBLawrence/status/992864561089929216", "992864561089929216")</f>
        <v/>
      </c>
      <c r="B1477" s="2" t="n">
        <v>43225.85569444444</v>
      </c>
      <c r="C1477" t="n">
        <v>16</v>
      </c>
      <c r="D1477" t="n">
        <v>11</v>
      </c>
      <c r="E1477" t="s">
        <v>1479</v>
      </c>
      <c r="F1477" t="s"/>
      <c r="G1477" t="s"/>
      <c r="H1477" t="s"/>
      <c r="I1477" t="s"/>
      <c r="J1477" t="n">
        <v>0</v>
      </c>
      <c r="K1477" t="n">
        <v>0</v>
      </c>
      <c r="L1477" t="n">
        <v>1</v>
      </c>
      <c r="M1477" t="n">
        <v>0</v>
      </c>
    </row>
    <row r="1478" spans="1:13">
      <c r="A1478" s="1">
        <f>HYPERLINK("http://www.twitter.com/NathanBLawrence/status/992862314486534144", "992862314486534144")</f>
        <v/>
      </c>
      <c r="B1478" s="2" t="n">
        <v>43225.84949074074</v>
      </c>
      <c r="C1478" t="n">
        <v>0</v>
      </c>
      <c r="D1478" t="n">
        <v>12</v>
      </c>
      <c r="E1478" t="s">
        <v>1480</v>
      </c>
      <c r="F1478" t="s"/>
      <c r="G1478" t="s"/>
      <c r="H1478" t="s"/>
      <c r="I1478" t="s"/>
      <c r="J1478" t="n">
        <v>0</v>
      </c>
      <c r="K1478" t="n">
        <v>0</v>
      </c>
      <c r="L1478" t="n">
        <v>1</v>
      </c>
      <c r="M1478" t="n">
        <v>0</v>
      </c>
    </row>
    <row r="1479" spans="1:13">
      <c r="A1479" s="1">
        <f>HYPERLINK("http://www.twitter.com/NathanBLawrence/status/992862088883208193", "992862088883208193")</f>
        <v/>
      </c>
      <c r="B1479" s="2" t="n">
        <v>43225.84887731481</v>
      </c>
      <c r="C1479" t="n">
        <v>0</v>
      </c>
      <c r="D1479" t="n">
        <v>11</v>
      </c>
      <c r="E1479" t="s">
        <v>1481</v>
      </c>
      <c r="F1479" t="s"/>
      <c r="G1479" t="s"/>
      <c r="H1479" t="s"/>
      <c r="I1479" t="s"/>
      <c r="J1479" t="n">
        <v>0</v>
      </c>
      <c r="K1479" t="n">
        <v>0</v>
      </c>
      <c r="L1479" t="n">
        <v>1</v>
      </c>
      <c r="M1479" t="n">
        <v>0</v>
      </c>
    </row>
    <row r="1480" spans="1:13">
      <c r="A1480" s="1">
        <f>HYPERLINK("http://www.twitter.com/NathanBLawrence/status/992857385961181184", "992857385961181184")</f>
        <v/>
      </c>
      <c r="B1480" s="2" t="n">
        <v>43225.8358912037</v>
      </c>
      <c r="C1480" t="n">
        <v>0</v>
      </c>
      <c r="D1480" t="n">
        <v>1</v>
      </c>
      <c r="E1480" t="s">
        <v>1482</v>
      </c>
      <c r="F1480" t="s"/>
      <c r="G1480" t="s"/>
      <c r="H1480" t="s"/>
      <c r="I1480" t="s"/>
      <c r="J1480" t="n">
        <v>0</v>
      </c>
      <c r="K1480" t="n">
        <v>0</v>
      </c>
      <c r="L1480" t="n">
        <v>1</v>
      </c>
      <c r="M1480" t="n">
        <v>0</v>
      </c>
    </row>
    <row r="1481" spans="1:13">
      <c r="A1481" s="1">
        <f>HYPERLINK("http://www.twitter.com/NathanBLawrence/status/992857370068963328", "992857370068963328")</f>
        <v/>
      </c>
      <c r="B1481" s="2" t="n">
        <v>43225.83585648148</v>
      </c>
      <c r="C1481" t="n">
        <v>0</v>
      </c>
      <c r="D1481" t="n">
        <v>1</v>
      </c>
      <c r="E1481" t="s">
        <v>1483</v>
      </c>
      <c r="F1481" t="s"/>
      <c r="G1481" t="s"/>
      <c r="H1481" t="s"/>
      <c r="I1481" t="s"/>
      <c r="J1481" t="n">
        <v>0</v>
      </c>
      <c r="K1481" t="n">
        <v>0</v>
      </c>
      <c r="L1481" t="n">
        <v>1</v>
      </c>
      <c r="M1481" t="n">
        <v>0</v>
      </c>
    </row>
    <row r="1482" spans="1:13">
      <c r="A1482" s="1">
        <f>HYPERLINK("http://www.twitter.com/NathanBLawrence/status/992855993838112769", "992855993838112769")</f>
        <v/>
      </c>
      <c r="B1482" s="2" t="n">
        <v>43225.83204861111</v>
      </c>
      <c r="C1482" t="n">
        <v>0</v>
      </c>
      <c r="D1482" t="n">
        <v>1</v>
      </c>
      <c r="E1482" t="s">
        <v>1484</v>
      </c>
      <c r="F1482" t="s"/>
      <c r="G1482" t="s"/>
      <c r="H1482" t="s"/>
      <c r="I1482" t="s"/>
      <c r="J1482" t="n">
        <v>0</v>
      </c>
      <c r="K1482" t="n">
        <v>0</v>
      </c>
      <c r="L1482" t="n">
        <v>1</v>
      </c>
      <c r="M1482" t="n">
        <v>0</v>
      </c>
    </row>
    <row r="1483" spans="1:13">
      <c r="A1483" s="1">
        <f>HYPERLINK("http://www.twitter.com/NathanBLawrence/status/992854551018528768", "992854551018528768")</f>
        <v/>
      </c>
      <c r="B1483" s="2" t="n">
        <v>43225.82806712963</v>
      </c>
      <c r="C1483" t="n">
        <v>0</v>
      </c>
      <c r="D1483" t="n">
        <v>0</v>
      </c>
      <c r="E1483" t="s">
        <v>1485</v>
      </c>
      <c r="F1483" t="s"/>
      <c r="G1483" t="s"/>
      <c r="H1483" t="s"/>
      <c r="I1483" t="s"/>
      <c r="J1483" t="n">
        <v>0.4404</v>
      </c>
      <c r="K1483" t="n">
        <v>0</v>
      </c>
      <c r="L1483" t="n">
        <v>0.508</v>
      </c>
      <c r="M1483" t="n">
        <v>0.492</v>
      </c>
    </row>
    <row r="1484" spans="1:13">
      <c r="A1484" s="1">
        <f>HYPERLINK("http://www.twitter.com/NathanBLawrence/status/992854507137748993", "992854507137748993")</f>
        <v/>
      </c>
      <c r="B1484" s="2" t="n">
        <v>43225.82795138889</v>
      </c>
      <c r="C1484" t="n">
        <v>0</v>
      </c>
      <c r="D1484" t="n">
        <v>1</v>
      </c>
      <c r="E1484" t="s">
        <v>1486</v>
      </c>
      <c r="F1484" t="s"/>
      <c r="G1484" t="s"/>
      <c r="H1484" t="s"/>
      <c r="I1484" t="s"/>
      <c r="J1484" t="n">
        <v>0</v>
      </c>
      <c r="K1484" t="n">
        <v>0</v>
      </c>
      <c r="L1484" t="n">
        <v>1</v>
      </c>
      <c r="M1484" t="n">
        <v>0</v>
      </c>
    </row>
    <row r="1485" spans="1:13">
      <c r="A1485" s="1">
        <f>HYPERLINK("http://www.twitter.com/NathanBLawrence/status/992853635771043840", "992853635771043840")</f>
        <v/>
      </c>
      <c r="B1485" s="2" t="n">
        <v>43225.82554398148</v>
      </c>
      <c r="C1485" t="n">
        <v>5</v>
      </c>
      <c r="D1485" t="n">
        <v>2</v>
      </c>
      <c r="E1485" t="s">
        <v>1487</v>
      </c>
      <c r="F1485" t="s"/>
      <c r="G1485" t="s"/>
      <c r="H1485" t="s"/>
      <c r="I1485" t="s"/>
      <c r="J1485" t="n">
        <v>0.4215</v>
      </c>
      <c r="K1485" t="n">
        <v>0</v>
      </c>
      <c r="L1485" t="n">
        <v>0.899</v>
      </c>
      <c r="M1485" t="n">
        <v>0.101</v>
      </c>
    </row>
    <row r="1486" spans="1:13">
      <c r="A1486" s="1">
        <f>HYPERLINK("http://www.twitter.com/NathanBLawrence/status/992853538006028290", "992853538006028290")</f>
        <v/>
      </c>
      <c r="B1486" s="2" t="n">
        <v>43225.82527777777</v>
      </c>
      <c r="C1486" t="n">
        <v>0</v>
      </c>
      <c r="D1486" t="n">
        <v>4</v>
      </c>
      <c r="E1486" t="s">
        <v>1488</v>
      </c>
      <c r="F1486" t="s"/>
      <c r="G1486" t="s"/>
      <c r="H1486" t="s"/>
      <c r="I1486" t="s"/>
      <c r="J1486" t="n">
        <v>0</v>
      </c>
      <c r="K1486" t="n">
        <v>0</v>
      </c>
      <c r="L1486" t="n">
        <v>1</v>
      </c>
      <c r="M1486" t="n">
        <v>0</v>
      </c>
    </row>
    <row r="1487" spans="1:13">
      <c r="A1487" s="1">
        <f>HYPERLINK("http://www.twitter.com/NathanBLawrence/status/992853493244416000", "992853493244416000")</f>
        <v/>
      </c>
      <c r="B1487" s="2" t="n">
        <v>43225.82515046297</v>
      </c>
      <c r="C1487" t="n">
        <v>0</v>
      </c>
      <c r="D1487" t="n">
        <v>4</v>
      </c>
      <c r="E1487" t="s">
        <v>1489</v>
      </c>
      <c r="F1487" t="s"/>
      <c r="G1487" t="s"/>
      <c r="H1487" t="s"/>
      <c r="I1487" t="s"/>
      <c r="J1487" t="n">
        <v>0</v>
      </c>
      <c r="K1487" t="n">
        <v>0</v>
      </c>
      <c r="L1487" t="n">
        <v>1</v>
      </c>
      <c r="M1487" t="n">
        <v>0</v>
      </c>
    </row>
    <row r="1488" spans="1:13">
      <c r="A1488" s="1">
        <f>HYPERLINK("http://www.twitter.com/NathanBLawrence/status/992853412340527104", "992853412340527104")</f>
        <v/>
      </c>
      <c r="B1488" s="2" t="n">
        <v>43225.82493055556</v>
      </c>
      <c r="C1488" t="n">
        <v>3</v>
      </c>
      <c r="D1488" t="n">
        <v>3</v>
      </c>
      <c r="E1488" t="s">
        <v>1490</v>
      </c>
      <c r="F1488" t="s"/>
      <c r="G1488" t="s"/>
      <c r="H1488" t="s"/>
      <c r="I1488" t="s"/>
      <c r="J1488" t="n">
        <v>0.3612</v>
      </c>
      <c r="K1488" t="n">
        <v>0</v>
      </c>
      <c r="L1488" t="n">
        <v>0.898</v>
      </c>
      <c r="M1488" t="n">
        <v>0.102</v>
      </c>
    </row>
    <row r="1489" spans="1:13">
      <c r="A1489" s="1">
        <f>HYPERLINK("http://www.twitter.com/NathanBLawrence/status/992853221814104064", "992853221814104064")</f>
        <v/>
      </c>
      <c r="B1489" s="2" t="n">
        <v>43225.82440972222</v>
      </c>
      <c r="C1489" t="n">
        <v>0</v>
      </c>
      <c r="D1489" t="n">
        <v>5</v>
      </c>
      <c r="E1489" t="s">
        <v>1475</v>
      </c>
      <c r="F1489" t="s"/>
      <c r="G1489" t="s"/>
      <c r="H1489" t="s"/>
      <c r="I1489" t="s"/>
      <c r="J1489" t="n">
        <v>0</v>
      </c>
      <c r="K1489" t="n">
        <v>0</v>
      </c>
      <c r="L1489" t="n">
        <v>1</v>
      </c>
      <c r="M1489" t="n">
        <v>0</v>
      </c>
    </row>
    <row r="1490" spans="1:13">
      <c r="A1490" s="1">
        <f>HYPERLINK("http://www.twitter.com/NathanBLawrence/status/992853159826612224", "992853159826612224")</f>
        <v/>
      </c>
      <c r="B1490" s="2" t="n">
        <v>43225.82423611111</v>
      </c>
      <c r="C1490" t="n">
        <v>0</v>
      </c>
      <c r="D1490" t="n">
        <v>10</v>
      </c>
      <c r="E1490" t="s">
        <v>1491</v>
      </c>
      <c r="F1490" t="s"/>
      <c r="G1490" t="s"/>
      <c r="H1490" t="s"/>
      <c r="I1490" t="s"/>
      <c r="J1490" t="n">
        <v>0.3465</v>
      </c>
      <c r="K1490" t="n">
        <v>0</v>
      </c>
      <c r="L1490" t="n">
        <v>0.904</v>
      </c>
      <c r="M1490" t="n">
        <v>0.096</v>
      </c>
    </row>
    <row r="1491" spans="1:13">
      <c r="A1491" s="1">
        <f>HYPERLINK("http://www.twitter.com/NathanBLawrence/status/992850919116165120", "992850919116165120")</f>
        <v/>
      </c>
      <c r="B1491" s="2" t="n">
        <v>43225.81805555556</v>
      </c>
      <c r="C1491" t="n">
        <v>0</v>
      </c>
      <c r="D1491" t="n">
        <v>22</v>
      </c>
      <c r="E1491" t="s">
        <v>1492</v>
      </c>
      <c r="F1491">
        <f>HYPERLINK("http://pbs.twimg.com/media/DcdPfkNU8AAmlfY.jpg", "http://pbs.twimg.com/media/DcdPfkNU8AAmlfY.jpg")</f>
        <v/>
      </c>
      <c r="G1491" t="s"/>
      <c r="H1491" t="s"/>
      <c r="I1491" t="s"/>
      <c r="J1491" t="n">
        <v>0</v>
      </c>
      <c r="K1491" t="n">
        <v>0</v>
      </c>
      <c r="L1491" t="n">
        <v>1</v>
      </c>
      <c r="M1491" t="n">
        <v>0</v>
      </c>
    </row>
    <row r="1492" spans="1:13">
      <c r="A1492" s="1">
        <f>HYPERLINK("http://www.twitter.com/NathanBLawrence/status/992850771703189504", "992850771703189504")</f>
        <v/>
      </c>
      <c r="B1492" s="2" t="n">
        <v>43225.81763888889</v>
      </c>
      <c r="C1492" t="n">
        <v>0</v>
      </c>
      <c r="D1492" t="n">
        <v>4</v>
      </c>
      <c r="E1492" t="s">
        <v>1493</v>
      </c>
      <c r="F1492" t="s"/>
      <c r="G1492" t="s"/>
      <c r="H1492" t="s"/>
      <c r="I1492" t="s"/>
      <c r="J1492" t="n">
        <v>0</v>
      </c>
      <c r="K1492" t="n">
        <v>0</v>
      </c>
      <c r="L1492" t="n">
        <v>1</v>
      </c>
      <c r="M1492" t="n">
        <v>0</v>
      </c>
    </row>
    <row r="1493" spans="1:13">
      <c r="A1493" s="1">
        <f>HYPERLINK("http://www.twitter.com/NathanBLawrence/status/992849663127621635", "992849663127621635")</f>
        <v/>
      </c>
      <c r="B1493" s="2" t="n">
        <v>43225.81458333333</v>
      </c>
      <c r="C1493" t="n">
        <v>13</v>
      </c>
      <c r="D1493" t="n">
        <v>10</v>
      </c>
      <c r="E1493" t="s">
        <v>1494</v>
      </c>
      <c r="F1493" t="s"/>
      <c r="G1493" t="s"/>
      <c r="H1493" t="s"/>
      <c r="I1493" t="s"/>
      <c r="J1493" t="n">
        <v>0.1531</v>
      </c>
      <c r="K1493" t="n">
        <v>0.055</v>
      </c>
      <c r="L1493" t="n">
        <v>0.875</v>
      </c>
      <c r="M1493" t="n">
        <v>0.07000000000000001</v>
      </c>
    </row>
    <row r="1494" spans="1:13">
      <c r="A1494" s="1">
        <f>HYPERLINK("http://www.twitter.com/NathanBLawrence/status/992847913188458497", "992847913188458497")</f>
        <v/>
      </c>
      <c r="B1494" s="2" t="n">
        <v>43225.80975694444</v>
      </c>
      <c r="C1494" t="n">
        <v>0</v>
      </c>
      <c r="D1494" t="n">
        <v>3</v>
      </c>
      <c r="E1494" t="s">
        <v>1495</v>
      </c>
      <c r="F1494" t="s"/>
      <c r="G1494" t="s"/>
      <c r="H1494" t="s"/>
      <c r="I1494" t="s"/>
      <c r="J1494" t="n">
        <v>0</v>
      </c>
      <c r="K1494" t="n">
        <v>0</v>
      </c>
      <c r="L1494" t="n">
        <v>1</v>
      </c>
      <c r="M1494" t="n">
        <v>0</v>
      </c>
    </row>
    <row r="1495" spans="1:13">
      <c r="A1495" s="1">
        <f>HYPERLINK("http://www.twitter.com/NathanBLawrence/status/992847877218201600", "992847877218201600")</f>
        <v/>
      </c>
      <c r="B1495" s="2" t="n">
        <v>43225.80965277777</v>
      </c>
      <c r="C1495" t="n">
        <v>10</v>
      </c>
      <c r="D1495" t="n">
        <v>5</v>
      </c>
      <c r="E1495" t="s">
        <v>1496</v>
      </c>
      <c r="F1495" t="s"/>
      <c r="G1495" t="s"/>
      <c r="H1495" t="s"/>
      <c r="I1495" t="s"/>
      <c r="J1495" t="n">
        <v>0.6423</v>
      </c>
      <c r="K1495" t="n">
        <v>0</v>
      </c>
      <c r="L1495" t="n">
        <v>0.881</v>
      </c>
      <c r="M1495" t="n">
        <v>0.119</v>
      </c>
    </row>
    <row r="1496" spans="1:13">
      <c r="A1496" s="1">
        <f>HYPERLINK("http://www.twitter.com/NathanBLawrence/status/992847325205794816", "992847325205794816")</f>
        <v/>
      </c>
      <c r="B1496" s="2" t="n">
        <v>43225.80813657407</v>
      </c>
      <c r="C1496" t="n">
        <v>0</v>
      </c>
      <c r="D1496" t="n">
        <v>32</v>
      </c>
      <c r="E1496" t="s">
        <v>1497</v>
      </c>
      <c r="F1496">
        <f>HYPERLINK("http://pbs.twimg.com/media/DcdK0qUUQAAJlei.jpg", "http://pbs.twimg.com/media/DcdK0qUUQAAJlei.jpg")</f>
        <v/>
      </c>
      <c r="G1496" t="s"/>
      <c r="H1496" t="s"/>
      <c r="I1496" t="s"/>
      <c r="J1496" t="n">
        <v>-0.34</v>
      </c>
      <c r="K1496" t="n">
        <v>0.13</v>
      </c>
      <c r="L1496" t="n">
        <v>0.87</v>
      </c>
      <c r="M1496" t="n">
        <v>0</v>
      </c>
    </row>
    <row r="1497" spans="1:13">
      <c r="A1497" s="1">
        <f>HYPERLINK("http://www.twitter.com/NathanBLawrence/status/992847278305103873", "992847278305103873")</f>
        <v/>
      </c>
      <c r="B1497" s="2" t="n">
        <v>43225.80800925926</v>
      </c>
      <c r="C1497" t="n">
        <v>0</v>
      </c>
      <c r="D1497" t="n">
        <v>16</v>
      </c>
      <c r="E1497" t="s">
        <v>1498</v>
      </c>
      <c r="F1497" t="s"/>
      <c r="G1497" t="s"/>
      <c r="H1497" t="s"/>
      <c r="I1497" t="s"/>
      <c r="J1497" t="n">
        <v>0</v>
      </c>
      <c r="K1497" t="n">
        <v>0</v>
      </c>
      <c r="L1497" t="n">
        <v>1</v>
      </c>
      <c r="M1497" t="n">
        <v>0</v>
      </c>
    </row>
    <row r="1498" spans="1:13">
      <c r="A1498" s="1">
        <f>HYPERLINK("http://www.twitter.com/NathanBLawrence/status/992845417539948545", "992845417539948545")</f>
        <v/>
      </c>
      <c r="B1498" s="2" t="n">
        <v>43225.80287037037</v>
      </c>
      <c r="C1498" t="n">
        <v>0</v>
      </c>
      <c r="D1498" t="n">
        <v>4</v>
      </c>
      <c r="E1498" t="s">
        <v>1499</v>
      </c>
      <c r="F1498" t="s"/>
      <c r="G1498" t="s"/>
      <c r="H1498" t="s"/>
      <c r="I1498" t="s"/>
      <c r="J1498" t="n">
        <v>0</v>
      </c>
      <c r="K1498" t="n">
        <v>0</v>
      </c>
      <c r="L1498" t="n">
        <v>1</v>
      </c>
      <c r="M1498" t="n">
        <v>0</v>
      </c>
    </row>
    <row r="1499" spans="1:13">
      <c r="A1499" s="1">
        <f>HYPERLINK("http://www.twitter.com/NathanBLawrence/status/992844792869654529", "992844792869654529")</f>
        <v/>
      </c>
      <c r="B1499" s="2" t="n">
        <v>43225.80114583333</v>
      </c>
      <c r="C1499" t="n">
        <v>4</v>
      </c>
      <c r="D1499" t="n">
        <v>1</v>
      </c>
      <c r="E1499" t="s">
        <v>1500</v>
      </c>
      <c r="F1499" t="s"/>
      <c r="G1499" t="s"/>
      <c r="H1499" t="s"/>
      <c r="I1499" t="s"/>
      <c r="J1499" t="n">
        <v>0</v>
      </c>
      <c r="K1499" t="n">
        <v>0</v>
      </c>
      <c r="L1499" t="n">
        <v>1</v>
      </c>
      <c r="M1499" t="n">
        <v>0</v>
      </c>
    </row>
    <row r="1500" spans="1:13">
      <c r="A1500" s="1">
        <f>HYPERLINK("http://www.twitter.com/NathanBLawrence/status/992844742433148928", "992844742433148928")</f>
        <v/>
      </c>
      <c r="B1500" s="2" t="n">
        <v>43225.80100694444</v>
      </c>
      <c r="C1500" t="n">
        <v>0</v>
      </c>
      <c r="D1500" t="n">
        <v>11170</v>
      </c>
      <c r="E1500" t="s">
        <v>1501</v>
      </c>
      <c r="F1500" t="s"/>
      <c r="G1500" t="s"/>
      <c r="H1500" t="s"/>
      <c r="I1500" t="s"/>
      <c r="J1500" t="n">
        <v>-0.4767</v>
      </c>
      <c r="K1500" t="n">
        <v>0.134</v>
      </c>
      <c r="L1500" t="n">
        <v>0.866</v>
      </c>
      <c r="M1500" t="n">
        <v>0</v>
      </c>
    </row>
    <row r="1501" spans="1:13">
      <c r="A1501" s="1">
        <f>HYPERLINK("http://www.twitter.com/NathanBLawrence/status/992844517358362624", "992844517358362624")</f>
        <v/>
      </c>
      <c r="B1501" s="2" t="n">
        <v>43225.80038194444</v>
      </c>
      <c r="C1501" t="n">
        <v>39</v>
      </c>
      <c r="D1501" t="n">
        <v>32</v>
      </c>
      <c r="E1501" t="s">
        <v>1502</v>
      </c>
      <c r="F1501">
        <f>HYPERLINK("http://pbs.twimg.com/media/DcdK0qUUQAAJlei.jpg", "http://pbs.twimg.com/media/DcdK0qUUQAAJlei.jpg")</f>
        <v/>
      </c>
      <c r="G1501" t="s"/>
      <c r="H1501" t="s"/>
      <c r="I1501" t="s"/>
      <c r="J1501" t="n">
        <v>-0.34</v>
      </c>
      <c r="K1501" t="n">
        <v>0.146</v>
      </c>
      <c r="L1501" t="n">
        <v>0.854</v>
      </c>
      <c r="M1501" t="n">
        <v>0</v>
      </c>
    </row>
    <row r="1502" spans="1:13">
      <c r="A1502" s="1">
        <f>HYPERLINK("http://www.twitter.com/NathanBLawrence/status/992843298632093697", "992843298632093697")</f>
        <v/>
      </c>
      <c r="B1502" s="2" t="n">
        <v>43225.79702546296</v>
      </c>
      <c r="C1502" t="n">
        <v>0</v>
      </c>
      <c r="D1502" t="n">
        <v>7448</v>
      </c>
      <c r="E1502" t="s">
        <v>1503</v>
      </c>
      <c r="F1502" t="s"/>
      <c r="G1502" t="s"/>
      <c r="H1502" t="s"/>
      <c r="I1502" t="s"/>
      <c r="J1502" t="n">
        <v>0.6458</v>
      </c>
      <c r="K1502" t="n">
        <v>0.093</v>
      </c>
      <c r="L1502" t="n">
        <v>0.634</v>
      </c>
      <c r="M1502" t="n">
        <v>0.274</v>
      </c>
    </row>
    <row r="1503" spans="1:13">
      <c r="A1503" s="1">
        <f>HYPERLINK("http://www.twitter.com/NathanBLawrence/status/992843014119804928", "992843014119804928")</f>
        <v/>
      </c>
      <c r="B1503" s="2" t="n">
        <v>43225.79623842592</v>
      </c>
      <c r="C1503" t="n">
        <v>0</v>
      </c>
      <c r="D1503" t="n">
        <v>9</v>
      </c>
      <c r="E1503" t="s">
        <v>1504</v>
      </c>
      <c r="F1503" t="s"/>
      <c r="G1503" t="s"/>
      <c r="H1503" t="s"/>
      <c r="I1503" t="s"/>
      <c r="J1503" t="n">
        <v>0</v>
      </c>
      <c r="K1503" t="n">
        <v>0</v>
      </c>
      <c r="L1503" t="n">
        <v>1</v>
      </c>
      <c r="M1503" t="n">
        <v>0</v>
      </c>
    </row>
    <row r="1504" spans="1:13">
      <c r="A1504" s="1">
        <f>HYPERLINK("http://www.twitter.com/NathanBLawrence/status/992842804895285250", "992842804895285250")</f>
        <v/>
      </c>
      <c r="B1504" s="2" t="n">
        <v>43225.79565972222</v>
      </c>
      <c r="C1504" t="n">
        <v>0</v>
      </c>
      <c r="D1504" t="n">
        <v>87</v>
      </c>
      <c r="E1504" t="s">
        <v>1505</v>
      </c>
      <c r="F1504">
        <f>HYPERLINK("http://pbs.twimg.com/media/DcdIZoEVMAAfe_W.jpg", "http://pbs.twimg.com/media/DcdIZoEVMAAfe_W.jpg")</f>
        <v/>
      </c>
      <c r="G1504" t="s"/>
      <c r="H1504" t="s"/>
      <c r="I1504" t="s"/>
      <c r="J1504" t="n">
        <v>0</v>
      </c>
      <c r="K1504" t="n">
        <v>0</v>
      </c>
      <c r="L1504" t="n">
        <v>1</v>
      </c>
      <c r="M1504" t="n">
        <v>0</v>
      </c>
    </row>
    <row r="1505" spans="1:13">
      <c r="A1505" s="1">
        <f>HYPERLINK("http://www.twitter.com/NathanBLawrence/status/992842639765590017", "992842639765590017")</f>
        <v/>
      </c>
      <c r="B1505" s="2" t="n">
        <v>43225.79520833334</v>
      </c>
      <c r="C1505" t="n">
        <v>0</v>
      </c>
      <c r="D1505" t="n">
        <v>26</v>
      </c>
      <c r="E1505" t="s">
        <v>1506</v>
      </c>
      <c r="F1505" t="s"/>
      <c r="G1505" t="s"/>
      <c r="H1505" t="s"/>
      <c r="I1505" t="s"/>
      <c r="J1505" t="n">
        <v>0.6705</v>
      </c>
      <c r="K1505" t="n">
        <v>0.173</v>
      </c>
      <c r="L1505" t="n">
        <v>0.53</v>
      </c>
      <c r="M1505" t="n">
        <v>0.297</v>
      </c>
    </row>
    <row r="1506" spans="1:13">
      <c r="A1506" s="1">
        <f>HYPERLINK("http://www.twitter.com/NathanBLawrence/status/992840953193955333", "992840953193955333")</f>
        <v/>
      </c>
      <c r="B1506" s="2" t="n">
        <v>43225.79054398148</v>
      </c>
      <c r="C1506" t="n">
        <v>0</v>
      </c>
      <c r="D1506" t="n">
        <v>6089</v>
      </c>
      <c r="E1506" t="s">
        <v>1507</v>
      </c>
      <c r="F1506">
        <f>HYPERLINK("https://video.twimg.com/ext_tw_video/992559122813014017/pu/vid/178x320/UKpqUAEDsq_xWMt0.mp4?tag=3", "https://video.twimg.com/ext_tw_video/992559122813014017/pu/vid/178x320/UKpqUAEDsq_xWMt0.mp4?tag=3")</f>
        <v/>
      </c>
      <c r="G1506" t="s"/>
      <c r="H1506" t="s"/>
      <c r="I1506" t="s"/>
      <c r="J1506" t="n">
        <v>-0.2003</v>
      </c>
      <c r="K1506" t="n">
        <v>0.082</v>
      </c>
      <c r="L1506" t="n">
        <v>0.918</v>
      </c>
      <c r="M1506" t="n">
        <v>0</v>
      </c>
    </row>
    <row r="1507" spans="1:13">
      <c r="A1507" s="1">
        <f>HYPERLINK("http://www.twitter.com/NathanBLawrence/status/992840824756072448", "992840824756072448")</f>
        <v/>
      </c>
      <c r="B1507" s="2" t="n">
        <v>43225.79019675926</v>
      </c>
      <c r="C1507" t="n">
        <v>0</v>
      </c>
      <c r="D1507" t="n">
        <v>40</v>
      </c>
      <c r="E1507" t="s">
        <v>1508</v>
      </c>
      <c r="F1507" t="s"/>
      <c r="G1507" t="s"/>
      <c r="H1507" t="s"/>
      <c r="I1507" t="s"/>
      <c r="J1507" t="n">
        <v>0.4767</v>
      </c>
      <c r="K1507" t="n">
        <v>0.095</v>
      </c>
      <c r="L1507" t="n">
        <v>0.702</v>
      </c>
      <c r="M1507" t="n">
        <v>0.204</v>
      </c>
    </row>
    <row r="1508" spans="1:13">
      <c r="A1508" s="1">
        <f>HYPERLINK("http://www.twitter.com/NathanBLawrence/status/992840059924766721", "992840059924766721")</f>
        <v/>
      </c>
      <c r="B1508" s="2" t="n">
        <v>43225.78809027778</v>
      </c>
      <c r="C1508" t="n">
        <v>0</v>
      </c>
      <c r="D1508" t="n">
        <v>8</v>
      </c>
      <c r="E1508" t="s">
        <v>1509</v>
      </c>
      <c r="F1508" t="s"/>
      <c r="G1508" t="s"/>
      <c r="H1508" t="s"/>
      <c r="I1508" t="s"/>
      <c r="J1508" t="n">
        <v>0</v>
      </c>
      <c r="K1508" t="n">
        <v>0</v>
      </c>
      <c r="L1508" t="n">
        <v>1</v>
      </c>
      <c r="M1508" t="n">
        <v>0</v>
      </c>
    </row>
    <row r="1509" spans="1:13">
      <c r="A1509" s="1">
        <f>HYPERLINK("http://www.twitter.com/NathanBLawrence/status/992839986927071233", "992839986927071233")</f>
        <v/>
      </c>
      <c r="B1509" s="2" t="n">
        <v>43225.78788194444</v>
      </c>
      <c r="C1509" t="n">
        <v>0</v>
      </c>
      <c r="D1509" t="n">
        <v>4</v>
      </c>
      <c r="E1509" t="s">
        <v>1510</v>
      </c>
      <c r="F1509" t="s"/>
      <c r="G1509" t="s"/>
      <c r="H1509" t="s"/>
      <c r="I1509" t="s"/>
      <c r="J1509" t="n">
        <v>0</v>
      </c>
      <c r="K1509" t="n">
        <v>0</v>
      </c>
      <c r="L1509" t="n">
        <v>1</v>
      </c>
      <c r="M1509" t="n">
        <v>0</v>
      </c>
    </row>
    <row r="1510" spans="1:13">
      <c r="A1510" s="1">
        <f>HYPERLINK("http://www.twitter.com/NathanBLawrence/status/992839893830291459", "992839893830291459")</f>
        <v/>
      </c>
      <c r="B1510" s="2" t="n">
        <v>43225.78762731481</v>
      </c>
      <c r="C1510" t="n">
        <v>0</v>
      </c>
      <c r="D1510" t="n">
        <v>5</v>
      </c>
      <c r="E1510" t="s">
        <v>1511</v>
      </c>
      <c r="F1510" t="s"/>
      <c r="G1510" t="s"/>
      <c r="H1510" t="s"/>
      <c r="I1510" t="s"/>
      <c r="J1510" t="n">
        <v>0</v>
      </c>
      <c r="K1510" t="n">
        <v>0</v>
      </c>
      <c r="L1510" t="n">
        <v>1</v>
      </c>
      <c r="M1510" t="n">
        <v>0</v>
      </c>
    </row>
    <row r="1511" spans="1:13">
      <c r="A1511" s="1">
        <f>HYPERLINK("http://www.twitter.com/NathanBLawrence/status/992839277842194435", "992839277842194435")</f>
        <v/>
      </c>
      <c r="B1511" s="2" t="n">
        <v>43225.78592592593</v>
      </c>
      <c r="C1511" t="n">
        <v>2</v>
      </c>
      <c r="D1511" t="n">
        <v>0</v>
      </c>
      <c r="E1511" t="s">
        <v>1512</v>
      </c>
      <c r="F1511" t="s"/>
      <c r="G1511" t="s"/>
      <c r="H1511" t="s"/>
      <c r="I1511" t="s"/>
      <c r="J1511" t="n">
        <v>0.7096</v>
      </c>
      <c r="K1511" t="n">
        <v>0</v>
      </c>
      <c r="L1511" t="n">
        <v>0.253</v>
      </c>
      <c r="M1511" t="n">
        <v>0.747</v>
      </c>
    </row>
    <row r="1512" spans="1:13">
      <c r="A1512" s="1">
        <f>HYPERLINK("http://www.twitter.com/NathanBLawrence/status/992838958148145154", "992838958148145154")</f>
        <v/>
      </c>
      <c r="B1512" s="2" t="n">
        <v>43225.7850462963</v>
      </c>
      <c r="C1512" t="n">
        <v>1</v>
      </c>
      <c r="D1512" t="n">
        <v>1</v>
      </c>
      <c r="E1512" t="s">
        <v>1513</v>
      </c>
      <c r="F1512" t="s"/>
      <c r="G1512" t="s"/>
      <c r="H1512" t="s"/>
      <c r="I1512" t="s"/>
      <c r="J1512" t="n">
        <v>0.3612</v>
      </c>
      <c r="K1512" t="n">
        <v>0</v>
      </c>
      <c r="L1512" t="n">
        <v>0.615</v>
      </c>
      <c r="M1512" t="n">
        <v>0.385</v>
      </c>
    </row>
    <row r="1513" spans="1:13">
      <c r="A1513" s="1">
        <f>HYPERLINK("http://www.twitter.com/NathanBLawrence/status/992838905065017344", "992838905065017344")</f>
        <v/>
      </c>
      <c r="B1513" s="2" t="n">
        <v>43225.78489583333</v>
      </c>
      <c r="C1513" t="n">
        <v>0</v>
      </c>
      <c r="D1513" t="n">
        <v>2</v>
      </c>
      <c r="E1513" t="s">
        <v>1514</v>
      </c>
      <c r="F1513" t="s"/>
      <c r="G1513" t="s"/>
      <c r="H1513" t="s"/>
      <c r="I1513" t="s"/>
      <c r="J1513" t="n">
        <v>0</v>
      </c>
      <c r="K1513" t="n">
        <v>0</v>
      </c>
      <c r="L1513" t="n">
        <v>1</v>
      </c>
      <c r="M1513" t="n">
        <v>0</v>
      </c>
    </row>
    <row r="1514" spans="1:13">
      <c r="A1514" s="1">
        <f>HYPERLINK("http://www.twitter.com/NathanBLawrence/status/992838636013084672", "992838636013084672")</f>
        <v/>
      </c>
      <c r="B1514" s="2" t="n">
        <v>43225.7841550926</v>
      </c>
      <c r="C1514" t="n">
        <v>2</v>
      </c>
      <c r="D1514" t="n">
        <v>1</v>
      </c>
      <c r="E1514" t="s">
        <v>1515</v>
      </c>
      <c r="F1514" t="s"/>
      <c r="G1514" t="s"/>
      <c r="H1514" t="s"/>
      <c r="I1514" t="s"/>
      <c r="J1514" t="n">
        <v>0.3612</v>
      </c>
      <c r="K1514" t="n">
        <v>0</v>
      </c>
      <c r="L1514" t="n">
        <v>0.545</v>
      </c>
      <c r="M1514" t="n">
        <v>0.455</v>
      </c>
    </row>
    <row r="1515" spans="1:13">
      <c r="A1515" s="1">
        <f>HYPERLINK("http://www.twitter.com/NathanBLawrence/status/992838595823140866", "992838595823140866")</f>
        <v/>
      </c>
      <c r="B1515" s="2" t="n">
        <v>43225.78403935185</v>
      </c>
      <c r="C1515" t="n">
        <v>0</v>
      </c>
      <c r="D1515" t="n">
        <v>1</v>
      </c>
      <c r="E1515" t="s">
        <v>1516</v>
      </c>
      <c r="F1515" t="s"/>
      <c r="G1515" t="s"/>
      <c r="H1515" t="s"/>
      <c r="I1515" t="s"/>
      <c r="J1515" t="n">
        <v>0</v>
      </c>
      <c r="K1515" t="n">
        <v>0</v>
      </c>
      <c r="L1515" t="n">
        <v>1</v>
      </c>
      <c r="M1515" t="n">
        <v>0</v>
      </c>
    </row>
    <row r="1516" spans="1:13">
      <c r="A1516" s="1">
        <f>HYPERLINK("http://www.twitter.com/NathanBLawrence/status/992837104676818944", "992837104676818944")</f>
        <v/>
      </c>
      <c r="B1516" s="2" t="n">
        <v>43225.77993055555</v>
      </c>
      <c r="C1516" t="n">
        <v>2</v>
      </c>
      <c r="D1516" t="n">
        <v>0</v>
      </c>
      <c r="E1516" t="s">
        <v>1517</v>
      </c>
      <c r="F1516" t="s"/>
      <c r="G1516" t="s"/>
      <c r="H1516" t="s"/>
      <c r="I1516" t="s"/>
      <c r="J1516" t="n">
        <v>0.4939</v>
      </c>
      <c r="K1516" t="n">
        <v>0</v>
      </c>
      <c r="L1516" t="n">
        <v>0.61</v>
      </c>
      <c r="M1516" t="n">
        <v>0.39</v>
      </c>
    </row>
    <row r="1517" spans="1:13">
      <c r="A1517" s="1">
        <f>HYPERLINK("http://www.twitter.com/NathanBLawrence/status/992836602966827008", "992836602966827008")</f>
        <v/>
      </c>
      <c r="B1517" s="2" t="n">
        <v>43225.77854166667</v>
      </c>
      <c r="C1517" t="n">
        <v>5</v>
      </c>
      <c r="D1517" t="n">
        <v>6</v>
      </c>
      <c r="E1517" t="s">
        <v>1518</v>
      </c>
      <c r="F1517" t="s"/>
      <c r="G1517" t="s"/>
      <c r="H1517" t="s"/>
      <c r="I1517" t="s"/>
      <c r="J1517" t="n">
        <v>0.4404</v>
      </c>
      <c r="K1517" t="n">
        <v>0</v>
      </c>
      <c r="L1517" t="n">
        <v>0.9340000000000001</v>
      </c>
      <c r="M1517" t="n">
        <v>0.066</v>
      </c>
    </row>
    <row r="1518" spans="1:13">
      <c r="A1518" s="1">
        <f>HYPERLINK("http://www.twitter.com/NathanBLawrence/status/992835764915462146", "992835764915462146")</f>
        <v/>
      </c>
      <c r="B1518" s="2" t="n">
        <v>43225.77623842593</v>
      </c>
      <c r="C1518" t="n">
        <v>0</v>
      </c>
      <c r="D1518" t="n">
        <v>6</v>
      </c>
      <c r="E1518" t="s">
        <v>1519</v>
      </c>
      <c r="F1518" t="s"/>
      <c r="G1518" t="s"/>
      <c r="H1518" t="s"/>
      <c r="I1518" t="s"/>
      <c r="J1518" t="n">
        <v>0</v>
      </c>
      <c r="K1518" t="n">
        <v>0</v>
      </c>
      <c r="L1518" t="n">
        <v>1</v>
      </c>
      <c r="M1518" t="n">
        <v>0</v>
      </c>
    </row>
    <row r="1519" spans="1:13">
      <c r="A1519" s="1">
        <f>HYPERLINK("http://www.twitter.com/NathanBLawrence/status/992835709177344002", "992835709177344002")</f>
        <v/>
      </c>
      <c r="B1519" s="2" t="n">
        <v>43225.77607638889</v>
      </c>
      <c r="C1519" t="n">
        <v>4</v>
      </c>
      <c r="D1519" t="n">
        <v>3</v>
      </c>
      <c r="E1519" t="s">
        <v>1520</v>
      </c>
      <c r="F1519" t="s"/>
      <c r="G1519" t="s"/>
      <c r="H1519" t="s"/>
      <c r="I1519" t="s"/>
      <c r="J1519" t="n">
        <v>0</v>
      </c>
      <c r="K1519" t="n">
        <v>0</v>
      </c>
      <c r="L1519" t="n">
        <v>1</v>
      </c>
      <c r="M1519" t="n">
        <v>0</v>
      </c>
    </row>
    <row r="1520" spans="1:13">
      <c r="A1520" s="1">
        <f>HYPERLINK("http://www.twitter.com/NathanBLawrence/status/992835558350184448", "992835558350184448")</f>
        <v/>
      </c>
      <c r="B1520" s="2" t="n">
        <v>43225.77565972223</v>
      </c>
      <c r="C1520" t="n">
        <v>0</v>
      </c>
      <c r="D1520" t="n">
        <v>6</v>
      </c>
      <c r="E1520" t="s">
        <v>1521</v>
      </c>
      <c r="F1520" t="s"/>
      <c r="G1520" t="s"/>
      <c r="H1520" t="s"/>
      <c r="I1520" t="s"/>
      <c r="J1520" t="n">
        <v>0</v>
      </c>
      <c r="K1520" t="n">
        <v>0</v>
      </c>
      <c r="L1520" t="n">
        <v>1</v>
      </c>
      <c r="M1520" t="n">
        <v>0</v>
      </c>
    </row>
    <row r="1521" spans="1:13">
      <c r="A1521" s="1">
        <f>HYPERLINK("http://www.twitter.com/NathanBLawrence/status/992835356163702785", "992835356163702785")</f>
        <v/>
      </c>
      <c r="B1521" s="2" t="n">
        <v>43225.77510416666</v>
      </c>
      <c r="C1521" t="n">
        <v>5</v>
      </c>
      <c r="D1521" t="n">
        <v>3</v>
      </c>
      <c r="E1521" t="s">
        <v>1522</v>
      </c>
      <c r="F1521" t="s"/>
      <c r="G1521" t="s"/>
      <c r="H1521" t="s"/>
      <c r="I1521" t="s"/>
      <c r="J1521" t="n">
        <v>0.0772</v>
      </c>
      <c r="K1521" t="n">
        <v>0.074</v>
      </c>
      <c r="L1521" t="n">
        <v>0.842</v>
      </c>
      <c r="M1521" t="n">
        <v>0.08400000000000001</v>
      </c>
    </row>
    <row r="1522" spans="1:13">
      <c r="A1522" s="1">
        <f>HYPERLINK("http://www.twitter.com/NathanBLawrence/status/992835274832039942", "992835274832039942")</f>
        <v/>
      </c>
      <c r="B1522" s="2" t="n">
        <v>43225.77488425926</v>
      </c>
      <c r="C1522" t="n">
        <v>0</v>
      </c>
      <c r="D1522" t="n">
        <v>4</v>
      </c>
      <c r="E1522" t="s">
        <v>1523</v>
      </c>
      <c r="F1522" t="s"/>
      <c r="G1522" t="s"/>
      <c r="H1522" t="s"/>
      <c r="I1522" t="s"/>
      <c r="J1522" t="n">
        <v>0</v>
      </c>
      <c r="K1522" t="n">
        <v>0</v>
      </c>
      <c r="L1522" t="n">
        <v>1</v>
      </c>
      <c r="M1522" t="n">
        <v>0</v>
      </c>
    </row>
    <row r="1523" spans="1:13">
      <c r="A1523" s="1">
        <f>HYPERLINK("http://www.twitter.com/NathanBLawrence/status/992835120859140097", "992835120859140097")</f>
        <v/>
      </c>
      <c r="B1523" s="2" t="n">
        <v>43225.77445601852</v>
      </c>
      <c r="C1523" t="n">
        <v>0</v>
      </c>
      <c r="D1523" t="n">
        <v>0</v>
      </c>
      <c r="E1523" t="s">
        <v>1524</v>
      </c>
      <c r="F1523" t="s"/>
      <c r="G1523" t="s"/>
      <c r="H1523" t="s"/>
      <c r="I1523" t="s"/>
      <c r="J1523" t="n">
        <v>0.3612</v>
      </c>
      <c r="K1523" t="n">
        <v>0</v>
      </c>
      <c r="L1523" t="n">
        <v>0.545</v>
      </c>
      <c r="M1523" t="n">
        <v>0.455</v>
      </c>
    </row>
    <row r="1524" spans="1:13">
      <c r="A1524" s="1">
        <f>HYPERLINK("http://www.twitter.com/NathanBLawrence/status/992835084523855872", "992835084523855872")</f>
        <v/>
      </c>
      <c r="B1524" s="2" t="n">
        <v>43225.77435185185</v>
      </c>
      <c r="C1524" t="n">
        <v>0</v>
      </c>
      <c r="D1524" t="n">
        <v>1</v>
      </c>
      <c r="E1524" t="s">
        <v>1525</v>
      </c>
      <c r="F1524" t="s"/>
      <c r="G1524" t="s"/>
      <c r="H1524" t="s"/>
      <c r="I1524" t="s"/>
      <c r="J1524" t="n">
        <v>0</v>
      </c>
      <c r="K1524" t="n">
        <v>0</v>
      </c>
      <c r="L1524" t="n">
        <v>1</v>
      </c>
      <c r="M1524" t="n">
        <v>0</v>
      </c>
    </row>
    <row r="1525" spans="1:13">
      <c r="A1525" s="1">
        <f>HYPERLINK("http://www.twitter.com/NathanBLawrence/status/992834496105013253", "992834496105013253")</f>
        <v/>
      </c>
      <c r="B1525" s="2" t="n">
        <v>43225.77273148148</v>
      </c>
      <c r="C1525" t="n">
        <v>1</v>
      </c>
      <c r="D1525" t="n">
        <v>0</v>
      </c>
      <c r="E1525" t="s">
        <v>1526</v>
      </c>
      <c r="F1525" t="s"/>
      <c r="G1525" t="s"/>
      <c r="H1525" t="s"/>
      <c r="I1525" t="s"/>
      <c r="J1525" t="n">
        <v>0</v>
      </c>
      <c r="K1525" t="n">
        <v>0</v>
      </c>
      <c r="L1525" t="n">
        <v>1</v>
      </c>
      <c r="M1525" t="n">
        <v>0</v>
      </c>
    </row>
    <row r="1526" spans="1:13">
      <c r="A1526" s="1">
        <f>HYPERLINK("http://www.twitter.com/NathanBLawrence/status/992834385614385152", "992834385614385152")</f>
        <v/>
      </c>
      <c r="B1526" s="2" t="n">
        <v>43225.77243055555</v>
      </c>
      <c r="C1526" t="n">
        <v>0</v>
      </c>
      <c r="D1526" t="n">
        <v>12</v>
      </c>
      <c r="E1526" t="s">
        <v>1527</v>
      </c>
      <c r="F1526">
        <f>HYPERLINK("http://pbs.twimg.com/media/DcJPxa6XkAAtM2v.jpg", "http://pbs.twimg.com/media/DcJPxa6XkAAtM2v.jpg")</f>
        <v/>
      </c>
      <c r="G1526">
        <f>HYPERLINK("http://pbs.twimg.com/media/DcJPxa1WkAA61X8.jpg", "http://pbs.twimg.com/media/DcJPxa1WkAA61X8.jpg")</f>
        <v/>
      </c>
      <c r="H1526">
        <f>HYPERLINK("http://pbs.twimg.com/media/DcJPxa7WsAAhNiX.jpg", "http://pbs.twimg.com/media/DcJPxa7WsAAhNiX.jpg")</f>
        <v/>
      </c>
      <c r="I1526">
        <f>HYPERLINK("http://pbs.twimg.com/media/DcJPxbTX0AEdE77.jpg", "http://pbs.twimg.com/media/DcJPxbTX0AEdE77.jpg")</f>
        <v/>
      </c>
      <c r="J1526" t="n">
        <v>0</v>
      </c>
      <c r="K1526" t="n">
        <v>0</v>
      </c>
      <c r="L1526" t="n">
        <v>1</v>
      </c>
      <c r="M1526" t="n">
        <v>0</v>
      </c>
    </row>
    <row r="1527" spans="1:13">
      <c r="A1527" s="1">
        <f>HYPERLINK("http://www.twitter.com/NathanBLawrence/status/992834243876347904", "992834243876347904")</f>
        <v/>
      </c>
      <c r="B1527" s="2" t="n">
        <v>43225.77203703704</v>
      </c>
      <c r="C1527" t="n">
        <v>0</v>
      </c>
      <c r="D1527" t="n">
        <v>8</v>
      </c>
      <c r="E1527" t="s">
        <v>1528</v>
      </c>
      <c r="F1527" t="s"/>
      <c r="G1527" t="s"/>
      <c r="H1527" t="s"/>
      <c r="I1527" t="s"/>
      <c r="J1527" t="n">
        <v>-0.4939</v>
      </c>
      <c r="K1527" t="n">
        <v>0.251</v>
      </c>
      <c r="L1527" t="n">
        <v>0.653</v>
      </c>
      <c r="M1527" t="n">
        <v>0.096</v>
      </c>
    </row>
    <row r="1528" spans="1:13">
      <c r="A1528" s="1">
        <f>HYPERLINK("http://www.twitter.com/NathanBLawrence/status/992834172204052480", "992834172204052480")</f>
        <v/>
      </c>
      <c r="B1528" s="2" t="n">
        <v>43225.77184027778</v>
      </c>
      <c r="C1528" t="n">
        <v>0</v>
      </c>
      <c r="D1528" t="n">
        <v>0</v>
      </c>
      <c r="E1528" t="s">
        <v>1529</v>
      </c>
      <c r="F1528" t="s"/>
      <c r="G1528" t="s"/>
      <c r="H1528" t="s"/>
      <c r="I1528" t="s"/>
      <c r="J1528" t="n">
        <v>-0.5574</v>
      </c>
      <c r="K1528" t="n">
        <v>0.419</v>
      </c>
      <c r="L1528" t="n">
        <v>0.581</v>
      </c>
      <c r="M1528" t="n">
        <v>0</v>
      </c>
    </row>
    <row r="1529" spans="1:13">
      <c r="A1529" s="1">
        <f>HYPERLINK("http://www.twitter.com/NathanBLawrence/status/992834021821505536", "992834021821505536")</f>
        <v/>
      </c>
      <c r="B1529" s="2" t="n">
        <v>43225.77142361111</v>
      </c>
      <c r="C1529" t="n">
        <v>0</v>
      </c>
      <c r="D1529" t="n">
        <v>215</v>
      </c>
      <c r="E1529" t="s">
        <v>1530</v>
      </c>
      <c r="F1529">
        <f>HYPERLINK("http://pbs.twimg.com/media/Dcb574TUQAAPfDp.jpg", "http://pbs.twimg.com/media/Dcb574TUQAAPfDp.jpg")</f>
        <v/>
      </c>
      <c r="G1529" t="s"/>
      <c r="H1529" t="s"/>
      <c r="I1529" t="s"/>
      <c r="J1529" t="n">
        <v>0</v>
      </c>
      <c r="K1529" t="n">
        <v>0</v>
      </c>
      <c r="L1529" t="n">
        <v>1</v>
      </c>
      <c r="M1529" t="n">
        <v>0</v>
      </c>
    </row>
    <row r="1530" spans="1:13">
      <c r="A1530" s="1">
        <f>HYPERLINK("http://www.twitter.com/NathanBLawrence/status/992833994361397248", "992833994361397248")</f>
        <v/>
      </c>
      <c r="B1530" s="2" t="n">
        <v>43225.77134259259</v>
      </c>
      <c r="C1530" t="n">
        <v>5</v>
      </c>
      <c r="D1530" t="n">
        <v>0</v>
      </c>
      <c r="E1530" t="s">
        <v>1531</v>
      </c>
      <c r="F1530" t="s"/>
      <c r="G1530" t="s"/>
      <c r="H1530" t="s"/>
      <c r="I1530" t="s"/>
      <c r="J1530" t="n">
        <v>0</v>
      </c>
      <c r="K1530" t="n">
        <v>0</v>
      </c>
      <c r="L1530" t="n">
        <v>1</v>
      </c>
      <c r="M1530" t="n">
        <v>0</v>
      </c>
    </row>
    <row r="1531" spans="1:13">
      <c r="A1531" s="1">
        <f>HYPERLINK("http://www.twitter.com/NathanBLawrence/status/992833530408382465", "992833530408382465")</f>
        <v/>
      </c>
      <c r="B1531" s="2" t="n">
        <v>43225.77006944444</v>
      </c>
      <c r="C1531" t="n">
        <v>0</v>
      </c>
      <c r="D1531" t="n">
        <v>12</v>
      </c>
      <c r="E1531" t="s">
        <v>1532</v>
      </c>
      <c r="F1531" t="s"/>
      <c r="G1531" t="s"/>
      <c r="H1531" t="s"/>
      <c r="I1531" t="s"/>
      <c r="J1531" t="n">
        <v>0.5093</v>
      </c>
      <c r="K1531" t="n">
        <v>0</v>
      </c>
      <c r="L1531" t="n">
        <v>0.875</v>
      </c>
      <c r="M1531" t="n">
        <v>0.125</v>
      </c>
    </row>
    <row r="1532" spans="1:13">
      <c r="A1532" s="1">
        <f>HYPERLINK("http://www.twitter.com/NathanBLawrence/status/992833143701999616", "992833143701999616")</f>
        <v/>
      </c>
      <c r="B1532" s="2" t="n">
        <v>43225.76900462963</v>
      </c>
      <c r="C1532" t="n">
        <v>2</v>
      </c>
      <c r="D1532" t="n">
        <v>2</v>
      </c>
      <c r="E1532" t="s">
        <v>1533</v>
      </c>
      <c r="F1532" t="s"/>
      <c r="G1532" t="s"/>
      <c r="H1532" t="s"/>
      <c r="I1532" t="s"/>
      <c r="J1532" t="n">
        <v>0.5095</v>
      </c>
      <c r="K1532" t="n">
        <v>0</v>
      </c>
      <c r="L1532" t="n">
        <v>0.603</v>
      </c>
      <c r="M1532" t="n">
        <v>0.397</v>
      </c>
    </row>
    <row r="1533" spans="1:13">
      <c r="A1533" s="1">
        <f>HYPERLINK("http://www.twitter.com/NathanBLawrence/status/992832926093074432", "992832926093074432")</f>
        <v/>
      </c>
      <c r="B1533" s="2" t="n">
        <v>43225.76840277778</v>
      </c>
      <c r="C1533" t="n">
        <v>0</v>
      </c>
      <c r="D1533" t="n">
        <v>2</v>
      </c>
      <c r="E1533" t="s">
        <v>1534</v>
      </c>
      <c r="F1533" t="s"/>
      <c r="G1533" t="s"/>
      <c r="H1533" t="s"/>
      <c r="I1533" t="s"/>
      <c r="J1533" t="n">
        <v>0</v>
      </c>
      <c r="K1533" t="n">
        <v>0</v>
      </c>
      <c r="L1533" t="n">
        <v>1</v>
      </c>
      <c r="M1533" t="n">
        <v>0</v>
      </c>
    </row>
    <row r="1534" spans="1:13">
      <c r="A1534" s="1">
        <f>HYPERLINK("http://www.twitter.com/NathanBLawrence/status/992832883059552258", "992832883059552258")</f>
        <v/>
      </c>
      <c r="B1534" s="2" t="n">
        <v>43225.76827546296</v>
      </c>
      <c r="C1534" t="n">
        <v>8</v>
      </c>
      <c r="D1534" t="n">
        <v>2</v>
      </c>
      <c r="E1534" t="s">
        <v>1535</v>
      </c>
      <c r="F1534" t="s"/>
      <c r="G1534" t="s"/>
      <c r="H1534" t="s"/>
      <c r="I1534" t="s"/>
      <c r="J1534" t="n">
        <v>0</v>
      </c>
      <c r="K1534" t="n">
        <v>0</v>
      </c>
      <c r="L1534" t="n">
        <v>1</v>
      </c>
      <c r="M1534" t="n">
        <v>0</v>
      </c>
    </row>
    <row r="1535" spans="1:13">
      <c r="A1535" s="1">
        <f>HYPERLINK("http://www.twitter.com/NathanBLawrence/status/992832417168838656", "992832417168838656")</f>
        <v/>
      </c>
      <c r="B1535" s="2" t="n">
        <v>43225.76699074074</v>
      </c>
      <c r="C1535" t="n">
        <v>0</v>
      </c>
      <c r="D1535" t="n">
        <v>1000</v>
      </c>
      <c r="E1535" t="s">
        <v>1536</v>
      </c>
      <c r="F1535" t="s"/>
      <c r="G1535" t="s"/>
      <c r="H1535" t="s"/>
      <c r="I1535" t="s"/>
      <c r="J1535" t="n">
        <v>-0.4588</v>
      </c>
      <c r="K1535" t="n">
        <v>0.132</v>
      </c>
      <c r="L1535" t="n">
        <v>0.8139999999999999</v>
      </c>
      <c r="M1535" t="n">
        <v>0.054</v>
      </c>
    </row>
    <row r="1536" spans="1:13">
      <c r="A1536" s="1">
        <f>HYPERLINK("http://www.twitter.com/NathanBLawrence/status/992832352685625344", "992832352685625344")</f>
        <v/>
      </c>
      <c r="B1536" s="2" t="n">
        <v>43225.76681712963</v>
      </c>
      <c r="C1536" t="n">
        <v>0</v>
      </c>
      <c r="D1536" t="n">
        <v>29</v>
      </c>
      <c r="E1536" t="s">
        <v>1537</v>
      </c>
      <c r="F1536">
        <f>HYPERLINK("http://pbs.twimg.com/media/Dcc_ArHVwAAh8_q.jpg", "http://pbs.twimg.com/media/Dcc_ArHVwAAh8_q.jpg")</f>
        <v/>
      </c>
      <c r="G1536" t="s"/>
      <c r="H1536" t="s"/>
      <c r="I1536" t="s"/>
      <c r="J1536" t="n">
        <v>0.6808</v>
      </c>
      <c r="K1536" t="n">
        <v>0</v>
      </c>
      <c r="L1536" t="n">
        <v>0.708</v>
      </c>
      <c r="M1536" t="n">
        <v>0.292</v>
      </c>
    </row>
    <row r="1537" spans="1:13">
      <c r="A1537" s="1">
        <f>HYPERLINK("http://www.twitter.com/NathanBLawrence/status/992831943967498240", "992831943967498240")</f>
        <v/>
      </c>
      <c r="B1537" s="2" t="n">
        <v>43225.76569444445</v>
      </c>
      <c r="C1537" t="n">
        <v>0</v>
      </c>
      <c r="D1537" t="n">
        <v>878</v>
      </c>
      <c r="E1537" t="s">
        <v>1538</v>
      </c>
      <c r="F1537" t="s"/>
      <c r="G1537" t="s"/>
      <c r="H1537" t="s"/>
      <c r="I1537" t="s"/>
      <c r="J1537" t="n">
        <v>0.9203</v>
      </c>
      <c r="K1537" t="n">
        <v>0</v>
      </c>
      <c r="L1537" t="n">
        <v>0.534</v>
      </c>
      <c r="M1537" t="n">
        <v>0.466</v>
      </c>
    </row>
    <row r="1538" spans="1:13">
      <c r="A1538" s="1">
        <f>HYPERLINK("http://www.twitter.com/NathanBLawrence/status/992831526013427712", "992831526013427712")</f>
        <v/>
      </c>
      <c r="B1538" s="2" t="n">
        <v>43225.76453703704</v>
      </c>
      <c r="C1538" t="n">
        <v>33</v>
      </c>
      <c r="D1538" t="n">
        <v>29</v>
      </c>
      <c r="E1538" t="s">
        <v>1539</v>
      </c>
      <c r="F1538">
        <f>HYPERLINK("http://pbs.twimg.com/media/Dcc_ArHVwAAh8_q.jpg", "http://pbs.twimg.com/media/Dcc_ArHVwAAh8_q.jpg")</f>
        <v/>
      </c>
      <c r="G1538" t="s"/>
      <c r="H1538" t="s"/>
      <c r="I1538" t="s"/>
      <c r="J1538" t="n">
        <v>0.6808</v>
      </c>
      <c r="K1538" t="n">
        <v>0</v>
      </c>
      <c r="L1538" t="n">
        <v>0.68</v>
      </c>
      <c r="M1538" t="n">
        <v>0.32</v>
      </c>
    </row>
    <row r="1539" spans="1:13">
      <c r="A1539" s="1">
        <f>HYPERLINK("http://www.twitter.com/NathanBLawrence/status/992829267502301191", "992829267502301191")</f>
        <v/>
      </c>
      <c r="B1539" s="2" t="n">
        <v>43225.75829861111</v>
      </c>
      <c r="C1539" t="n">
        <v>0</v>
      </c>
      <c r="D1539" t="n">
        <v>5</v>
      </c>
      <c r="E1539" t="s">
        <v>1540</v>
      </c>
      <c r="F1539" t="s"/>
      <c r="G1539" t="s"/>
      <c r="H1539" t="s"/>
      <c r="I1539" t="s"/>
      <c r="J1539" t="n">
        <v>0</v>
      </c>
      <c r="K1539" t="n">
        <v>0</v>
      </c>
      <c r="L1539" t="n">
        <v>1</v>
      </c>
      <c r="M1539" t="n">
        <v>0</v>
      </c>
    </row>
    <row r="1540" spans="1:13">
      <c r="A1540" s="1">
        <f>HYPERLINK("http://www.twitter.com/NathanBLawrence/status/992828850584412160", "992828850584412160")</f>
        <v/>
      </c>
      <c r="B1540" s="2" t="n">
        <v>43225.75715277778</v>
      </c>
      <c r="C1540" t="n">
        <v>1</v>
      </c>
      <c r="D1540" t="n">
        <v>1</v>
      </c>
      <c r="E1540" t="s">
        <v>1541</v>
      </c>
      <c r="F1540" t="s"/>
      <c r="G1540" t="s"/>
      <c r="H1540" t="s"/>
      <c r="I1540" t="s"/>
      <c r="J1540" t="n">
        <v>0.3612</v>
      </c>
      <c r="K1540" t="n">
        <v>0</v>
      </c>
      <c r="L1540" t="n">
        <v>0.545</v>
      </c>
      <c r="M1540" t="n">
        <v>0.455</v>
      </c>
    </row>
    <row r="1541" spans="1:13">
      <c r="A1541" s="1">
        <f>HYPERLINK("http://www.twitter.com/NathanBLawrence/status/992828798587547648", "992828798587547648")</f>
        <v/>
      </c>
      <c r="B1541" s="2" t="n">
        <v>43225.75701388889</v>
      </c>
      <c r="C1541" t="n">
        <v>0</v>
      </c>
      <c r="D1541" t="n">
        <v>126</v>
      </c>
      <c r="E1541" t="s">
        <v>1542</v>
      </c>
      <c r="F1541">
        <f>HYPERLINK("http://pbs.twimg.com/media/Dcc79plV0AA9zFc.jpg", "http://pbs.twimg.com/media/Dcc79plV0AA9zFc.jpg")</f>
        <v/>
      </c>
      <c r="G1541" t="s"/>
      <c r="H1541" t="s"/>
      <c r="I1541" t="s"/>
      <c r="J1541" t="n">
        <v>0</v>
      </c>
      <c r="K1541" t="n">
        <v>0</v>
      </c>
      <c r="L1541" t="n">
        <v>1</v>
      </c>
      <c r="M1541" t="n">
        <v>0</v>
      </c>
    </row>
    <row r="1542" spans="1:13">
      <c r="A1542" s="1">
        <f>HYPERLINK("http://www.twitter.com/NathanBLawrence/status/992827863756951557", "992827863756951557")</f>
        <v/>
      </c>
      <c r="B1542" s="2" t="n">
        <v>43225.75443287037</v>
      </c>
      <c r="C1542" t="n">
        <v>0</v>
      </c>
      <c r="D1542" t="n">
        <v>6</v>
      </c>
      <c r="E1542" t="s">
        <v>1543</v>
      </c>
      <c r="F1542" t="s"/>
      <c r="G1542" t="s"/>
      <c r="H1542" t="s"/>
      <c r="I1542" t="s"/>
      <c r="J1542" t="n">
        <v>-0.6486</v>
      </c>
      <c r="K1542" t="n">
        <v>0.249</v>
      </c>
      <c r="L1542" t="n">
        <v>0.6870000000000001</v>
      </c>
      <c r="M1542" t="n">
        <v>0.064</v>
      </c>
    </row>
    <row r="1543" spans="1:13">
      <c r="A1543" s="1">
        <f>HYPERLINK("http://www.twitter.com/NathanBLawrence/status/992827815199494144", "992827815199494144")</f>
        <v/>
      </c>
      <c r="B1543" s="2" t="n">
        <v>43225.75429398148</v>
      </c>
      <c r="C1543" t="n">
        <v>0</v>
      </c>
      <c r="D1543" t="n">
        <v>1</v>
      </c>
      <c r="E1543" t="s">
        <v>1544</v>
      </c>
      <c r="F1543" t="s"/>
      <c r="G1543" t="s"/>
      <c r="H1543" t="s"/>
      <c r="I1543" t="s"/>
      <c r="J1543" t="n">
        <v>0.7163</v>
      </c>
      <c r="K1543" t="n">
        <v>0.083</v>
      </c>
      <c r="L1543" t="n">
        <v>0.645</v>
      </c>
      <c r="M1543" t="n">
        <v>0.272</v>
      </c>
    </row>
    <row r="1544" spans="1:13">
      <c r="A1544" s="1">
        <f>HYPERLINK("http://www.twitter.com/NathanBLawrence/status/992827574400233472", "992827574400233472")</f>
        <v/>
      </c>
      <c r="B1544" s="2" t="n">
        <v>43225.75363425926</v>
      </c>
      <c r="C1544" t="n">
        <v>0</v>
      </c>
      <c r="D1544" t="n">
        <v>8</v>
      </c>
      <c r="E1544" t="s">
        <v>1545</v>
      </c>
      <c r="F1544" t="s"/>
      <c r="G1544" t="s"/>
      <c r="H1544" t="s"/>
      <c r="I1544" t="s"/>
      <c r="J1544" t="n">
        <v>0.4404</v>
      </c>
      <c r="K1544" t="n">
        <v>0</v>
      </c>
      <c r="L1544" t="n">
        <v>0.9</v>
      </c>
      <c r="M1544" t="n">
        <v>0.1</v>
      </c>
    </row>
    <row r="1545" spans="1:13">
      <c r="A1545" s="1">
        <f>HYPERLINK("http://www.twitter.com/NathanBLawrence/status/992827510391009280", "992827510391009280")</f>
        <v/>
      </c>
      <c r="B1545" s="2" t="n">
        <v>43225.75344907407</v>
      </c>
      <c r="C1545" t="n">
        <v>17</v>
      </c>
      <c r="D1545" t="n">
        <v>11</v>
      </c>
      <c r="E1545" t="s">
        <v>1546</v>
      </c>
      <c r="F1545">
        <f>HYPERLINK("https://video.twimg.com/ext_tw_video/992827456498233344/pu/vid/328x180/IwD4261yW5XfhxPO.mp4?tag=3", "https://video.twimg.com/ext_tw_video/992827456498233344/pu/vid/328x180/IwD4261yW5XfhxPO.mp4?tag=3")</f>
        <v/>
      </c>
      <c r="G1545" t="s"/>
      <c r="H1545" t="s"/>
      <c r="I1545" t="s"/>
      <c r="J1545" t="n">
        <v>0</v>
      </c>
      <c r="K1545" t="n">
        <v>0</v>
      </c>
      <c r="L1545" t="n">
        <v>1</v>
      </c>
      <c r="M1545" t="n">
        <v>0</v>
      </c>
    </row>
    <row r="1546" spans="1:13">
      <c r="A1546" s="1">
        <f>HYPERLINK("http://www.twitter.com/NathanBLawrence/status/992826755751796741", "992826755751796741")</f>
        <v/>
      </c>
      <c r="B1546" s="2" t="n">
        <v>43225.75137731482</v>
      </c>
      <c r="C1546" t="n">
        <v>3</v>
      </c>
      <c r="D1546" t="n">
        <v>2</v>
      </c>
      <c r="E1546" t="s">
        <v>1547</v>
      </c>
      <c r="F1546" t="s"/>
      <c r="G1546" t="s"/>
      <c r="H1546" t="s"/>
      <c r="I1546" t="s"/>
      <c r="J1546" t="n">
        <v>0</v>
      </c>
      <c r="K1546" t="n">
        <v>0</v>
      </c>
      <c r="L1546" t="n">
        <v>1</v>
      </c>
      <c r="M1546" t="n">
        <v>0</v>
      </c>
    </row>
    <row r="1547" spans="1:13">
      <c r="A1547" s="1">
        <f>HYPERLINK("http://www.twitter.com/NathanBLawrence/status/992826581981827072", "992826581981827072")</f>
        <v/>
      </c>
      <c r="B1547" s="2" t="n">
        <v>43225.7508912037</v>
      </c>
      <c r="C1547" t="n">
        <v>0</v>
      </c>
      <c r="D1547" t="n">
        <v>4</v>
      </c>
      <c r="E1547" t="s">
        <v>1548</v>
      </c>
      <c r="F1547" t="s"/>
      <c r="G1547" t="s"/>
      <c r="H1547" t="s"/>
      <c r="I1547" t="s"/>
      <c r="J1547" t="n">
        <v>0.3365</v>
      </c>
      <c r="K1547" t="n">
        <v>0.187</v>
      </c>
      <c r="L1547" t="n">
        <v>0.576</v>
      </c>
      <c r="M1547" t="n">
        <v>0.237</v>
      </c>
    </row>
    <row r="1548" spans="1:13">
      <c r="A1548" s="1">
        <f>HYPERLINK("http://www.twitter.com/NathanBLawrence/status/992826548150468611", "992826548150468611")</f>
        <v/>
      </c>
      <c r="B1548" s="2" t="n">
        <v>43225.75079861111</v>
      </c>
      <c r="C1548" t="n">
        <v>0</v>
      </c>
      <c r="D1548" t="n">
        <v>1</v>
      </c>
      <c r="E1548" t="s">
        <v>1549</v>
      </c>
      <c r="F1548">
        <f>HYPERLINK("http://pbs.twimg.com/media/Dcc6OyUU0AE7bMC.jpg", "http://pbs.twimg.com/media/Dcc6OyUU0AE7bMC.jpg")</f>
        <v/>
      </c>
      <c r="G1548" t="s"/>
      <c r="H1548" t="s"/>
      <c r="I1548" t="s"/>
      <c r="J1548" t="n">
        <v>0</v>
      </c>
      <c r="K1548" t="n">
        <v>0</v>
      </c>
      <c r="L1548" t="n">
        <v>1</v>
      </c>
      <c r="M1548" t="n">
        <v>0</v>
      </c>
    </row>
    <row r="1549" spans="1:13">
      <c r="A1549" s="1">
        <f>HYPERLINK("http://www.twitter.com/NathanBLawrence/status/992826119467528195", "992826119467528195")</f>
        <v/>
      </c>
      <c r="B1549" s="2" t="n">
        <v>43225.74961805555</v>
      </c>
      <c r="C1549" t="n">
        <v>1</v>
      </c>
      <c r="D1549" t="n">
        <v>0</v>
      </c>
      <c r="E1549" t="s">
        <v>1550</v>
      </c>
      <c r="F1549" t="s"/>
      <c r="G1549" t="s"/>
      <c r="H1549" t="s"/>
      <c r="I1549" t="s"/>
      <c r="J1549" t="n">
        <v>0.4404</v>
      </c>
      <c r="K1549" t="n">
        <v>0</v>
      </c>
      <c r="L1549" t="n">
        <v>0.756</v>
      </c>
      <c r="M1549" t="n">
        <v>0.244</v>
      </c>
    </row>
    <row r="1550" spans="1:13">
      <c r="A1550" s="1">
        <f>HYPERLINK("http://www.twitter.com/NathanBLawrence/status/992825586350424064", "992825586350424064")</f>
        <v/>
      </c>
      <c r="B1550" s="2" t="n">
        <v>43225.74814814814</v>
      </c>
      <c r="C1550" t="n">
        <v>0</v>
      </c>
      <c r="D1550" t="n">
        <v>1</v>
      </c>
      <c r="E1550" t="s">
        <v>1551</v>
      </c>
      <c r="F1550" t="s"/>
      <c r="G1550" t="s"/>
      <c r="H1550" t="s"/>
      <c r="I1550" t="s"/>
      <c r="J1550" t="n">
        <v>0.4939</v>
      </c>
      <c r="K1550" t="n">
        <v>0</v>
      </c>
      <c r="L1550" t="n">
        <v>0.8110000000000001</v>
      </c>
      <c r="M1550" t="n">
        <v>0.189</v>
      </c>
    </row>
    <row r="1551" spans="1:13">
      <c r="A1551" s="1">
        <f>HYPERLINK("http://www.twitter.com/NathanBLawrence/status/992825489537617925", "992825489537617925")</f>
        <v/>
      </c>
      <c r="B1551" s="2" t="n">
        <v>43225.74788194444</v>
      </c>
      <c r="C1551" t="n">
        <v>0</v>
      </c>
      <c r="D1551" t="n">
        <v>1</v>
      </c>
      <c r="E1551" t="s">
        <v>1552</v>
      </c>
      <c r="F1551" t="s"/>
      <c r="G1551" t="s"/>
      <c r="H1551" t="s"/>
      <c r="I1551" t="s"/>
      <c r="J1551" t="n">
        <v>-0.2263</v>
      </c>
      <c r="K1551" t="n">
        <v>0.157</v>
      </c>
      <c r="L1551" t="n">
        <v>0.717</v>
      </c>
      <c r="M1551" t="n">
        <v>0.126</v>
      </c>
    </row>
    <row r="1552" spans="1:13">
      <c r="A1552" s="1">
        <f>HYPERLINK("http://www.twitter.com/NathanBLawrence/status/992825416216907778", "992825416216907778")</f>
        <v/>
      </c>
      <c r="B1552" s="2" t="n">
        <v>43225.74767361111</v>
      </c>
      <c r="C1552" t="n">
        <v>0</v>
      </c>
      <c r="D1552" t="n">
        <v>7</v>
      </c>
      <c r="E1552" t="s">
        <v>1553</v>
      </c>
      <c r="F1552" t="s"/>
      <c r="G1552" t="s"/>
      <c r="H1552" t="s"/>
      <c r="I1552" t="s"/>
      <c r="J1552" t="n">
        <v>0.4939</v>
      </c>
      <c r="K1552" t="n">
        <v>0</v>
      </c>
      <c r="L1552" t="n">
        <v>0.849</v>
      </c>
      <c r="M1552" t="n">
        <v>0.151</v>
      </c>
    </row>
    <row r="1553" spans="1:13">
      <c r="A1553" s="1">
        <f>HYPERLINK("http://www.twitter.com/NathanBLawrence/status/992825012968140800", "992825012968140800")</f>
        <v/>
      </c>
      <c r="B1553" s="2" t="n">
        <v>43225.7465625</v>
      </c>
      <c r="C1553" t="n">
        <v>0</v>
      </c>
      <c r="D1553" t="n">
        <v>0</v>
      </c>
      <c r="E1553" t="s">
        <v>1554</v>
      </c>
      <c r="F1553">
        <f>HYPERLINK("http://pbs.twimg.com/media/Dcc5FV4V0AA-ae8.jpg", "http://pbs.twimg.com/media/Dcc5FV4V0AA-ae8.jpg")</f>
        <v/>
      </c>
      <c r="G1553" t="s"/>
      <c r="H1553" t="s"/>
      <c r="I1553" t="s"/>
      <c r="J1553" t="n">
        <v>0</v>
      </c>
      <c r="K1553" t="n">
        <v>0</v>
      </c>
      <c r="L1553" t="n">
        <v>1</v>
      </c>
      <c r="M1553" t="n">
        <v>0</v>
      </c>
    </row>
    <row r="1554" spans="1:13">
      <c r="A1554" s="1">
        <f>HYPERLINK("http://www.twitter.com/NathanBLawrence/status/992824521588727808", "992824521588727808")</f>
        <v/>
      </c>
      <c r="B1554" s="2" t="n">
        <v>43225.74520833333</v>
      </c>
      <c r="C1554" t="n">
        <v>6</v>
      </c>
      <c r="D1554" t="n">
        <v>3</v>
      </c>
      <c r="E1554" t="s">
        <v>1555</v>
      </c>
      <c r="F1554" t="s"/>
      <c r="G1554" t="s"/>
      <c r="H1554" t="s"/>
      <c r="I1554" t="s"/>
      <c r="J1554" t="n">
        <v>0.2263</v>
      </c>
      <c r="K1554" t="n">
        <v>0</v>
      </c>
      <c r="L1554" t="n">
        <v>0.9360000000000001</v>
      </c>
      <c r="M1554" t="n">
        <v>0.064</v>
      </c>
    </row>
    <row r="1555" spans="1:13">
      <c r="A1555" s="1">
        <f>HYPERLINK("http://www.twitter.com/NathanBLawrence/status/992824298548146176", "992824298548146176")</f>
        <v/>
      </c>
      <c r="B1555" s="2" t="n">
        <v>43225.74459490741</v>
      </c>
      <c r="C1555" t="n">
        <v>0</v>
      </c>
      <c r="D1555" t="n">
        <v>5</v>
      </c>
      <c r="E1555" t="s">
        <v>1556</v>
      </c>
      <c r="F1555" t="s"/>
      <c r="G1555" t="s"/>
      <c r="H1555" t="s"/>
      <c r="I1555" t="s"/>
      <c r="J1555" t="n">
        <v>0</v>
      </c>
      <c r="K1555" t="n">
        <v>0</v>
      </c>
      <c r="L1555" t="n">
        <v>1</v>
      </c>
      <c r="M1555" t="n">
        <v>0</v>
      </c>
    </row>
    <row r="1556" spans="1:13">
      <c r="A1556" s="1">
        <f>HYPERLINK("http://www.twitter.com/NathanBLawrence/status/992824237168693248", "992824237168693248")</f>
        <v/>
      </c>
      <c r="B1556" s="2" t="n">
        <v>43225.74442129629</v>
      </c>
      <c r="C1556" t="n">
        <v>0</v>
      </c>
      <c r="D1556" t="n">
        <v>5</v>
      </c>
      <c r="E1556" t="s">
        <v>1557</v>
      </c>
      <c r="F1556" t="s"/>
      <c r="G1556" t="s"/>
      <c r="H1556" t="s"/>
      <c r="I1556" t="s"/>
      <c r="J1556" t="n">
        <v>0</v>
      </c>
      <c r="K1556" t="n">
        <v>0</v>
      </c>
      <c r="L1556" t="n">
        <v>1</v>
      </c>
      <c r="M1556" t="n">
        <v>0</v>
      </c>
    </row>
    <row r="1557" spans="1:13">
      <c r="A1557" s="1">
        <f>HYPERLINK("http://www.twitter.com/NathanBLawrence/status/992824136757063680", "992824136757063680")</f>
        <v/>
      </c>
      <c r="B1557" s="2" t="n">
        <v>43225.74414351852</v>
      </c>
      <c r="C1557" t="n">
        <v>0</v>
      </c>
      <c r="D1557" t="n">
        <v>34</v>
      </c>
      <c r="E1557" t="s">
        <v>1558</v>
      </c>
      <c r="F1557" t="s"/>
      <c r="G1557" t="s"/>
      <c r="H1557" t="s"/>
      <c r="I1557" t="s"/>
      <c r="J1557" t="n">
        <v>0</v>
      </c>
      <c r="K1557" t="n">
        <v>0</v>
      </c>
      <c r="L1557" t="n">
        <v>1</v>
      </c>
      <c r="M1557" t="n">
        <v>0</v>
      </c>
    </row>
    <row r="1558" spans="1:13">
      <c r="A1558" s="1">
        <f>HYPERLINK("http://www.twitter.com/NathanBLawrence/status/992824022701367296", "992824022701367296")</f>
        <v/>
      </c>
      <c r="B1558" s="2" t="n">
        <v>43225.74383101852</v>
      </c>
      <c r="C1558" t="n">
        <v>0</v>
      </c>
      <c r="D1558" t="n">
        <v>10</v>
      </c>
      <c r="E1558" t="s">
        <v>1559</v>
      </c>
      <c r="F1558">
        <f>HYPERLINK("http://pbs.twimg.com/media/Dccz7kXUQAEc22a.jpg", "http://pbs.twimg.com/media/Dccz7kXUQAEc22a.jpg")</f>
        <v/>
      </c>
      <c r="G1558" t="s"/>
      <c r="H1558" t="s"/>
      <c r="I1558" t="s"/>
      <c r="J1558" t="n">
        <v>0</v>
      </c>
      <c r="K1558" t="n">
        <v>0</v>
      </c>
      <c r="L1558" t="n">
        <v>1</v>
      </c>
      <c r="M1558" t="n">
        <v>0</v>
      </c>
    </row>
    <row r="1559" spans="1:13">
      <c r="A1559" s="1">
        <f>HYPERLINK("http://www.twitter.com/NathanBLawrence/status/992823737102819328", "992823737102819328")</f>
        <v/>
      </c>
      <c r="B1559" s="2" t="n">
        <v>43225.74304398148</v>
      </c>
      <c r="C1559" t="n">
        <v>1</v>
      </c>
      <c r="D1559" t="n">
        <v>0</v>
      </c>
      <c r="E1559" t="s">
        <v>1560</v>
      </c>
      <c r="F1559" t="s"/>
      <c r="G1559" t="s"/>
      <c r="H1559" t="s"/>
      <c r="I1559" t="s"/>
      <c r="J1559" t="n">
        <v>0.0258</v>
      </c>
      <c r="K1559" t="n">
        <v>0.21</v>
      </c>
      <c r="L1559" t="n">
        <v>0.571</v>
      </c>
      <c r="M1559" t="n">
        <v>0.219</v>
      </c>
    </row>
    <row r="1560" spans="1:13">
      <c r="A1560" s="1">
        <f>HYPERLINK("http://www.twitter.com/NathanBLawrence/status/992821658892357640", "992821658892357640")</f>
        <v/>
      </c>
      <c r="B1560" s="2" t="n">
        <v>43225.73730324074</v>
      </c>
      <c r="C1560" t="n">
        <v>2</v>
      </c>
      <c r="D1560" t="n">
        <v>1</v>
      </c>
      <c r="E1560" t="s">
        <v>1561</v>
      </c>
      <c r="F1560" t="s"/>
      <c r="G1560" t="s"/>
      <c r="H1560" t="s"/>
      <c r="I1560" t="s"/>
      <c r="J1560" t="n">
        <v>0.4215</v>
      </c>
      <c r="K1560" t="n">
        <v>0</v>
      </c>
      <c r="L1560" t="n">
        <v>0.263</v>
      </c>
      <c r="M1560" t="n">
        <v>0.737</v>
      </c>
    </row>
    <row r="1561" spans="1:13">
      <c r="A1561" s="1">
        <f>HYPERLINK("http://www.twitter.com/NathanBLawrence/status/992821592030957568", "992821592030957568")</f>
        <v/>
      </c>
      <c r="B1561" s="2" t="n">
        <v>43225.73711805556</v>
      </c>
      <c r="C1561" t="n">
        <v>0</v>
      </c>
      <c r="D1561" t="n">
        <v>1</v>
      </c>
      <c r="E1561" t="s">
        <v>1562</v>
      </c>
      <c r="F1561" t="s"/>
      <c r="G1561" t="s"/>
      <c r="H1561" t="s"/>
      <c r="I1561" t="s"/>
      <c r="J1561" t="n">
        <v>-0.4767</v>
      </c>
      <c r="K1561" t="n">
        <v>0.22</v>
      </c>
      <c r="L1561" t="n">
        <v>0.78</v>
      </c>
      <c r="M1561" t="n">
        <v>0</v>
      </c>
    </row>
    <row r="1562" spans="1:13">
      <c r="A1562" s="1">
        <f>HYPERLINK("http://www.twitter.com/NathanBLawrence/status/992820745196711936", "992820745196711936")</f>
        <v/>
      </c>
      <c r="B1562" s="2" t="n">
        <v>43225.73479166667</v>
      </c>
      <c r="C1562" t="n">
        <v>31</v>
      </c>
      <c r="D1562" t="n">
        <v>18</v>
      </c>
      <c r="E1562" t="s">
        <v>1563</v>
      </c>
      <c r="F1562" t="s"/>
      <c r="G1562" t="s"/>
      <c r="H1562" t="s"/>
      <c r="I1562" t="s"/>
      <c r="J1562" t="n">
        <v>-0.2732</v>
      </c>
      <c r="K1562" t="n">
        <v>0.13</v>
      </c>
      <c r="L1562" t="n">
        <v>0.87</v>
      </c>
      <c r="M1562" t="n">
        <v>0</v>
      </c>
    </row>
    <row r="1563" spans="1:13">
      <c r="A1563" s="1">
        <f>HYPERLINK("http://www.twitter.com/NathanBLawrence/status/992819769152860160", "992819769152860160")</f>
        <v/>
      </c>
      <c r="B1563" s="2" t="n">
        <v>43225.73209490741</v>
      </c>
      <c r="C1563" t="n">
        <v>0</v>
      </c>
      <c r="D1563" t="n">
        <v>0</v>
      </c>
      <c r="E1563" t="s">
        <v>1564</v>
      </c>
      <c r="F1563" t="s"/>
      <c r="G1563" t="s"/>
      <c r="H1563" t="s"/>
      <c r="I1563" t="s"/>
      <c r="J1563" t="n">
        <v>0</v>
      </c>
      <c r="K1563" t="n">
        <v>0</v>
      </c>
      <c r="L1563" t="n">
        <v>1</v>
      </c>
      <c r="M1563" t="n">
        <v>0</v>
      </c>
    </row>
    <row r="1564" spans="1:13">
      <c r="A1564" s="1">
        <f>HYPERLINK("http://www.twitter.com/NathanBLawrence/status/992819470749110272", "992819470749110272")</f>
        <v/>
      </c>
      <c r="B1564" s="2" t="n">
        <v>43225.73127314815</v>
      </c>
      <c r="C1564" t="n">
        <v>0</v>
      </c>
      <c r="D1564" t="n">
        <v>76</v>
      </c>
      <c r="E1564" t="s">
        <v>1565</v>
      </c>
      <c r="F1564" t="s"/>
      <c r="G1564" t="s"/>
      <c r="H1564" t="s"/>
      <c r="I1564" t="s"/>
      <c r="J1564" t="n">
        <v>0.6114000000000001</v>
      </c>
      <c r="K1564" t="n">
        <v>0</v>
      </c>
      <c r="L1564" t="n">
        <v>0.734</v>
      </c>
      <c r="M1564" t="n">
        <v>0.266</v>
      </c>
    </row>
    <row r="1565" spans="1:13">
      <c r="A1565" s="1">
        <f>HYPERLINK("http://www.twitter.com/NathanBLawrence/status/992818593472630784", "992818593472630784")</f>
        <v/>
      </c>
      <c r="B1565" s="2" t="n">
        <v>43225.72885416666</v>
      </c>
      <c r="C1565" t="n">
        <v>6</v>
      </c>
      <c r="D1565" t="n">
        <v>5</v>
      </c>
      <c r="E1565" t="s">
        <v>1566</v>
      </c>
      <c r="F1565" t="s"/>
      <c r="G1565" t="s"/>
      <c r="H1565" t="s"/>
      <c r="I1565" t="s"/>
      <c r="J1565" t="n">
        <v>0.8625</v>
      </c>
      <c r="K1565" t="n">
        <v>0</v>
      </c>
      <c r="L1565" t="n">
        <v>0.806</v>
      </c>
      <c r="M1565" t="n">
        <v>0.194</v>
      </c>
    </row>
    <row r="1566" spans="1:13">
      <c r="A1566" s="1">
        <f>HYPERLINK("http://www.twitter.com/NathanBLawrence/status/992815778465484801", "992815778465484801")</f>
        <v/>
      </c>
      <c r="B1566" s="2" t="n">
        <v>43225.72107638889</v>
      </c>
      <c r="C1566" t="n">
        <v>4</v>
      </c>
      <c r="D1566" t="n">
        <v>4</v>
      </c>
      <c r="E1566" t="s">
        <v>1567</v>
      </c>
      <c r="F1566" t="s"/>
      <c r="G1566" t="s"/>
      <c r="H1566" t="s"/>
      <c r="I1566" t="s"/>
      <c r="J1566" t="n">
        <v>0.4767</v>
      </c>
      <c r="K1566" t="n">
        <v>0</v>
      </c>
      <c r="L1566" t="n">
        <v>0.897</v>
      </c>
      <c r="M1566" t="n">
        <v>0.103</v>
      </c>
    </row>
    <row r="1567" spans="1:13">
      <c r="A1567" s="1">
        <f>HYPERLINK("http://www.twitter.com/NathanBLawrence/status/992815249010188290", "992815249010188290")</f>
        <v/>
      </c>
      <c r="B1567" s="2" t="n">
        <v>43225.71961805555</v>
      </c>
      <c r="C1567" t="n">
        <v>0</v>
      </c>
      <c r="D1567" t="n">
        <v>5</v>
      </c>
      <c r="E1567" t="s">
        <v>1568</v>
      </c>
      <c r="F1567" t="s"/>
      <c r="G1567" t="s"/>
      <c r="H1567" t="s"/>
      <c r="I1567" t="s"/>
      <c r="J1567" t="n">
        <v>0</v>
      </c>
      <c r="K1567" t="n">
        <v>0</v>
      </c>
      <c r="L1567" t="n">
        <v>1</v>
      </c>
      <c r="M1567" t="n">
        <v>0</v>
      </c>
    </row>
    <row r="1568" spans="1:13">
      <c r="A1568" s="1">
        <f>HYPERLINK("http://www.twitter.com/NathanBLawrence/status/992815161365991424", "992815161365991424")</f>
        <v/>
      </c>
      <c r="B1568" s="2" t="n">
        <v>43225.719375</v>
      </c>
      <c r="C1568" t="n">
        <v>4</v>
      </c>
      <c r="D1568" t="n">
        <v>4</v>
      </c>
      <c r="E1568" t="s">
        <v>1569</v>
      </c>
      <c r="F1568" t="s"/>
      <c r="G1568" t="s"/>
      <c r="H1568" t="s"/>
      <c r="I1568" t="s"/>
      <c r="J1568" t="n">
        <v>0.6808</v>
      </c>
      <c r="K1568" t="n">
        <v>0</v>
      </c>
      <c r="L1568" t="n">
        <v>0.8110000000000001</v>
      </c>
      <c r="M1568" t="n">
        <v>0.189</v>
      </c>
    </row>
    <row r="1569" spans="1:13">
      <c r="A1569" s="1">
        <f>HYPERLINK("http://www.twitter.com/NathanBLawrence/status/992814959263350785", "992814959263350785")</f>
        <v/>
      </c>
      <c r="B1569" s="2" t="n">
        <v>43225.71881944445</v>
      </c>
      <c r="C1569" t="n">
        <v>0</v>
      </c>
      <c r="D1569" t="n">
        <v>4</v>
      </c>
      <c r="E1569" t="s">
        <v>1570</v>
      </c>
      <c r="F1569">
        <f>HYPERLINK("http://pbs.twimg.com/media/DccvSFLVwAEPZj3.jpg", "http://pbs.twimg.com/media/DccvSFLVwAEPZj3.jpg")</f>
        <v/>
      </c>
      <c r="G1569" t="s"/>
      <c r="H1569" t="s"/>
      <c r="I1569" t="s"/>
      <c r="J1569" t="n">
        <v>0</v>
      </c>
      <c r="K1569" t="n">
        <v>0</v>
      </c>
      <c r="L1569" t="n">
        <v>1</v>
      </c>
      <c r="M1569" t="n">
        <v>0</v>
      </c>
    </row>
    <row r="1570" spans="1:13">
      <c r="A1570" s="1">
        <f>HYPERLINK("http://www.twitter.com/NathanBLawrence/status/992814306721968133", "992814306721968133")</f>
        <v/>
      </c>
      <c r="B1570" s="2" t="n">
        <v>43225.71701388889</v>
      </c>
      <c r="C1570" t="n">
        <v>0</v>
      </c>
      <c r="D1570" t="n">
        <v>4</v>
      </c>
      <c r="E1570" t="s">
        <v>1571</v>
      </c>
      <c r="F1570" t="s"/>
      <c r="G1570" t="s"/>
      <c r="H1570" t="s"/>
      <c r="I1570" t="s"/>
      <c r="J1570" t="n">
        <v>0</v>
      </c>
      <c r="K1570" t="n">
        <v>0</v>
      </c>
      <c r="L1570" t="n">
        <v>1</v>
      </c>
      <c r="M1570" t="n">
        <v>0</v>
      </c>
    </row>
    <row r="1571" spans="1:13">
      <c r="A1571" s="1">
        <f>HYPERLINK("http://www.twitter.com/NathanBLawrence/status/992814238413533184", "992814238413533184")</f>
        <v/>
      </c>
      <c r="B1571" s="2" t="n">
        <v>43225.71682870371</v>
      </c>
      <c r="C1571" t="n">
        <v>3</v>
      </c>
      <c r="D1571" t="n">
        <v>4</v>
      </c>
      <c r="E1571" t="s">
        <v>1572</v>
      </c>
      <c r="F1571">
        <f>HYPERLINK("http://pbs.twimg.com/media/DccvSFLVwAEPZj3.jpg", "http://pbs.twimg.com/media/DccvSFLVwAEPZj3.jpg")</f>
        <v/>
      </c>
      <c r="G1571" t="s"/>
      <c r="H1571" t="s"/>
      <c r="I1571" t="s"/>
      <c r="J1571" t="n">
        <v>0</v>
      </c>
      <c r="K1571" t="n">
        <v>0</v>
      </c>
      <c r="L1571" t="n">
        <v>1</v>
      </c>
      <c r="M1571" t="n">
        <v>0</v>
      </c>
    </row>
    <row r="1572" spans="1:13">
      <c r="A1572" s="1">
        <f>HYPERLINK("http://www.twitter.com/NathanBLawrence/status/992813816219099141", "992813816219099141")</f>
        <v/>
      </c>
      <c r="B1572" s="2" t="n">
        <v>43225.7156712963</v>
      </c>
      <c r="C1572" t="n">
        <v>0</v>
      </c>
      <c r="D1572" t="n">
        <v>60</v>
      </c>
      <c r="E1572" t="s">
        <v>1573</v>
      </c>
      <c r="F1572" t="s"/>
      <c r="G1572" t="s"/>
      <c r="H1572" t="s"/>
      <c r="I1572" t="s"/>
      <c r="J1572" t="n">
        <v>0.8885</v>
      </c>
      <c r="K1572" t="n">
        <v>0</v>
      </c>
      <c r="L1572" t="n">
        <v>0.545</v>
      </c>
      <c r="M1572" t="n">
        <v>0.455</v>
      </c>
    </row>
    <row r="1573" spans="1:13">
      <c r="A1573" s="1">
        <f>HYPERLINK("http://www.twitter.com/NathanBLawrence/status/992813721884950533", "992813721884950533")</f>
        <v/>
      </c>
      <c r="B1573" s="2" t="n">
        <v>43225.71540509259</v>
      </c>
      <c r="C1573" t="n">
        <v>0</v>
      </c>
      <c r="D1573" t="n">
        <v>6</v>
      </c>
      <c r="E1573" t="s">
        <v>1574</v>
      </c>
      <c r="F1573" t="s"/>
      <c r="G1573" t="s"/>
      <c r="H1573" t="s"/>
      <c r="I1573" t="s"/>
      <c r="J1573" t="n">
        <v>0</v>
      </c>
      <c r="K1573" t="n">
        <v>0</v>
      </c>
      <c r="L1573" t="n">
        <v>1</v>
      </c>
      <c r="M1573" t="n">
        <v>0</v>
      </c>
    </row>
    <row r="1574" spans="1:13">
      <c r="A1574" s="1">
        <f>HYPERLINK("http://www.twitter.com/NathanBLawrence/status/992813294565064704", "992813294565064704")</f>
        <v/>
      </c>
      <c r="B1574" s="2" t="n">
        <v>43225.71422453703</v>
      </c>
      <c r="C1574" t="n">
        <v>7</v>
      </c>
      <c r="D1574" t="n">
        <v>6</v>
      </c>
      <c r="E1574" t="s">
        <v>1575</v>
      </c>
      <c r="F1574" t="s"/>
      <c r="G1574" t="s"/>
      <c r="H1574" t="s"/>
      <c r="I1574" t="s"/>
      <c r="J1574" t="n">
        <v>0</v>
      </c>
      <c r="K1574" t="n">
        <v>0</v>
      </c>
      <c r="L1574" t="n">
        <v>1</v>
      </c>
      <c r="M1574" t="n">
        <v>0</v>
      </c>
    </row>
    <row r="1575" spans="1:13">
      <c r="A1575" s="1">
        <f>HYPERLINK("http://www.twitter.com/NathanBLawrence/status/992812861159301122", "992812861159301122")</f>
        <v/>
      </c>
      <c r="B1575" s="2" t="n">
        <v>43225.71303240741</v>
      </c>
      <c r="C1575" t="n">
        <v>0</v>
      </c>
      <c r="D1575" t="n">
        <v>13</v>
      </c>
      <c r="E1575" t="s">
        <v>1576</v>
      </c>
      <c r="F1575" t="s"/>
      <c r="G1575" t="s"/>
      <c r="H1575" t="s"/>
      <c r="I1575" t="s"/>
      <c r="J1575" t="n">
        <v>0.3818</v>
      </c>
      <c r="K1575" t="n">
        <v>0</v>
      </c>
      <c r="L1575" t="n">
        <v>0.89</v>
      </c>
      <c r="M1575" t="n">
        <v>0.11</v>
      </c>
    </row>
    <row r="1576" spans="1:13">
      <c r="A1576" s="1">
        <f>HYPERLINK("http://www.twitter.com/NathanBLawrence/status/992812772974055424", "992812772974055424")</f>
        <v/>
      </c>
      <c r="B1576" s="2" t="n">
        <v>43225.71278935186</v>
      </c>
      <c r="C1576" t="n">
        <v>0</v>
      </c>
      <c r="D1576" t="n">
        <v>7</v>
      </c>
      <c r="E1576" t="s">
        <v>1577</v>
      </c>
      <c r="F1576" t="s"/>
      <c r="G1576" t="s"/>
      <c r="H1576" t="s"/>
      <c r="I1576" t="s"/>
      <c r="J1576" t="n">
        <v>0</v>
      </c>
      <c r="K1576" t="n">
        <v>0</v>
      </c>
      <c r="L1576" t="n">
        <v>1</v>
      </c>
      <c r="M1576" t="n">
        <v>0</v>
      </c>
    </row>
    <row r="1577" spans="1:13">
      <c r="A1577" s="1">
        <f>HYPERLINK("http://www.twitter.com/NathanBLawrence/status/992812313928519680", "992812313928519680")</f>
        <v/>
      </c>
      <c r="B1577" s="2" t="n">
        <v>43225.7115162037</v>
      </c>
      <c r="C1577" t="n">
        <v>0</v>
      </c>
      <c r="D1577" t="n">
        <v>6</v>
      </c>
      <c r="E1577" t="s">
        <v>1578</v>
      </c>
      <c r="F1577" t="s"/>
      <c r="G1577" t="s"/>
      <c r="H1577" t="s"/>
      <c r="I1577" t="s"/>
      <c r="J1577" t="n">
        <v>0</v>
      </c>
      <c r="K1577" t="n">
        <v>0</v>
      </c>
      <c r="L1577" t="n">
        <v>1</v>
      </c>
      <c r="M1577" t="n">
        <v>0</v>
      </c>
    </row>
    <row r="1578" spans="1:13">
      <c r="A1578" s="1">
        <f>HYPERLINK("http://www.twitter.com/NathanBLawrence/status/992811821848563714", "992811821848563714")</f>
        <v/>
      </c>
      <c r="B1578" s="2" t="n">
        <v>43225.71016203704</v>
      </c>
      <c r="C1578" t="n">
        <v>0</v>
      </c>
      <c r="D1578" t="n">
        <v>6</v>
      </c>
      <c r="E1578" t="s">
        <v>1579</v>
      </c>
      <c r="F1578">
        <f>HYPERLINK("http://pbs.twimg.com/media/Dccq6LaXkAMw6FO.jpg", "http://pbs.twimg.com/media/Dccq6LaXkAMw6FO.jpg")</f>
        <v/>
      </c>
      <c r="G1578" t="s"/>
      <c r="H1578" t="s"/>
      <c r="I1578" t="s"/>
      <c r="J1578" t="n">
        <v>0.3612</v>
      </c>
      <c r="K1578" t="n">
        <v>0</v>
      </c>
      <c r="L1578" t="n">
        <v>0.872</v>
      </c>
      <c r="M1578" t="n">
        <v>0.128</v>
      </c>
    </row>
    <row r="1579" spans="1:13">
      <c r="A1579" s="1">
        <f>HYPERLINK("http://www.twitter.com/NathanBLawrence/status/992808258208346113", "992808258208346113")</f>
        <v/>
      </c>
      <c r="B1579" s="2" t="n">
        <v>43225.70032407407</v>
      </c>
      <c r="C1579" t="n">
        <v>0</v>
      </c>
      <c r="D1579" t="n">
        <v>7</v>
      </c>
      <c r="E1579" t="s">
        <v>1580</v>
      </c>
      <c r="F1579">
        <f>HYPERLINK("http://pbs.twimg.com/media/Dccm0AEVQAU51eZ.jpg", "http://pbs.twimg.com/media/Dccm0AEVQAU51eZ.jpg")</f>
        <v/>
      </c>
      <c r="G1579" t="s"/>
      <c r="H1579" t="s"/>
      <c r="I1579" t="s"/>
      <c r="J1579" t="n">
        <v>0.4995</v>
      </c>
      <c r="K1579" t="n">
        <v>0</v>
      </c>
      <c r="L1579" t="n">
        <v>0.736</v>
      </c>
      <c r="M1579" t="n">
        <v>0.264</v>
      </c>
    </row>
    <row r="1580" spans="1:13">
      <c r="A1580" s="1">
        <f>HYPERLINK("http://www.twitter.com/NathanBLawrence/status/992808246850269187", "992808246850269187")</f>
        <v/>
      </c>
      <c r="B1580" s="2" t="n">
        <v>43225.70030092593</v>
      </c>
      <c r="C1580" t="n">
        <v>0</v>
      </c>
      <c r="D1580" t="n">
        <v>10</v>
      </c>
      <c r="E1580" t="s">
        <v>1581</v>
      </c>
      <c r="F1580">
        <f>HYPERLINK("http://pbs.twimg.com/media/DccnFefVAAA_0L5.jpg", "http://pbs.twimg.com/media/DccnFefVAAA_0L5.jpg")</f>
        <v/>
      </c>
      <c r="G1580" t="s"/>
      <c r="H1580" t="s"/>
      <c r="I1580" t="s"/>
      <c r="J1580" t="n">
        <v>0</v>
      </c>
      <c r="K1580" t="n">
        <v>0</v>
      </c>
      <c r="L1580" t="n">
        <v>1</v>
      </c>
      <c r="M1580" t="n">
        <v>0</v>
      </c>
    </row>
    <row r="1581" spans="1:13">
      <c r="A1581" s="1">
        <f>HYPERLINK("http://www.twitter.com/NathanBLawrence/status/992807239558860800", "992807239558860800")</f>
        <v/>
      </c>
      <c r="B1581" s="2" t="n">
        <v>43225.69752314815</v>
      </c>
      <c r="C1581" t="n">
        <v>0</v>
      </c>
      <c r="D1581" t="n">
        <v>10</v>
      </c>
      <c r="E1581" t="s">
        <v>1582</v>
      </c>
      <c r="F1581" t="s"/>
      <c r="G1581" t="s"/>
      <c r="H1581" t="s"/>
      <c r="I1581" t="s"/>
      <c r="J1581" t="n">
        <v>0</v>
      </c>
      <c r="K1581" t="n">
        <v>0</v>
      </c>
      <c r="L1581" t="n">
        <v>1</v>
      </c>
      <c r="M1581" t="n">
        <v>0</v>
      </c>
    </row>
    <row r="1582" spans="1:13">
      <c r="A1582" s="1">
        <f>HYPERLINK("http://www.twitter.com/NathanBLawrence/status/992807170025680897", "992807170025680897")</f>
        <v/>
      </c>
      <c r="B1582" s="2" t="n">
        <v>43225.69732638889</v>
      </c>
      <c r="C1582" t="n">
        <v>0</v>
      </c>
      <c r="D1582" t="n">
        <v>15</v>
      </c>
      <c r="E1582" t="s">
        <v>1583</v>
      </c>
      <c r="F1582" t="s"/>
      <c r="G1582" t="s"/>
      <c r="H1582" t="s"/>
      <c r="I1582" t="s"/>
      <c r="J1582" t="n">
        <v>0</v>
      </c>
      <c r="K1582" t="n">
        <v>0</v>
      </c>
      <c r="L1582" t="n">
        <v>1</v>
      </c>
      <c r="M1582" t="n">
        <v>0</v>
      </c>
    </row>
    <row r="1583" spans="1:13">
      <c r="A1583" s="1">
        <f>HYPERLINK("http://www.twitter.com/NathanBLawrence/status/992807140623609857", "992807140623609857")</f>
        <v/>
      </c>
      <c r="B1583" s="2" t="n">
        <v>43225.69724537037</v>
      </c>
      <c r="C1583" t="n">
        <v>0</v>
      </c>
      <c r="D1583" t="n">
        <v>26</v>
      </c>
      <c r="E1583" t="s">
        <v>1584</v>
      </c>
      <c r="F1583" t="s"/>
      <c r="G1583" t="s"/>
      <c r="H1583" t="s"/>
      <c r="I1583" t="s"/>
      <c r="J1583" t="n">
        <v>0</v>
      </c>
      <c r="K1583" t="n">
        <v>0</v>
      </c>
      <c r="L1583" t="n">
        <v>1</v>
      </c>
      <c r="M1583" t="n">
        <v>0</v>
      </c>
    </row>
    <row r="1584" spans="1:13">
      <c r="A1584" s="1">
        <f>HYPERLINK("http://www.twitter.com/NathanBLawrence/status/992803151039393792", "992803151039393792")</f>
        <v/>
      </c>
      <c r="B1584" s="2" t="n">
        <v>43225.68623842593</v>
      </c>
      <c r="C1584" t="n">
        <v>0</v>
      </c>
      <c r="D1584" t="n">
        <v>15</v>
      </c>
      <c r="E1584" t="s">
        <v>1585</v>
      </c>
      <c r="F1584" t="s"/>
      <c r="G1584" t="s"/>
      <c r="H1584" t="s"/>
      <c r="I1584" t="s"/>
      <c r="J1584" t="n">
        <v>0</v>
      </c>
      <c r="K1584" t="n">
        <v>0</v>
      </c>
      <c r="L1584" t="n">
        <v>1</v>
      </c>
      <c r="M1584" t="n">
        <v>0</v>
      </c>
    </row>
    <row r="1585" spans="1:13">
      <c r="A1585" s="1">
        <f>HYPERLINK("http://www.twitter.com/NathanBLawrence/status/992801318103330818", "992801318103330818")</f>
        <v/>
      </c>
      <c r="B1585" s="2" t="n">
        <v>43225.68118055556</v>
      </c>
      <c r="C1585" t="n">
        <v>0</v>
      </c>
      <c r="D1585" t="n">
        <v>29</v>
      </c>
      <c r="E1585" t="s">
        <v>1586</v>
      </c>
      <c r="F1585">
        <f>HYPERLINK("http://pbs.twimg.com/media/DccjC7XWkAAIDtf.jpg", "http://pbs.twimg.com/media/DccjC7XWkAAIDtf.jpg")</f>
        <v/>
      </c>
      <c r="G1585" t="s"/>
      <c r="H1585" t="s"/>
      <c r="I1585" t="s"/>
      <c r="J1585" t="n">
        <v>0</v>
      </c>
      <c r="K1585" t="n">
        <v>0</v>
      </c>
      <c r="L1585" t="n">
        <v>1</v>
      </c>
      <c r="M1585" t="n">
        <v>0</v>
      </c>
    </row>
    <row r="1586" spans="1:13">
      <c r="A1586" s="1">
        <f>HYPERLINK("http://www.twitter.com/NathanBLawrence/status/992799351561949184", "992799351561949184")</f>
        <v/>
      </c>
      <c r="B1586" s="2" t="n">
        <v>43225.67575231481</v>
      </c>
      <c r="C1586" t="n">
        <v>0</v>
      </c>
      <c r="D1586" t="n">
        <v>11</v>
      </c>
      <c r="E1586" t="s">
        <v>1587</v>
      </c>
      <c r="F1586" t="s"/>
      <c r="G1586" t="s"/>
      <c r="H1586" t="s"/>
      <c r="I1586" t="s"/>
      <c r="J1586" t="n">
        <v>0</v>
      </c>
      <c r="K1586" t="n">
        <v>0</v>
      </c>
      <c r="L1586" t="n">
        <v>1</v>
      </c>
      <c r="M1586" t="n">
        <v>0</v>
      </c>
    </row>
    <row r="1587" spans="1:13">
      <c r="A1587" s="1">
        <f>HYPERLINK("http://www.twitter.com/NathanBLawrence/status/992799278362976257", "992799278362976257")</f>
        <v/>
      </c>
      <c r="B1587" s="2" t="n">
        <v>43225.67554398148</v>
      </c>
      <c r="C1587" t="n">
        <v>0</v>
      </c>
      <c r="D1587" t="n">
        <v>12</v>
      </c>
      <c r="E1587" t="s">
        <v>1588</v>
      </c>
      <c r="F1587" t="s"/>
      <c r="G1587" t="s"/>
      <c r="H1587" t="s"/>
      <c r="I1587" t="s"/>
      <c r="J1587" t="n">
        <v>0.3182</v>
      </c>
      <c r="K1587" t="n">
        <v>0</v>
      </c>
      <c r="L1587" t="n">
        <v>0.85</v>
      </c>
      <c r="M1587" t="n">
        <v>0.15</v>
      </c>
    </row>
    <row r="1588" spans="1:13">
      <c r="A1588" s="1">
        <f>HYPERLINK("http://www.twitter.com/NathanBLawrence/status/992799207521124354", "992799207521124354")</f>
        <v/>
      </c>
      <c r="B1588" s="2" t="n">
        <v>43225.6753587963</v>
      </c>
      <c r="C1588" t="n">
        <v>0</v>
      </c>
      <c r="D1588" t="n">
        <v>56</v>
      </c>
      <c r="E1588" t="s">
        <v>1589</v>
      </c>
      <c r="F1588" t="s"/>
      <c r="G1588" t="s"/>
      <c r="H1588" t="s"/>
      <c r="I1588" t="s"/>
      <c r="J1588" t="n">
        <v>-0.2732</v>
      </c>
      <c r="K1588" t="n">
        <v>0.095</v>
      </c>
      <c r="L1588" t="n">
        <v>0.905</v>
      </c>
      <c r="M1588" t="n">
        <v>0</v>
      </c>
    </row>
    <row r="1589" spans="1:13">
      <c r="A1589" s="1">
        <f>HYPERLINK("http://www.twitter.com/NathanBLawrence/status/992798912108027905", "992798912108027905")</f>
        <v/>
      </c>
      <c r="B1589" s="2" t="n">
        <v>43225.67453703703</v>
      </c>
      <c r="C1589" t="n">
        <v>0</v>
      </c>
      <c r="D1589" t="n">
        <v>24</v>
      </c>
      <c r="E1589" t="s">
        <v>1590</v>
      </c>
      <c r="F1589">
        <f>HYPERLINK("http://pbs.twimg.com/media/DcXQ8B0WkAUEvvZ.jpg", "http://pbs.twimg.com/media/DcXQ8B0WkAUEvvZ.jpg")</f>
        <v/>
      </c>
      <c r="G1589" t="s"/>
      <c r="H1589" t="s"/>
      <c r="I1589" t="s"/>
      <c r="J1589" t="n">
        <v>0.7955</v>
      </c>
      <c r="K1589" t="n">
        <v>0</v>
      </c>
      <c r="L1589" t="n">
        <v>0.738</v>
      </c>
      <c r="M1589" t="n">
        <v>0.262</v>
      </c>
    </row>
    <row r="1590" spans="1:13">
      <c r="A1590" s="1">
        <f>HYPERLINK("http://www.twitter.com/NathanBLawrence/status/992795912366907393", "992795912366907393")</f>
        <v/>
      </c>
      <c r="B1590" s="2" t="n">
        <v>43225.66626157407</v>
      </c>
      <c r="C1590" t="n">
        <v>0</v>
      </c>
      <c r="D1590" t="n">
        <v>16</v>
      </c>
      <c r="E1590" t="s">
        <v>1591</v>
      </c>
      <c r="F1590" t="s"/>
      <c r="G1590" t="s"/>
      <c r="H1590" t="s"/>
      <c r="I1590" t="s"/>
      <c r="J1590" t="n">
        <v>0</v>
      </c>
      <c r="K1590" t="n">
        <v>0</v>
      </c>
      <c r="L1590" t="n">
        <v>1</v>
      </c>
      <c r="M1590" t="n">
        <v>0</v>
      </c>
    </row>
    <row r="1591" spans="1:13">
      <c r="A1591" s="1">
        <f>HYPERLINK("http://www.twitter.com/NathanBLawrence/status/992792732170104833", "992792732170104833")</f>
        <v/>
      </c>
      <c r="B1591" s="2" t="n">
        <v>43225.65748842592</v>
      </c>
      <c r="C1591" t="n">
        <v>7</v>
      </c>
      <c r="D1591" t="n">
        <v>5</v>
      </c>
      <c r="E1591" t="s">
        <v>1592</v>
      </c>
      <c r="F1591">
        <f>HYPERLINK("http://pbs.twimg.com/media/DccbuPgV4AAO_9j.jpg", "http://pbs.twimg.com/media/DccbuPgV4AAO_9j.jpg")</f>
        <v/>
      </c>
      <c r="G1591" t="s"/>
      <c r="H1591" t="s"/>
      <c r="I1591" t="s"/>
      <c r="J1591" t="n">
        <v>-0.8823</v>
      </c>
      <c r="K1591" t="n">
        <v>0.17</v>
      </c>
      <c r="L1591" t="n">
        <v>0.804</v>
      </c>
      <c r="M1591" t="n">
        <v>0.025</v>
      </c>
    </row>
    <row r="1592" spans="1:13">
      <c r="A1592" s="1">
        <f>HYPERLINK("http://www.twitter.com/NathanBLawrence/status/992791048446504960", "992791048446504960")</f>
        <v/>
      </c>
      <c r="B1592" s="2" t="n">
        <v>43225.65283564815</v>
      </c>
      <c r="C1592" t="n">
        <v>0</v>
      </c>
      <c r="D1592" t="n">
        <v>6</v>
      </c>
      <c r="E1592" t="s">
        <v>1593</v>
      </c>
      <c r="F1592" t="s"/>
      <c r="G1592" t="s"/>
      <c r="H1592" t="s"/>
      <c r="I1592" t="s"/>
      <c r="J1592" t="n">
        <v>0.5719</v>
      </c>
      <c r="K1592" t="n">
        <v>0</v>
      </c>
      <c r="L1592" t="n">
        <v>0.778</v>
      </c>
      <c r="M1592" t="n">
        <v>0.222</v>
      </c>
    </row>
    <row r="1593" spans="1:13">
      <c r="A1593" s="1">
        <f>HYPERLINK("http://www.twitter.com/NathanBLawrence/status/992790820213415936", "992790820213415936")</f>
        <v/>
      </c>
      <c r="B1593" s="2" t="n">
        <v>43225.65221064815</v>
      </c>
      <c r="C1593" t="n">
        <v>6</v>
      </c>
      <c r="D1593" t="n">
        <v>3</v>
      </c>
      <c r="E1593" t="s">
        <v>1594</v>
      </c>
      <c r="F1593" t="s"/>
      <c r="G1593" t="s"/>
      <c r="H1593" t="s"/>
      <c r="I1593" t="s"/>
      <c r="J1593" t="n">
        <v>-0.3412</v>
      </c>
      <c r="K1593" t="n">
        <v>0.068</v>
      </c>
      <c r="L1593" t="n">
        <v>0.9320000000000001</v>
      </c>
      <c r="M1593" t="n">
        <v>0</v>
      </c>
    </row>
    <row r="1594" spans="1:13">
      <c r="A1594" s="1">
        <f>HYPERLINK("http://www.twitter.com/NathanBLawrence/status/992790192548401152", "992790192548401152")</f>
        <v/>
      </c>
      <c r="B1594" s="2" t="n">
        <v>43225.65047453704</v>
      </c>
      <c r="C1594" t="n">
        <v>14</v>
      </c>
      <c r="D1594" t="n">
        <v>11</v>
      </c>
      <c r="E1594" t="s">
        <v>1595</v>
      </c>
      <c r="F1594">
        <f>HYPERLINK("http://pbs.twimg.com/media/DccZaugVQAAa4eZ.jpg", "http://pbs.twimg.com/media/DccZaugVQAAa4eZ.jpg")</f>
        <v/>
      </c>
      <c r="G1594" t="s"/>
      <c r="H1594" t="s"/>
      <c r="I1594" t="s"/>
      <c r="J1594" t="n">
        <v>0</v>
      </c>
      <c r="K1594" t="n">
        <v>0</v>
      </c>
      <c r="L1594" t="n">
        <v>1</v>
      </c>
      <c r="M1594" t="n">
        <v>0</v>
      </c>
    </row>
    <row r="1595" spans="1:13">
      <c r="A1595" s="1">
        <f>HYPERLINK("http://www.twitter.com/NathanBLawrence/status/992789938356785153", "992789938356785153")</f>
        <v/>
      </c>
      <c r="B1595" s="2" t="n">
        <v>43225.64978009259</v>
      </c>
      <c r="C1595" t="n">
        <v>0</v>
      </c>
      <c r="D1595" t="n">
        <v>1</v>
      </c>
      <c r="E1595" t="s">
        <v>1596</v>
      </c>
      <c r="F1595" t="s"/>
      <c r="G1595" t="s"/>
      <c r="H1595" t="s"/>
      <c r="I1595" t="s"/>
      <c r="J1595" t="n">
        <v>0.6249</v>
      </c>
      <c r="K1595" t="n">
        <v>0</v>
      </c>
      <c r="L1595" t="n">
        <v>0.788</v>
      </c>
      <c r="M1595" t="n">
        <v>0.212</v>
      </c>
    </row>
    <row r="1596" spans="1:13">
      <c r="A1596" s="1">
        <f>HYPERLINK("http://www.twitter.com/NathanBLawrence/status/992789754155544578", "992789754155544578")</f>
        <v/>
      </c>
      <c r="B1596" s="2" t="n">
        <v>43225.64927083333</v>
      </c>
      <c r="C1596" t="n">
        <v>0</v>
      </c>
      <c r="D1596" t="n">
        <v>7</v>
      </c>
      <c r="E1596" t="s">
        <v>1597</v>
      </c>
      <c r="F1596" t="s"/>
      <c r="G1596" t="s"/>
      <c r="H1596" t="s"/>
      <c r="I1596" t="s"/>
      <c r="J1596" t="n">
        <v>0</v>
      </c>
      <c r="K1596" t="n">
        <v>0</v>
      </c>
      <c r="L1596" t="n">
        <v>1</v>
      </c>
      <c r="M1596" t="n">
        <v>0</v>
      </c>
    </row>
    <row r="1597" spans="1:13">
      <c r="A1597" s="1">
        <f>HYPERLINK("http://www.twitter.com/NathanBLawrence/status/992789303167279106", "992789303167279106")</f>
        <v/>
      </c>
      <c r="B1597" s="2" t="n">
        <v>43225.64802083333</v>
      </c>
      <c r="C1597" t="n">
        <v>0</v>
      </c>
      <c r="D1597" t="n">
        <v>35</v>
      </c>
      <c r="E1597" t="s">
        <v>1598</v>
      </c>
      <c r="F1597" t="s"/>
      <c r="G1597" t="s"/>
      <c r="H1597" t="s"/>
      <c r="I1597" t="s"/>
      <c r="J1597" t="n">
        <v>-0.6408</v>
      </c>
      <c r="K1597" t="n">
        <v>0.15</v>
      </c>
      <c r="L1597" t="n">
        <v>0.85</v>
      </c>
      <c r="M1597" t="n">
        <v>0</v>
      </c>
    </row>
    <row r="1598" spans="1:13">
      <c r="A1598" s="1">
        <f>HYPERLINK("http://www.twitter.com/NathanBLawrence/status/992789199085596672", "992789199085596672")</f>
        <v/>
      </c>
      <c r="B1598" s="2" t="n">
        <v>43225.64773148148</v>
      </c>
      <c r="C1598" t="n">
        <v>8</v>
      </c>
      <c r="D1598" t="n">
        <v>0</v>
      </c>
      <c r="E1598" t="s">
        <v>1599</v>
      </c>
      <c r="F1598" t="s"/>
      <c r="G1598" t="s"/>
      <c r="H1598" t="s"/>
      <c r="I1598" t="s"/>
      <c r="J1598" t="n">
        <v>0.7003</v>
      </c>
      <c r="K1598" t="n">
        <v>0</v>
      </c>
      <c r="L1598" t="n">
        <v>0.58</v>
      </c>
      <c r="M1598" t="n">
        <v>0.42</v>
      </c>
    </row>
    <row r="1599" spans="1:13">
      <c r="A1599" s="1">
        <f>HYPERLINK("http://www.twitter.com/NathanBLawrence/status/992788887083847680", "992788887083847680")</f>
        <v/>
      </c>
      <c r="B1599" s="2" t="n">
        <v>43225.646875</v>
      </c>
      <c r="C1599" t="n">
        <v>0</v>
      </c>
      <c r="D1599" t="n">
        <v>1552</v>
      </c>
      <c r="E1599" t="s">
        <v>1600</v>
      </c>
      <c r="F1599">
        <f>HYPERLINK("https://video.twimg.com/ext_tw_video/992783729625092096/pu/vid/1280x720/Rwk3Wsuj3wyLqTHf.mp4?tag=3", "https://video.twimg.com/ext_tw_video/992783729625092096/pu/vid/1280x720/Rwk3Wsuj3wyLqTHf.mp4?tag=3")</f>
        <v/>
      </c>
      <c r="G1599" t="s"/>
      <c r="H1599" t="s"/>
      <c r="I1599" t="s"/>
      <c r="J1599" t="n">
        <v>0.2828</v>
      </c>
      <c r="K1599" t="n">
        <v>0</v>
      </c>
      <c r="L1599" t="n">
        <v>0.824</v>
      </c>
      <c r="M1599" t="n">
        <v>0.176</v>
      </c>
    </row>
    <row r="1600" spans="1:13">
      <c r="A1600" s="1">
        <f>HYPERLINK("http://www.twitter.com/NathanBLawrence/status/992780063752978432", "992780063752978432")</f>
        <v/>
      </c>
      <c r="B1600" s="2" t="n">
        <v>43225.62252314815</v>
      </c>
      <c r="C1600" t="n">
        <v>0</v>
      </c>
      <c r="D1600" t="n">
        <v>19</v>
      </c>
      <c r="E1600" t="s">
        <v>1601</v>
      </c>
      <c r="F1600" t="s"/>
      <c r="G1600" t="s"/>
      <c r="H1600" t="s"/>
      <c r="I1600" t="s"/>
      <c r="J1600" t="n">
        <v>0.4019</v>
      </c>
      <c r="K1600" t="n">
        <v>0</v>
      </c>
      <c r="L1600" t="n">
        <v>0.895</v>
      </c>
      <c r="M1600" t="n">
        <v>0.105</v>
      </c>
    </row>
    <row r="1601" spans="1:13">
      <c r="A1601" s="1">
        <f>HYPERLINK("http://www.twitter.com/NathanBLawrence/status/992780027468111875", "992780027468111875")</f>
        <v/>
      </c>
      <c r="B1601" s="2" t="n">
        <v>43225.62243055556</v>
      </c>
      <c r="C1601" t="n">
        <v>2</v>
      </c>
      <c r="D1601" t="n">
        <v>1</v>
      </c>
      <c r="E1601" t="s">
        <v>1602</v>
      </c>
      <c r="F1601" t="s"/>
      <c r="G1601" t="s"/>
      <c r="H1601" t="s"/>
      <c r="I1601" t="s"/>
      <c r="J1601" t="n">
        <v>0</v>
      </c>
      <c r="K1601" t="n">
        <v>0</v>
      </c>
      <c r="L1601" t="n">
        <v>1</v>
      </c>
      <c r="M1601" t="n">
        <v>0</v>
      </c>
    </row>
    <row r="1602" spans="1:13">
      <c r="A1602" s="1">
        <f>HYPERLINK("http://www.twitter.com/NathanBLawrence/status/992779983465705474", "992779983465705474")</f>
        <v/>
      </c>
      <c r="B1602" s="2" t="n">
        <v>43225.62230324074</v>
      </c>
      <c r="C1602" t="n">
        <v>0</v>
      </c>
      <c r="D1602" t="n">
        <v>84</v>
      </c>
      <c r="E1602" t="s">
        <v>1603</v>
      </c>
      <c r="F1602">
        <f>HYPERLINK("http://pbs.twimg.com/media/DcaXapfVMAA4XaH.jpg", "http://pbs.twimg.com/media/DcaXapfVMAA4XaH.jpg")</f>
        <v/>
      </c>
      <c r="G1602" t="s"/>
      <c r="H1602" t="s"/>
      <c r="I1602" t="s"/>
      <c r="J1602" t="n">
        <v>0.632</v>
      </c>
      <c r="K1602" t="n">
        <v>0</v>
      </c>
      <c r="L1602" t="n">
        <v>0.658</v>
      </c>
      <c r="M1602" t="n">
        <v>0.342</v>
      </c>
    </row>
    <row r="1603" spans="1:13">
      <c r="A1603" s="1">
        <f>HYPERLINK("http://www.twitter.com/NathanBLawrence/status/992779629651021824", "992779629651021824")</f>
        <v/>
      </c>
      <c r="B1603" s="2" t="n">
        <v>43225.62133101852</v>
      </c>
      <c r="C1603" t="n">
        <v>0</v>
      </c>
      <c r="D1603" t="n">
        <v>2</v>
      </c>
      <c r="E1603" t="s">
        <v>1604</v>
      </c>
      <c r="F1603" t="s"/>
      <c r="G1603" t="s"/>
      <c r="H1603" t="s"/>
      <c r="I1603" t="s"/>
      <c r="J1603" t="n">
        <v>0</v>
      </c>
      <c r="K1603" t="n">
        <v>0</v>
      </c>
      <c r="L1603" t="n">
        <v>1</v>
      </c>
      <c r="M1603" t="n">
        <v>0</v>
      </c>
    </row>
    <row r="1604" spans="1:13">
      <c r="A1604" s="1">
        <f>HYPERLINK("http://www.twitter.com/NathanBLawrence/status/992779529109327878", "992779529109327878")</f>
        <v/>
      </c>
      <c r="B1604" s="2" t="n">
        <v>43225.62105324074</v>
      </c>
      <c r="C1604" t="n">
        <v>0</v>
      </c>
      <c r="D1604" t="n">
        <v>83</v>
      </c>
      <c r="E1604" t="s">
        <v>1605</v>
      </c>
      <c r="F1604">
        <f>HYPERLINK("http://pbs.twimg.com/media/DccLOiOVwAAGwzX.jpg", "http://pbs.twimg.com/media/DccLOiOVwAAGwzX.jpg")</f>
        <v/>
      </c>
      <c r="G1604" t="s"/>
      <c r="H1604" t="s"/>
      <c r="I1604" t="s"/>
      <c r="J1604" t="n">
        <v>0</v>
      </c>
      <c r="K1604" t="n">
        <v>0</v>
      </c>
      <c r="L1604" t="n">
        <v>1</v>
      </c>
      <c r="M1604" t="n">
        <v>0</v>
      </c>
    </row>
    <row r="1605" spans="1:13">
      <c r="A1605" s="1">
        <f>HYPERLINK("http://www.twitter.com/NathanBLawrence/status/992779508100067329", "992779508100067329")</f>
        <v/>
      </c>
      <c r="B1605" s="2" t="n">
        <v>43225.62099537037</v>
      </c>
      <c r="C1605" t="n">
        <v>0</v>
      </c>
      <c r="D1605" t="n">
        <v>10409</v>
      </c>
      <c r="E1605" t="s">
        <v>1606</v>
      </c>
      <c r="F1605" t="s"/>
      <c r="G1605" t="s"/>
      <c r="H1605" t="s"/>
      <c r="I1605" t="s"/>
      <c r="J1605" t="n">
        <v>0.5411</v>
      </c>
      <c r="K1605" t="n">
        <v>0</v>
      </c>
      <c r="L1605" t="n">
        <v>0.851</v>
      </c>
      <c r="M1605" t="n">
        <v>0.149</v>
      </c>
    </row>
    <row r="1606" spans="1:13">
      <c r="A1606" s="1">
        <f>HYPERLINK("http://www.twitter.com/NathanBLawrence/status/992779419151462400", "992779419151462400")</f>
        <v/>
      </c>
      <c r="B1606" s="2" t="n">
        <v>43225.62075231481</v>
      </c>
      <c r="C1606" t="n">
        <v>0</v>
      </c>
      <c r="D1606" t="n">
        <v>8</v>
      </c>
      <c r="E1606" t="s">
        <v>1607</v>
      </c>
      <c r="F1606" t="s"/>
      <c r="G1606" t="s"/>
      <c r="H1606" t="s"/>
      <c r="I1606" t="s"/>
      <c r="J1606" t="n">
        <v>0</v>
      </c>
      <c r="K1606" t="n">
        <v>0</v>
      </c>
      <c r="L1606" t="n">
        <v>1</v>
      </c>
      <c r="M1606" t="n">
        <v>0</v>
      </c>
    </row>
    <row r="1607" spans="1:13">
      <c r="A1607" s="1">
        <f>HYPERLINK("http://www.twitter.com/NathanBLawrence/status/992779234140737537", "992779234140737537")</f>
        <v/>
      </c>
      <c r="B1607" s="2" t="n">
        <v>43225.62024305556</v>
      </c>
      <c r="C1607" t="n">
        <v>24</v>
      </c>
      <c r="D1607" t="n">
        <v>13</v>
      </c>
      <c r="E1607" t="s">
        <v>1608</v>
      </c>
      <c r="F1607" t="s"/>
      <c r="G1607" t="s"/>
      <c r="H1607" t="s"/>
      <c r="I1607" t="s"/>
      <c r="J1607" t="n">
        <v>0.6908</v>
      </c>
      <c r="K1607" t="n">
        <v>0</v>
      </c>
      <c r="L1607" t="n">
        <v>0.8080000000000001</v>
      </c>
      <c r="M1607" t="n">
        <v>0.192</v>
      </c>
    </row>
    <row r="1608" spans="1:13">
      <c r="A1608" s="1">
        <f>HYPERLINK("http://www.twitter.com/NathanBLawrence/status/992777590439075846", "992777590439075846")</f>
        <v/>
      </c>
      <c r="B1608" s="2" t="n">
        <v>43225.61570601852</v>
      </c>
      <c r="C1608" t="n">
        <v>0</v>
      </c>
      <c r="D1608" t="n">
        <v>4</v>
      </c>
      <c r="E1608" t="s">
        <v>1609</v>
      </c>
      <c r="F1608" t="s"/>
      <c r="G1608" t="s"/>
      <c r="H1608" t="s"/>
      <c r="I1608" t="s"/>
      <c r="J1608" t="n">
        <v>0.4019</v>
      </c>
      <c r="K1608" t="n">
        <v>0</v>
      </c>
      <c r="L1608" t="n">
        <v>0.829</v>
      </c>
      <c r="M1608" t="n">
        <v>0.171</v>
      </c>
    </row>
    <row r="1609" spans="1:13">
      <c r="A1609" s="1">
        <f>HYPERLINK("http://www.twitter.com/NathanBLawrence/status/992777551021002758", "992777551021002758")</f>
        <v/>
      </c>
      <c r="B1609" s="2" t="n">
        <v>43225.61559027778</v>
      </c>
      <c r="C1609" t="n">
        <v>0</v>
      </c>
      <c r="D1609" t="n">
        <v>3</v>
      </c>
      <c r="E1609" t="s">
        <v>1610</v>
      </c>
      <c r="F1609" t="s"/>
      <c r="G1609" t="s"/>
      <c r="H1609" t="s"/>
      <c r="I1609" t="s"/>
      <c r="J1609" t="n">
        <v>-0.6808</v>
      </c>
      <c r="K1609" t="n">
        <v>0.187</v>
      </c>
      <c r="L1609" t="n">
        <v>0.8129999999999999</v>
      </c>
      <c r="M1609" t="n">
        <v>0</v>
      </c>
    </row>
    <row r="1610" spans="1:13">
      <c r="A1610" s="1">
        <f>HYPERLINK("http://www.twitter.com/NathanBLawrence/status/992777400638410752", "992777400638410752")</f>
        <v/>
      </c>
      <c r="B1610" s="2" t="n">
        <v>43225.61517361111</v>
      </c>
      <c r="C1610" t="n">
        <v>0</v>
      </c>
      <c r="D1610" t="n">
        <v>2</v>
      </c>
      <c r="E1610" t="s">
        <v>1611</v>
      </c>
      <c r="F1610" t="s"/>
      <c r="G1610" t="s"/>
      <c r="H1610" t="s"/>
      <c r="I1610" t="s"/>
      <c r="J1610" t="n">
        <v>0.5386</v>
      </c>
      <c r="K1610" t="n">
        <v>0</v>
      </c>
      <c r="L1610" t="n">
        <v>0.668</v>
      </c>
      <c r="M1610" t="n">
        <v>0.332</v>
      </c>
    </row>
    <row r="1611" spans="1:13">
      <c r="A1611" s="1">
        <f>HYPERLINK("http://www.twitter.com/NathanBLawrence/status/992777350831071232", "992777350831071232")</f>
        <v/>
      </c>
      <c r="B1611" s="2" t="n">
        <v>43225.6150462963</v>
      </c>
      <c r="C1611" t="n">
        <v>0</v>
      </c>
      <c r="D1611" t="n">
        <v>0</v>
      </c>
      <c r="E1611" t="s">
        <v>1612</v>
      </c>
      <c r="F1611">
        <f>HYPERLINK("http://pbs.twimg.com/media/DccNvAeUQAAyWJj.jpg", "http://pbs.twimg.com/media/DccNvAeUQAAyWJj.jpg")</f>
        <v/>
      </c>
      <c r="G1611" t="s"/>
      <c r="H1611" t="s"/>
      <c r="I1611" t="s"/>
      <c r="J1611" t="n">
        <v>0.9167999999999999</v>
      </c>
      <c r="K1611" t="n">
        <v>0</v>
      </c>
      <c r="L1611" t="n">
        <v>0.393</v>
      </c>
      <c r="M1611" t="n">
        <v>0.607</v>
      </c>
    </row>
    <row r="1612" spans="1:13">
      <c r="A1612" s="1">
        <f>HYPERLINK("http://www.twitter.com/NathanBLawrence/status/992777031178948614", "992777031178948614")</f>
        <v/>
      </c>
      <c r="B1612" s="2" t="n">
        <v>43225.61415509259</v>
      </c>
      <c r="C1612" t="n">
        <v>0</v>
      </c>
      <c r="D1612" t="n">
        <v>2</v>
      </c>
      <c r="E1612" t="s">
        <v>1613</v>
      </c>
      <c r="F1612" t="s"/>
      <c r="G1612" t="s"/>
      <c r="H1612" t="s"/>
      <c r="I1612" t="s"/>
      <c r="J1612" t="n">
        <v>0.796</v>
      </c>
      <c r="K1612" t="n">
        <v>0</v>
      </c>
      <c r="L1612" t="n">
        <v>0.712</v>
      </c>
      <c r="M1612" t="n">
        <v>0.288</v>
      </c>
    </row>
    <row r="1613" spans="1:13">
      <c r="A1613" s="1">
        <f>HYPERLINK("http://www.twitter.com/NathanBLawrence/status/992776965852721153", "992776965852721153")</f>
        <v/>
      </c>
      <c r="B1613" s="2" t="n">
        <v>43225.61398148148</v>
      </c>
      <c r="C1613" t="n">
        <v>0</v>
      </c>
      <c r="D1613" t="n">
        <v>0</v>
      </c>
      <c r="E1613" t="s">
        <v>1614</v>
      </c>
      <c r="F1613" t="s"/>
      <c r="G1613" t="s"/>
      <c r="H1613" t="s"/>
      <c r="I1613" t="s"/>
      <c r="J1613" t="n">
        <v>0.3612</v>
      </c>
      <c r="K1613" t="n">
        <v>0</v>
      </c>
      <c r="L1613" t="n">
        <v>0.615</v>
      </c>
      <c r="M1613" t="n">
        <v>0.385</v>
      </c>
    </row>
    <row r="1614" spans="1:13">
      <c r="A1614" s="1">
        <f>HYPERLINK("http://www.twitter.com/NathanBLawrence/status/992776912220155904", "992776912220155904")</f>
        <v/>
      </c>
      <c r="B1614" s="2" t="n">
        <v>43225.61383101852</v>
      </c>
      <c r="C1614" t="n">
        <v>0</v>
      </c>
      <c r="D1614" t="n">
        <v>2</v>
      </c>
      <c r="E1614" t="s">
        <v>1615</v>
      </c>
      <c r="F1614" t="s"/>
      <c r="G1614" t="s"/>
      <c r="H1614" t="s"/>
      <c r="I1614" t="s"/>
      <c r="J1614" t="n">
        <v>0.3612</v>
      </c>
      <c r="K1614" t="n">
        <v>0</v>
      </c>
      <c r="L1614" t="n">
        <v>0.8</v>
      </c>
      <c r="M1614" t="n">
        <v>0.2</v>
      </c>
    </row>
    <row r="1615" spans="1:13">
      <c r="A1615" s="1">
        <f>HYPERLINK("http://www.twitter.com/NathanBLawrence/status/992776843811082240", "992776843811082240")</f>
        <v/>
      </c>
      <c r="B1615" s="2" t="n">
        <v>43225.61364583333</v>
      </c>
      <c r="C1615" t="n">
        <v>15</v>
      </c>
      <c r="D1615" t="n">
        <v>11</v>
      </c>
      <c r="E1615" t="s">
        <v>1616</v>
      </c>
      <c r="F1615" t="s"/>
      <c r="G1615" t="s"/>
      <c r="H1615" t="s"/>
      <c r="I1615" t="s"/>
      <c r="J1615" t="n">
        <v>-0.4588</v>
      </c>
      <c r="K1615" t="n">
        <v>0.163</v>
      </c>
      <c r="L1615" t="n">
        <v>0.751</v>
      </c>
      <c r="M1615" t="n">
        <v>0.08500000000000001</v>
      </c>
    </row>
    <row r="1616" spans="1:13">
      <c r="A1616" s="1">
        <f>HYPERLINK("http://www.twitter.com/NathanBLawrence/status/992770567920119808", "992770567920119808")</f>
        <v/>
      </c>
      <c r="B1616" s="2" t="n">
        <v>43225.59631944444</v>
      </c>
      <c r="C1616" t="n">
        <v>1</v>
      </c>
      <c r="D1616" t="n">
        <v>1</v>
      </c>
      <c r="E1616" t="s">
        <v>1617</v>
      </c>
      <c r="F1616" t="s"/>
      <c r="G1616" t="s"/>
      <c r="H1616" t="s"/>
      <c r="I1616" t="s"/>
      <c r="J1616" t="n">
        <v>0</v>
      </c>
      <c r="K1616" t="n">
        <v>0</v>
      </c>
      <c r="L1616" t="n">
        <v>1</v>
      </c>
      <c r="M1616" t="n">
        <v>0</v>
      </c>
    </row>
    <row r="1617" spans="1:13">
      <c r="A1617" s="1">
        <f>HYPERLINK("http://www.twitter.com/NathanBLawrence/status/992770383211319296", "992770383211319296")</f>
        <v/>
      </c>
      <c r="B1617" s="2" t="n">
        <v>43225.59581018519</v>
      </c>
      <c r="C1617" t="n">
        <v>0</v>
      </c>
      <c r="D1617" t="n">
        <v>1</v>
      </c>
      <c r="E1617" t="s">
        <v>1618</v>
      </c>
      <c r="F1617" t="s"/>
      <c r="G1617" t="s"/>
      <c r="H1617" t="s"/>
      <c r="I1617" t="s"/>
      <c r="J1617" t="n">
        <v>0</v>
      </c>
      <c r="K1617" t="n">
        <v>0</v>
      </c>
      <c r="L1617" t="n">
        <v>1</v>
      </c>
      <c r="M1617" t="n">
        <v>0</v>
      </c>
    </row>
    <row r="1618" spans="1:13">
      <c r="A1618" s="1">
        <f>HYPERLINK("http://www.twitter.com/NathanBLawrence/status/992769894029692929", "992769894029692929")</f>
        <v/>
      </c>
      <c r="B1618" s="2" t="n">
        <v>43225.59446759259</v>
      </c>
      <c r="C1618" t="n">
        <v>2</v>
      </c>
      <c r="D1618" t="n">
        <v>1</v>
      </c>
      <c r="E1618" t="s">
        <v>1619</v>
      </c>
      <c r="F1618" t="s"/>
      <c r="G1618" t="s"/>
      <c r="H1618" t="s"/>
      <c r="I1618" t="s"/>
      <c r="J1618" t="n">
        <v>0.296</v>
      </c>
      <c r="K1618" t="n">
        <v>0</v>
      </c>
      <c r="L1618" t="n">
        <v>0.896</v>
      </c>
      <c r="M1618" t="n">
        <v>0.104</v>
      </c>
    </row>
    <row r="1619" spans="1:13">
      <c r="A1619" s="1">
        <f>HYPERLINK("http://www.twitter.com/NathanBLawrence/status/992766142514188288", "992766142514188288")</f>
        <v/>
      </c>
      <c r="B1619" s="2" t="n">
        <v>43225.5841087963</v>
      </c>
      <c r="C1619" t="n">
        <v>0</v>
      </c>
      <c r="D1619" t="n">
        <v>34</v>
      </c>
      <c r="E1619" t="s">
        <v>1620</v>
      </c>
      <c r="F1619">
        <f>HYPERLINK("http://pbs.twimg.com/media/Dcah--pV0AAuRy4.jpg", "http://pbs.twimg.com/media/Dcah--pV0AAuRy4.jpg")</f>
        <v/>
      </c>
      <c r="G1619" t="s"/>
      <c r="H1619" t="s"/>
      <c r="I1619" t="s"/>
      <c r="J1619" t="n">
        <v>0</v>
      </c>
      <c r="K1619" t="n">
        <v>0</v>
      </c>
      <c r="L1619" t="n">
        <v>1</v>
      </c>
      <c r="M1619" t="n">
        <v>0</v>
      </c>
    </row>
    <row r="1620" spans="1:13">
      <c r="A1620" s="1">
        <f>HYPERLINK("http://www.twitter.com/NathanBLawrence/status/992765510071865344", "992765510071865344")</f>
        <v/>
      </c>
      <c r="B1620" s="2" t="n">
        <v>43225.58236111111</v>
      </c>
      <c r="C1620" t="n">
        <v>0</v>
      </c>
      <c r="D1620" t="n">
        <v>0</v>
      </c>
      <c r="E1620" t="s">
        <v>1621</v>
      </c>
      <c r="F1620" t="s"/>
      <c r="G1620" t="s"/>
      <c r="H1620" t="s"/>
      <c r="I1620" t="s"/>
      <c r="J1620" t="n">
        <v>0</v>
      </c>
      <c r="K1620" t="n">
        <v>0</v>
      </c>
      <c r="L1620" t="n">
        <v>1</v>
      </c>
      <c r="M1620" t="n">
        <v>0</v>
      </c>
    </row>
    <row r="1621" spans="1:13">
      <c r="A1621" s="1">
        <f>HYPERLINK("http://www.twitter.com/NathanBLawrence/status/992762812387745792", "992762812387745792")</f>
        <v/>
      </c>
      <c r="B1621" s="2" t="n">
        <v>43225.57491898148</v>
      </c>
      <c r="C1621" t="n">
        <v>14</v>
      </c>
      <c r="D1621" t="n">
        <v>4</v>
      </c>
      <c r="E1621" t="s">
        <v>1622</v>
      </c>
      <c r="F1621" t="s"/>
      <c r="G1621" t="s"/>
      <c r="H1621" t="s"/>
      <c r="I1621" t="s"/>
      <c r="J1621" t="n">
        <v>0.0516</v>
      </c>
      <c r="K1621" t="n">
        <v>0.135</v>
      </c>
      <c r="L1621" t="n">
        <v>0.6860000000000001</v>
      </c>
      <c r="M1621" t="n">
        <v>0.178</v>
      </c>
    </row>
    <row r="1622" spans="1:13">
      <c r="A1622" s="1">
        <f>HYPERLINK("http://www.twitter.com/NathanBLawrence/status/992762112261926912", "992762112261926912")</f>
        <v/>
      </c>
      <c r="B1622" s="2" t="n">
        <v>43225.57298611111</v>
      </c>
      <c r="C1622" t="n">
        <v>1</v>
      </c>
      <c r="D1622" t="n">
        <v>0</v>
      </c>
      <c r="E1622" t="s">
        <v>1623</v>
      </c>
      <c r="F1622" t="s"/>
      <c r="G1622" t="s"/>
      <c r="H1622" t="s"/>
      <c r="I1622" t="s"/>
      <c r="J1622" t="n">
        <v>0.3612</v>
      </c>
      <c r="K1622" t="n">
        <v>0</v>
      </c>
      <c r="L1622" t="n">
        <v>0.444</v>
      </c>
      <c r="M1622" t="n">
        <v>0.556</v>
      </c>
    </row>
    <row r="1623" spans="1:13">
      <c r="A1623" s="1">
        <f>HYPERLINK("http://www.twitter.com/NathanBLawrence/status/992761850252193793", "992761850252193793")</f>
        <v/>
      </c>
      <c r="B1623" s="2" t="n">
        <v>43225.57226851852</v>
      </c>
      <c r="C1623" t="n">
        <v>0</v>
      </c>
      <c r="D1623" t="n">
        <v>1577</v>
      </c>
      <c r="E1623" t="s">
        <v>1624</v>
      </c>
      <c r="F1623" t="s"/>
      <c r="G1623" t="s"/>
      <c r="H1623" t="s"/>
      <c r="I1623" t="s"/>
      <c r="J1623" t="n">
        <v>-0.6870000000000001</v>
      </c>
      <c r="K1623" t="n">
        <v>0.215</v>
      </c>
      <c r="L1623" t="n">
        <v>0.723</v>
      </c>
      <c r="M1623" t="n">
        <v>0.062</v>
      </c>
    </row>
    <row r="1624" spans="1:13">
      <c r="A1624" s="1">
        <f>HYPERLINK("http://www.twitter.com/NathanBLawrence/status/992761563747684357", "992761563747684357")</f>
        <v/>
      </c>
      <c r="B1624" s="2" t="n">
        <v>43225.57148148148</v>
      </c>
      <c r="C1624" t="n">
        <v>9</v>
      </c>
      <c r="D1624" t="n">
        <v>10</v>
      </c>
      <c r="E1624" t="s">
        <v>1625</v>
      </c>
      <c r="F1624" t="s"/>
      <c r="G1624" t="s"/>
      <c r="H1624" t="s"/>
      <c r="I1624" t="s"/>
      <c r="J1624" t="n">
        <v>0.128</v>
      </c>
      <c r="K1624" t="n">
        <v>0.089</v>
      </c>
      <c r="L1624" t="n">
        <v>0.78</v>
      </c>
      <c r="M1624" t="n">
        <v>0.131</v>
      </c>
    </row>
    <row r="1625" spans="1:13">
      <c r="A1625" s="1">
        <f>HYPERLINK("http://www.twitter.com/NathanBLawrence/status/992760829178150912", "992760829178150912")</f>
        <v/>
      </c>
      <c r="B1625" s="2" t="n">
        <v>43225.56944444445</v>
      </c>
      <c r="C1625" t="n">
        <v>8</v>
      </c>
      <c r="D1625" t="n">
        <v>6</v>
      </c>
      <c r="E1625" t="s">
        <v>1626</v>
      </c>
      <c r="F1625" t="s"/>
      <c r="G1625" t="s"/>
      <c r="H1625" t="s"/>
      <c r="I1625" t="s"/>
      <c r="J1625" t="n">
        <v>0.5719</v>
      </c>
      <c r="K1625" t="n">
        <v>0</v>
      </c>
      <c r="L1625" t="n">
        <v>0.748</v>
      </c>
      <c r="M1625" t="n">
        <v>0.252</v>
      </c>
    </row>
    <row r="1626" spans="1:13">
      <c r="A1626" s="1">
        <f>HYPERLINK("http://www.twitter.com/NathanBLawrence/status/992614169890390017", "992614169890390017")</f>
        <v/>
      </c>
      <c r="B1626" s="2" t="n">
        <v>43225.16474537037</v>
      </c>
      <c r="C1626" t="n">
        <v>0</v>
      </c>
      <c r="D1626" t="n">
        <v>2847</v>
      </c>
      <c r="E1626" t="s">
        <v>1627</v>
      </c>
      <c r="F1626" t="s"/>
      <c r="G1626" t="s"/>
      <c r="H1626" t="s"/>
      <c r="I1626" t="s"/>
      <c r="J1626" t="n">
        <v>0.7003</v>
      </c>
      <c r="K1626" t="n">
        <v>0.078</v>
      </c>
      <c r="L1626" t="n">
        <v>0.654</v>
      </c>
      <c r="M1626" t="n">
        <v>0.268</v>
      </c>
    </row>
    <row r="1627" spans="1:13">
      <c r="A1627" s="1">
        <f>HYPERLINK("http://www.twitter.com/NathanBLawrence/status/992573825119391744", "992573825119391744")</f>
        <v/>
      </c>
      <c r="B1627" s="2" t="n">
        <v>43225.05341435185</v>
      </c>
      <c r="C1627" t="n">
        <v>0</v>
      </c>
      <c r="D1627" t="n">
        <v>2</v>
      </c>
      <c r="E1627" t="s">
        <v>1628</v>
      </c>
      <c r="F1627" t="s"/>
      <c r="G1627" t="s"/>
      <c r="H1627" t="s"/>
      <c r="I1627" t="s"/>
      <c r="J1627" t="n">
        <v>0</v>
      </c>
      <c r="K1627" t="n">
        <v>0</v>
      </c>
      <c r="L1627" t="n">
        <v>1</v>
      </c>
      <c r="M1627" t="n">
        <v>0</v>
      </c>
    </row>
    <row r="1628" spans="1:13">
      <c r="A1628" s="1">
        <f>HYPERLINK("http://www.twitter.com/NathanBLawrence/status/992573437498593280", "992573437498593280")</f>
        <v/>
      </c>
      <c r="B1628" s="2" t="n">
        <v>43225.05234953704</v>
      </c>
      <c r="C1628" t="n">
        <v>0</v>
      </c>
      <c r="D1628" t="n">
        <v>1</v>
      </c>
      <c r="E1628" t="s">
        <v>1629</v>
      </c>
      <c r="F1628" t="s"/>
      <c r="G1628" t="s"/>
      <c r="H1628" t="s"/>
      <c r="I1628" t="s"/>
      <c r="J1628" t="n">
        <v>0.3818</v>
      </c>
      <c r="K1628" t="n">
        <v>0</v>
      </c>
      <c r="L1628" t="n">
        <v>0.86</v>
      </c>
      <c r="M1628" t="n">
        <v>0.14</v>
      </c>
    </row>
    <row r="1629" spans="1:13">
      <c r="A1629" s="1">
        <f>HYPERLINK("http://www.twitter.com/NathanBLawrence/status/992573115732504576", "992573115732504576")</f>
        <v/>
      </c>
      <c r="B1629" s="2" t="n">
        <v>43225.05145833334</v>
      </c>
      <c r="C1629" t="n">
        <v>0</v>
      </c>
      <c r="D1629" t="n">
        <v>1</v>
      </c>
      <c r="E1629" t="s">
        <v>1630</v>
      </c>
      <c r="F1629">
        <f>HYPERLINK("http://pbs.twimg.com/media/DcZSL2fXcAAoeav.jpg", "http://pbs.twimg.com/media/DcZSL2fXcAAoeav.jpg")</f>
        <v/>
      </c>
      <c r="G1629" t="s"/>
      <c r="H1629" t="s"/>
      <c r="I1629" t="s"/>
      <c r="J1629" t="n">
        <v>-0.6908</v>
      </c>
      <c r="K1629" t="n">
        <v>0.289</v>
      </c>
      <c r="L1629" t="n">
        <v>0.711</v>
      </c>
      <c r="M1629" t="n">
        <v>0</v>
      </c>
    </row>
    <row r="1630" spans="1:13">
      <c r="A1630" s="1">
        <f>HYPERLINK("http://www.twitter.com/NathanBLawrence/status/992563268538568705", "992563268538568705")</f>
        <v/>
      </c>
      <c r="B1630" s="2" t="n">
        <v>43225.02428240741</v>
      </c>
      <c r="C1630" t="n">
        <v>1</v>
      </c>
      <c r="D1630" t="n">
        <v>0</v>
      </c>
      <c r="E1630" t="s">
        <v>1631</v>
      </c>
      <c r="F1630" t="s"/>
      <c r="G1630" t="s"/>
      <c r="H1630" t="s"/>
      <c r="I1630" t="s"/>
      <c r="J1630" t="n">
        <v>0.6249</v>
      </c>
      <c r="K1630" t="n">
        <v>0</v>
      </c>
      <c r="L1630" t="n">
        <v>0.328</v>
      </c>
      <c r="M1630" t="n">
        <v>0.672</v>
      </c>
    </row>
    <row r="1631" spans="1:13">
      <c r="A1631" s="1">
        <f>HYPERLINK("http://www.twitter.com/NathanBLawrence/status/992526415345176576", "992526415345176576")</f>
        <v/>
      </c>
      <c r="B1631" s="2" t="n">
        <v>43224.92259259259</v>
      </c>
      <c r="C1631" t="n">
        <v>0</v>
      </c>
      <c r="D1631" t="n">
        <v>28413</v>
      </c>
      <c r="E1631" t="s">
        <v>1632</v>
      </c>
      <c r="F1631" t="s"/>
      <c r="G1631" t="s"/>
      <c r="H1631" t="s"/>
      <c r="I1631" t="s"/>
      <c r="J1631" t="n">
        <v>0.34</v>
      </c>
      <c r="K1631" t="n">
        <v>0.075</v>
      </c>
      <c r="L1631" t="n">
        <v>0.754</v>
      </c>
      <c r="M1631" t="n">
        <v>0.171</v>
      </c>
    </row>
    <row r="1632" spans="1:13">
      <c r="A1632" s="1">
        <f>HYPERLINK("http://www.twitter.com/NathanBLawrence/status/992526382809927682", "992526382809927682")</f>
        <v/>
      </c>
      <c r="B1632" s="2" t="n">
        <v>43224.9225</v>
      </c>
      <c r="C1632" t="n">
        <v>0</v>
      </c>
      <c r="D1632" t="n">
        <v>411</v>
      </c>
      <c r="E1632" t="s">
        <v>1633</v>
      </c>
      <c r="F1632" t="s"/>
      <c r="G1632" t="s"/>
      <c r="H1632" t="s"/>
      <c r="I1632" t="s"/>
      <c r="J1632" t="n">
        <v>0.4005</v>
      </c>
      <c r="K1632" t="n">
        <v>0</v>
      </c>
      <c r="L1632" t="n">
        <v>0.788</v>
      </c>
      <c r="M1632" t="n">
        <v>0.212</v>
      </c>
    </row>
    <row r="1633" spans="1:13">
      <c r="A1633" s="1">
        <f>HYPERLINK("http://www.twitter.com/NathanBLawrence/status/992509380884094982", "992509380884094982")</f>
        <v/>
      </c>
      <c r="B1633" s="2" t="n">
        <v>43224.8755787037</v>
      </c>
      <c r="C1633" t="n">
        <v>2</v>
      </c>
      <c r="D1633" t="n">
        <v>0</v>
      </c>
      <c r="E1633" t="s">
        <v>1634</v>
      </c>
      <c r="F1633" t="s"/>
      <c r="G1633" t="s"/>
      <c r="H1633" t="s"/>
      <c r="I1633" t="s"/>
      <c r="J1633" t="n">
        <v>0</v>
      </c>
      <c r="K1633" t="n">
        <v>0</v>
      </c>
      <c r="L1633" t="n">
        <v>1</v>
      </c>
      <c r="M1633" t="n">
        <v>0</v>
      </c>
    </row>
    <row r="1634" spans="1:13">
      <c r="A1634" s="1">
        <f>HYPERLINK("http://www.twitter.com/NathanBLawrence/status/992508446703542278", "992508446703542278")</f>
        <v/>
      </c>
      <c r="B1634" s="2" t="n">
        <v>43224.87300925926</v>
      </c>
      <c r="C1634" t="n">
        <v>0</v>
      </c>
      <c r="D1634" t="n">
        <v>1</v>
      </c>
      <c r="E1634" t="s">
        <v>1635</v>
      </c>
      <c r="F1634" t="s"/>
      <c r="G1634" t="s"/>
      <c r="H1634" t="s"/>
      <c r="I1634" t="s"/>
      <c r="J1634" t="n">
        <v>0</v>
      </c>
      <c r="K1634" t="n">
        <v>0</v>
      </c>
      <c r="L1634" t="n">
        <v>1</v>
      </c>
      <c r="M1634" t="n">
        <v>0</v>
      </c>
    </row>
    <row r="1635" spans="1:13">
      <c r="A1635" s="1">
        <f>HYPERLINK("http://www.twitter.com/NathanBLawrence/status/992504773625745409", "992504773625745409")</f>
        <v/>
      </c>
      <c r="B1635" s="2" t="n">
        <v>43224.86287037037</v>
      </c>
      <c r="C1635" t="n">
        <v>4</v>
      </c>
      <c r="D1635" t="n">
        <v>2</v>
      </c>
      <c r="E1635" t="s">
        <v>1636</v>
      </c>
      <c r="F1635">
        <f>HYPERLINK("https://video.twimg.com/ext_tw_video/992504733209264128/pu/vid/328x180/WSh9a_bWOD9d39vJ.mp4?tag=3", "https://video.twimg.com/ext_tw_video/992504733209264128/pu/vid/328x180/WSh9a_bWOD9d39vJ.mp4?tag=3")</f>
        <v/>
      </c>
      <c r="G1635" t="s"/>
      <c r="H1635" t="s"/>
      <c r="I1635" t="s"/>
      <c r="J1635" t="n">
        <v>-0.6814</v>
      </c>
      <c r="K1635" t="n">
        <v>0.183</v>
      </c>
      <c r="L1635" t="n">
        <v>0.8169999999999999</v>
      </c>
      <c r="M1635" t="n">
        <v>0</v>
      </c>
    </row>
    <row r="1636" spans="1:13">
      <c r="A1636" s="1">
        <f>HYPERLINK("http://www.twitter.com/NathanBLawrence/status/992501714753343488", "992501714753343488")</f>
        <v/>
      </c>
      <c r="B1636" s="2" t="n">
        <v>43224.85443287037</v>
      </c>
      <c r="C1636" t="n">
        <v>0</v>
      </c>
      <c r="D1636" t="n">
        <v>3</v>
      </c>
      <c r="E1636" t="s">
        <v>1637</v>
      </c>
      <c r="F1636">
        <f>HYPERLINK("http://pbs.twimg.com/media/DcXi1QWVMAAh8nW.jpg", "http://pbs.twimg.com/media/DcXi1QWVMAAh8nW.jpg")</f>
        <v/>
      </c>
      <c r="G1636" t="s"/>
      <c r="H1636" t="s"/>
      <c r="I1636" t="s"/>
      <c r="J1636" t="n">
        <v>0</v>
      </c>
      <c r="K1636" t="n">
        <v>0</v>
      </c>
      <c r="L1636" t="n">
        <v>1</v>
      </c>
      <c r="M1636" t="n">
        <v>0</v>
      </c>
    </row>
    <row r="1637" spans="1:13">
      <c r="A1637" s="1">
        <f>HYPERLINK("http://www.twitter.com/NathanBLawrence/status/992501550538002433", "992501550538002433")</f>
        <v/>
      </c>
      <c r="B1637" s="2" t="n">
        <v>43224.85398148148</v>
      </c>
      <c r="C1637" t="n">
        <v>0</v>
      </c>
      <c r="D1637" t="n">
        <v>5</v>
      </c>
      <c r="E1637" t="s">
        <v>1638</v>
      </c>
      <c r="F1637" t="s"/>
      <c r="G1637" t="s"/>
      <c r="H1637" t="s"/>
      <c r="I1637" t="s"/>
      <c r="J1637" t="n">
        <v>0</v>
      </c>
      <c r="K1637" t="n">
        <v>0</v>
      </c>
      <c r="L1637" t="n">
        <v>1</v>
      </c>
      <c r="M1637" t="n">
        <v>0</v>
      </c>
    </row>
    <row r="1638" spans="1:13">
      <c r="A1638" s="1">
        <f>HYPERLINK("http://www.twitter.com/NathanBLawrence/status/992501521542778880", "992501521542778880")</f>
        <v/>
      </c>
      <c r="B1638" s="2" t="n">
        <v>43224.85390046296</v>
      </c>
      <c r="C1638" t="n">
        <v>0</v>
      </c>
      <c r="D1638" t="n">
        <v>25</v>
      </c>
      <c r="E1638" t="s">
        <v>1639</v>
      </c>
      <c r="F1638">
        <f>HYPERLINK("http://pbs.twimg.com/media/DcYQOaOWAAE7Mft.jpg", "http://pbs.twimg.com/media/DcYQOaOWAAE7Mft.jpg")</f>
        <v/>
      </c>
      <c r="G1638" t="s"/>
      <c r="H1638" t="s"/>
      <c r="I1638" t="s"/>
      <c r="J1638" t="n">
        <v>0.6124000000000001</v>
      </c>
      <c r="K1638" t="n">
        <v>0.08</v>
      </c>
      <c r="L1638" t="n">
        <v>0.6929999999999999</v>
      </c>
      <c r="M1638" t="n">
        <v>0.226</v>
      </c>
    </row>
    <row r="1639" spans="1:13">
      <c r="A1639" s="1">
        <f>HYPERLINK("http://www.twitter.com/NathanBLawrence/status/992499947118489600", "992499947118489600")</f>
        <v/>
      </c>
      <c r="B1639" s="2" t="n">
        <v>43224.84954861111</v>
      </c>
      <c r="C1639" t="n">
        <v>6</v>
      </c>
      <c r="D1639" t="n">
        <v>2</v>
      </c>
      <c r="E1639" t="s">
        <v>1640</v>
      </c>
      <c r="F1639" t="s"/>
      <c r="G1639" t="s"/>
      <c r="H1639" t="s"/>
      <c r="I1639" t="s"/>
      <c r="J1639" t="n">
        <v>0.5106000000000001</v>
      </c>
      <c r="K1639" t="n">
        <v>0</v>
      </c>
      <c r="L1639" t="n">
        <v>0.87</v>
      </c>
      <c r="M1639" t="n">
        <v>0.13</v>
      </c>
    </row>
    <row r="1640" spans="1:13">
      <c r="A1640" s="1">
        <f>HYPERLINK("http://www.twitter.com/NathanBLawrence/status/992499316534251523", "992499316534251523")</f>
        <v/>
      </c>
      <c r="B1640" s="2" t="n">
        <v>43224.8478125</v>
      </c>
      <c r="C1640" t="n">
        <v>0</v>
      </c>
      <c r="D1640" t="n">
        <v>437</v>
      </c>
      <c r="E1640" t="s">
        <v>1641</v>
      </c>
      <c r="F1640" t="s"/>
      <c r="G1640" t="s"/>
      <c r="H1640" t="s"/>
      <c r="I1640" t="s"/>
      <c r="J1640" t="n">
        <v>-0.8519</v>
      </c>
      <c r="K1640" t="n">
        <v>0.352</v>
      </c>
      <c r="L1640" t="n">
        <v>0.648</v>
      </c>
      <c r="M1640" t="n">
        <v>0</v>
      </c>
    </row>
    <row r="1641" spans="1:13">
      <c r="A1641" s="1">
        <f>HYPERLINK("http://www.twitter.com/NathanBLawrence/status/992457281253138440", "992457281253138440")</f>
        <v/>
      </c>
      <c r="B1641" s="2" t="n">
        <v>43224.73181712963</v>
      </c>
      <c r="C1641" t="n">
        <v>0</v>
      </c>
      <c r="D1641" t="n">
        <v>205</v>
      </c>
      <c r="E1641" t="s">
        <v>1642</v>
      </c>
      <c r="F1641" t="s"/>
      <c r="G1641" t="s"/>
      <c r="H1641" t="s"/>
      <c r="I1641" t="s"/>
      <c r="J1641" t="n">
        <v>0</v>
      </c>
      <c r="K1641" t="n">
        <v>0</v>
      </c>
      <c r="L1641" t="n">
        <v>1</v>
      </c>
      <c r="M1641" t="n">
        <v>0</v>
      </c>
    </row>
    <row r="1642" spans="1:13">
      <c r="A1642" s="1">
        <f>HYPERLINK("http://www.twitter.com/NathanBLawrence/status/992457219538112513", "992457219538112513")</f>
        <v/>
      </c>
      <c r="B1642" s="2" t="n">
        <v>43224.73164351852</v>
      </c>
      <c r="C1642" t="n">
        <v>2</v>
      </c>
      <c r="D1642" t="n">
        <v>0</v>
      </c>
      <c r="E1642" t="s">
        <v>1643</v>
      </c>
      <c r="F1642" t="s"/>
      <c r="G1642" t="s"/>
      <c r="H1642" t="s"/>
      <c r="I1642" t="s"/>
      <c r="J1642" t="n">
        <v>0</v>
      </c>
      <c r="K1642" t="n">
        <v>0</v>
      </c>
      <c r="L1642" t="n">
        <v>1</v>
      </c>
      <c r="M1642" t="n">
        <v>0</v>
      </c>
    </row>
    <row r="1643" spans="1:13">
      <c r="A1643" s="1">
        <f>HYPERLINK("http://www.twitter.com/NathanBLawrence/status/992454894379520001", "992454894379520001")</f>
        <v/>
      </c>
      <c r="B1643" s="2" t="n">
        <v>43224.72523148148</v>
      </c>
      <c r="C1643" t="n">
        <v>1</v>
      </c>
      <c r="D1643" t="n">
        <v>1</v>
      </c>
      <c r="E1643" t="s">
        <v>1644</v>
      </c>
      <c r="F1643" t="s"/>
      <c r="G1643" t="s"/>
      <c r="H1643" t="s"/>
      <c r="I1643" t="s"/>
      <c r="J1643" t="n">
        <v>0</v>
      </c>
      <c r="K1643" t="n">
        <v>0</v>
      </c>
      <c r="L1643" t="n">
        <v>1</v>
      </c>
      <c r="M1643" t="n">
        <v>0</v>
      </c>
    </row>
    <row r="1644" spans="1:13">
      <c r="A1644" s="1">
        <f>HYPERLINK("http://www.twitter.com/NathanBLawrence/status/992454460634009601", "992454460634009601")</f>
        <v/>
      </c>
      <c r="B1644" s="2" t="n">
        <v>43224.72402777777</v>
      </c>
      <c r="C1644" t="n">
        <v>2</v>
      </c>
      <c r="D1644" t="n">
        <v>0</v>
      </c>
      <c r="E1644" t="s">
        <v>1645</v>
      </c>
      <c r="F1644">
        <f>HYPERLINK("https://video.twimg.com/ext_tw_video/992454388533809153/pu/vid/266x180/YvOnRFjzYE7F1LLI.mp4?tag=3", "https://video.twimg.com/ext_tw_video/992454388533809153/pu/vid/266x180/YvOnRFjzYE7F1LLI.mp4?tag=3")</f>
        <v/>
      </c>
      <c r="G1644" t="s"/>
      <c r="H1644" t="s"/>
      <c r="I1644" t="s"/>
      <c r="J1644" t="n">
        <v>0</v>
      </c>
      <c r="K1644" t="n">
        <v>0</v>
      </c>
      <c r="L1644" t="n">
        <v>1</v>
      </c>
      <c r="M1644" t="n">
        <v>0</v>
      </c>
    </row>
    <row r="1645" spans="1:13">
      <c r="A1645" s="1">
        <f>HYPERLINK("http://www.twitter.com/NathanBLawrence/status/992449499497992192", "992449499497992192")</f>
        <v/>
      </c>
      <c r="B1645" s="2" t="n">
        <v>43224.71034722222</v>
      </c>
      <c r="C1645" t="n">
        <v>0</v>
      </c>
      <c r="D1645" t="n">
        <v>555</v>
      </c>
      <c r="E1645" t="s">
        <v>1646</v>
      </c>
      <c r="F1645" t="s"/>
      <c r="G1645" t="s"/>
      <c r="H1645" t="s"/>
      <c r="I1645" t="s"/>
      <c r="J1645" t="n">
        <v>-0.5904</v>
      </c>
      <c r="K1645" t="n">
        <v>0.24</v>
      </c>
      <c r="L1645" t="n">
        <v>0.661</v>
      </c>
      <c r="M1645" t="n">
        <v>0.099</v>
      </c>
    </row>
    <row r="1646" spans="1:13">
      <c r="A1646" s="1">
        <f>HYPERLINK("http://www.twitter.com/NathanBLawrence/status/992449492178882561", "992449492178882561")</f>
        <v/>
      </c>
      <c r="B1646" s="2" t="n">
        <v>43224.71032407408</v>
      </c>
      <c r="C1646" t="n">
        <v>0</v>
      </c>
      <c r="D1646" t="n">
        <v>465</v>
      </c>
      <c r="E1646" t="s">
        <v>1647</v>
      </c>
      <c r="F1646" t="s"/>
      <c r="G1646" t="s"/>
      <c r="H1646" t="s"/>
      <c r="I1646" t="s"/>
      <c r="J1646" t="n">
        <v>0.7603</v>
      </c>
      <c r="K1646" t="n">
        <v>0</v>
      </c>
      <c r="L1646" t="n">
        <v>0.644</v>
      </c>
      <c r="M1646" t="n">
        <v>0.356</v>
      </c>
    </row>
    <row r="1647" spans="1:13">
      <c r="A1647" s="1">
        <f>HYPERLINK("http://www.twitter.com/NathanBLawrence/status/992448452020920320", "992448452020920320")</f>
        <v/>
      </c>
      <c r="B1647" s="2" t="n">
        <v>43224.7074537037</v>
      </c>
      <c r="C1647" t="n">
        <v>2</v>
      </c>
      <c r="D1647" t="n">
        <v>2</v>
      </c>
      <c r="E1647" t="s">
        <v>1648</v>
      </c>
      <c r="F1647">
        <f>HYPERLINK("http://pbs.twimg.com/media/DcXim1PVwAAStLN.jpg", "http://pbs.twimg.com/media/DcXim1PVwAAStLN.jpg")</f>
        <v/>
      </c>
      <c r="G1647" t="s"/>
      <c r="H1647" t="s"/>
      <c r="I1647" t="s"/>
      <c r="J1647" t="n">
        <v>0</v>
      </c>
      <c r="K1647" t="n">
        <v>0</v>
      </c>
      <c r="L1647" t="n">
        <v>1</v>
      </c>
      <c r="M1647" t="n">
        <v>0</v>
      </c>
    </row>
    <row r="1648" spans="1:13">
      <c r="A1648" s="1">
        <f>HYPERLINK("http://www.twitter.com/NathanBLawrence/status/992446822638596097", "992446822638596097")</f>
        <v/>
      </c>
      <c r="B1648" s="2" t="n">
        <v>43224.70295138889</v>
      </c>
      <c r="C1648" t="n">
        <v>1</v>
      </c>
      <c r="D1648" t="n">
        <v>0</v>
      </c>
      <c r="E1648" t="s">
        <v>1649</v>
      </c>
      <c r="F1648" t="s"/>
      <c r="G1648" t="s"/>
      <c r="H1648" t="s"/>
      <c r="I1648" t="s"/>
      <c r="J1648" t="n">
        <v>0.6124000000000001</v>
      </c>
      <c r="K1648" t="n">
        <v>0</v>
      </c>
      <c r="L1648" t="n">
        <v>0.333</v>
      </c>
      <c r="M1648" t="n">
        <v>0.667</v>
      </c>
    </row>
    <row r="1649" spans="1:13">
      <c r="A1649" s="1">
        <f>HYPERLINK("http://www.twitter.com/NathanBLawrence/status/992446674835525632", "992446674835525632")</f>
        <v/>
      </c>
      <c r="B1649" s="2" t="n">
        <v>43224.7025462963</v>
      </c>
      <c r="C1649" t="n">
        <v>0</v>
      </c>
      <c r="D1649" t="n">
        <v>2</v>
      </c>
      <c r="E1649" t="s">
        <v>1650</v>
      </c>
      <c r="F1649" t="s"/>
      <c r="G1649" t="s"/>
      <c r="H1649" t="s"/>
      <c r="I1649" t="s"/>
      <c r="J1649" t="n">
        <v>0.8745000000000001</v>
      </c>
      <c r="K1649" t="n">
        <v>0</v>
      </c>
      <c r="L1649" t="n">
        <v>0.616</v>
      </c>
      <c r="M1649" t="n">
        <v>0.384</v>
      </c>
    </row>
    <row r="1650" spans="1:13">
      <c r="A1650" s="1">
        <f>HYPERLINK("http://www.twitter.com/NathanBLawrence/status/992445502347206657", "992445502347206657")</f>
        <v/>
      </c>
      <c r="B1650" s="2" t="n">
        <v>43224.69931712963</v>
      </c>
      <c r="C1650" t="n">
        <v>7</v>
      </c>
      <c r="D1650" t="n">
        <v>2</v>
      </c>
      <c r="E1650" t="s">
        <v>1651</v>
      </c>
      <c r="F1650">
        <f>HYPERLINK("https://video.twimg.com/ext_tw_video/992445429341028353/pu/vid/612x640/PWezxERuXeJXOQVV.mp4?tag=3", "https://video.twimg.com/ext_tw_video/992445429341028353/pu/vid/612x640/PWezxERuXeJXOQVV.mp4?tag=3")</f>
        <v/>
      </c>
      <c r="G1650" t="s"/>
      <c r="H1650" t="s"/>
      <c r="I1650" t="s"/>
      <c r="J1650" t="n">
        <v>0.4215</v>
      </c>
      <c r="K1650" t="n">
        <v>0</v>
      </c>
      <c r="L1650" t="n">
        <v>0.588</v>
      </c>
      <c r="M1650" t="n">
        <v>0.412</v>
      </c>
    </row>
    <row r="1651" spans="1:13">
      <c r="A1651" s="1">
        <f>HYPERLINK("http://www.twitter.com/NathanBLawrence/status/992443796670570497", "992443796670570497")</f>
        <v/>
      </c>
      <c r="B1651" s="2" t="n">
        <v>43224.69460648148</v>
      </c>
      <c r="C1651" t="n">
        <v>0</v>
      </c>
      <c r="D1651" t="n">
        <v>6028</v>
      </c>
      <c r="E1651" t="s">
        <v>1652</v>
      </c>
      <c r="F1651" t="s"/>
      <c r="G1651" t="s"/>
      <c r="H1651" t="s"/>
      <c r="I1651" t="s"/>
      <c r="J1651" t="n">
        <v>-0.34</v>
      </c>
      <c r="K1651" t="n">
        <v>0.156</v>
      </c>
      <c r="L1651" t="n">
        <v>0.844</v>
      </c>
      <c r="M1651" t="n">
        <v>0</v>
      </c>
    </row>
    <row r="1652" spans="1:13">
      <c r="A1652" s="1">
        <f>HYPERLINK("http://www.twitter.com/NathanBLawrence/status/992443757533462528", "992443757533462528")</f>
        <v/>
      </c>
      <c r="B1652" s="2" t="n">
        <v>43224.69450231481</v>
      </c>
      <c r="C1652" t="n">
        <v>0</v>
      </c>
      <c r="D1652" t="n">
        <v>2</v>
      </c>
      <c r="E1652" t="s">
        <v>1653</v>
      </c>
      <c r="F1652" t="s"/>
      <c r="G1652" t="s"/>
      <c r="H1652" t="s"/>
      <c r="I1652" t="s"/>
      <c r="J1652" t="n">
        <v>0</v>
      </c>
      <c r="K1652" t="n">
        <v>0</v>
      </c>
      <c r="L1652" t="n">
        <v>1</v>
      </c>
      <c r="M1652" t="n">
        <v>0</v>
      </c>
    </row>
    <row r="1653" spans="1:13">
      <c r="A1653" s="1">
        <f>HYPERLINK("http://www.twitter.com/NathanBLawrence/status/992443671378350080", "992443671378350080")</f>
        <v/>
      </c>
      <c r="B1653" s="2" t="n">
        <v>43224.69425925926</v>
      </c>
      <c r="C1653" t="n">
        <v>3</v>
      </c>
      <c r="D1653" t="n">
        <v>1</v>
      </c>
      <c r="E1653" t="s">
        <v>1654</v>
      </c>
      <c r="F1653">
        <f>HYPERLINK("https://video.twimg.com/ext_tw_video/992443613089972225/pu/vid/328x180/OKyg1Msh6cPfUUDY.mp4?tag=3", "https://video.twimg.com/ext_tw_video/992443613089972225/pu/vid/328x180/OKyg1Msh6cPfUUDY.mp4?tag=3")</f>
        <v/>
      </c>
      <c r="G1653" t="s"/>
      <c r="H1653" t="s"/>
      <c r="I1653" t="s"/>
      <c r="J1653" t="n">
        <v>0</v>
      </c>
      <c r="K1653" t="n">
        <v>0</v>
      </c>
      <c r="L1653" t="n">
        <v>1</v>
      </c>
      <c r="M1653" t="n">
        <v>0</v>
      </c>
    </row>
    <row r="1654" spans="1:13">
      <c r="A1654" s="1">
        <f>HYPERLINK("http://www.twitter.com/NathanBLawrence/status/992443090668605440", "992443090668605440")</f>
        <v/>
      </c>
      <c r="B1654" s="2" t="n">
        <v>43224.69266203704</v>
      </c>
      <c r="C1654" t="n">
        <v>0</v>
      </c>
      <c r="D1654" t="n">
        <v>13</v>
      </c>
      <c r="E1654" t="s">
        <v>1655</v>
      </c>
      <c r="F1654" t="s"/>
      <c r="G1654" t="s"/>
      <c r="H1654" t="s"/>
      <c r="I1654" t="s"/>
      <c r="J1654" t="n">
        <v>0.8270999999999999</v>
      </c>
      <c r="K1654" t="n">
        <v>0</v>
      </c>
      <c r="L1654" t="n">
        <v>0.674</v>
      </c>
      <c r="M1654" t="n">
        <v>0.326</v>
      </c>
    </row>
    <row r="1655" spans="1:13">
      <c r="A1655" s="1">
        <f>HYPERLINK("http://www.twitter.com/NathanBLawrence/status/992442903850094592", "992442903850094592")</f>
        <v/>
      </c>
      <c r="B1655" s="2" t="n">
        <v>43224.6921412037</v>
      </c>
      <c r="C1655" t="n">
        <v>0</v>
      </c>
      <c r="D1655" t="n">
        <v>0</v>
      </c>
      <c r="E1655" t="s">
        <v>1656</v>
      </c>
      <c r="F1655" t="s"/>
      <c r="G1655" t="s"/>
      <c r="H1655" t="s"/>
      <c r="I1655" t="s"/>
      <c r="J1655" t="n">
        <v>0</v>
      </c>
      <c r="K1655" t="n">
        <v>0</v>
      </c>
      <c r="L1655" t="n">
        <v>1</v>
      </c>
      <c r="M1655" t="n">
        <v>0</v>
      </c>
    </row>
    <row r="1656" spans="1:13">
      <c r="A1656" s="1">
        <f>HYPERLINK("http://www.twitter.com/NathanBLawrence/status/992442651621371904", "992442651621371904")</f>
        <v/>
      </c>
      <c r="B1656" s="2" t="n">
        <v>43224.69144675926</v>
      </c>
      <c r="C1656" t="n">
        <v>1</v>
      </c>
      <c r="D1656" t="n">
        <v>0</v>
      </c>
      <c r="E1656" t="s">
        <v>1657</v>
      </c>
      <c r="F1656" t="s"/>
      <c r="G1656" t="s"/>
      <c r="H1656" t="s"/>
      <c r="I1656" t="s"/>
      <c r="J1656" t="n">
        <v>-0.3875</v>
      </c>
      <c r="K1656" t="n">
        <v>0.305</v>
      </c>
      <c r="L1656" t="n">
        <v>0.695</v>
      </c>
      <c r="M1656" t="n">
        <v>0</v>
      </c>
    </row>
    <row r="1657" spans="1:13">
      <c r="A1657" s="1">
        <f>HYPERLINK("http://www.twitter.com/NathanBLawrence/status/992441702949576704", "992441702949576704")</f>
        <v/>
      </c>
      <c r="B1657" s="2" t="n">
        <v>43224.68883101852</v>
      </c>
      <c r="C1657" t="n">
        <v>0</v>
      </c>
      <c r="D1657" t="n">
        <v>8</v>
      </c>
      <c r="E1657" t="s">
        <v>1658</v>
      </c>
      <c r="F1657" t="s"/>
      <c r="G1657" t="s"/>
      <c r="H1657" t="s"/>
      <c r="I1657" t="s"/>
      <c r="J1657" t="n">
        <v>0.5927</v>
      </c>
      <c r="K1657" t="n">
        <v>0.094</v>
      </c>
      <c r="L1657" t="n">
        <v>0.645</v>
      </c>
      <c r="M1657" t="n">
        <v>0.261</v>
      </c>
    </row>
    <row r="1658" spans="1:13">
      <c r="A1658" s="1">
        <f>HYPERLINK("http://www.twitter.com/NathanBLawrence/status/992441465715548160", "992441465715548160")</f>
        <v/>
      </c>
      <c r="B1658" s="2" t="n">
        <v>43224.68817129629</v>
      </c>
      <c r="C1658" t="n">
        <v>13</v>
      </c>
      <c r="D1658" t="n">
        <v>8</v>
      </c>
      <c r="E1658" t="s">
        <v>1659</v>
      </c>
      <c r="F1658" t="s"/>
      <c r="G1658" t="s"/>
      <c r="H1658" t="s"/>
      <c r="I1658" t="s"/>
      <c r="J1658" t="n">
        <v>0.5927</v>
      </c>
      <c r="K1658" t="n">
        <v>0.106</v>
      </c>
      <c r="L1658" t="n">
        <v>0.598</v>
      </c>
      <c r="M1658" t="n">
        <v>0.296</v>
      </c>
    </row>
    <row r="1659" spans="1:13">
      <c r="A1659" s="1">
        <f>HYPERLINK("http://www.twitter.com/NathanBLawrence/status/992438970276605952", "992438970276605952")</f>
        <v/>
      </c>
      <c r="B1659" s="2" t="n">
        <v>43224.68128472222</v>
      </c>
      <c r="C1659" t="n">
        <v>15</v>
      </c>
      <c r="D1659" t="n">
        <v>12</v>
      </c>
      <c r="E1659" t="s">
        <v>1660</v>
      </c>
      <c r="F1659" t="s"/>
      <c r="G1659" t="s"/>
      <c r="H1659" t="s"/>
      <c r="I1659" t="s"/>
      <c r="J1659" t="n">
        <v>-0.7913</v>
      </c>
      <c r="K1659" t="n">
        <v>0.223</v>
      </c>
      <c r="L1659" t="n">
        <v>0.777</v>
      </c>
      <c r="M1659" t="n">
        <v>0</v>
      </c>
    </row>
    <row r="1660" spans="1:13">
      <c r="A1660" s="1">
        <f>HYPERLINK("http://www.twitter.com/NathanBLawrence/status/992436605196619777", "992436605196619777")</f>
        <v/>
      </c>
      <c r="B1660" s="2" t="n">
        <v>43224.67475694444</v>
      </c>
      <c r="C1660" t="n">
        <v>0</v>
      </c>
      <c r="D1660" t="n">
        <v>3476</v>
      </c>
      <c r="E1660" t="s">
        <v>1661</v>
      </c>
      <c r="F1660" t="s"/>
      <c r="G1660" t="s"/>
      <c r="H1660" t="s"/>
      <c r="I1660" t="s"/>
      <c r="J1660" t="n">
        <v>0</v>
      </c>
      <c r="K1660" t="n">
        <v>0</v>
      </c>
      <c r="L1660" t="n">
        <v>1</v>
      </c>
      <c r="M1660" t="n">
        <v>0</v>
      </c>
    </row>
    <row r="1661" spans="1:13">
      <c r="A1661" s="1">
        <f>HYPERLINK("http://www.twitter.com/NathanBLawrence/status/992436351508377600", "992436351508377600")</f>
        <v/>
      </c>
      <c r="B1661" s="2" t="n">
        <v>43224.6740625</v>
      </c>
      <c r="C1661" t="n">
        <v>5</v>
      </c>
      <c r="D1661" t="n">
        <v>1</v>
      </c>
      <c r="E1661" t="s">
        <v>1662</v>
      </c>
      <c r="F1661" t="s"/>
      <c r="G1661" t="s"/>
      <c r="H1661" t="s"/>
      <c r="I1661" t="s"/>
      <c r="J1661" t="n">
        <v>0</v>
      </c>
      <c r="K1661" t="n">
        <v>0</v>
      </c>
      <c r="L1661" t="n">
        <v>1</v>
      </c>
      <c r="M1661" t="n">
        <v>0</v>
      </c>
    </row>
    <row r="1662" spans="1:13">
      <c r="A1662" s="1">
        <f>HYPERLINK("http://www.twitter.com/NathanBLawrence/status/992435967813398528", "992435967813398528")</f>
        <v/>
      </c>
      <c r="B1662" s="2" t="n">
        <v>43224.67299768519</v>
      </c>
      <c r="C1662" t="n">
        <v>0</v>
      </c>
      <c r="D1662" t="n">
        <v>5</v>
      </c>
      <c r="E1662" t="s">
        <v>1663</v>
      </c>
      <c r="F1662" t="s"/>
      <c r="G1662" t="s"/>
      <c r="H1662" t="s"/>
      <c r="I1662" t="s"/>
      <c r="J1662" t="n">
        <v>0</v>
      </c>
      <c r="K1662" t="n">
        <v>0</v>
      </c>
      <c r="L1662" t="n">
        <v>1</v>
      </c>
      <c r="M1662" t="n">
        <v>0</v>
      </c>
    </row>
    <row r="1663" spans="1:13">
      <c r="A1663" s="1">
        <f>HYPERLINK("http://www.twitter.com/NathanBLawrence/status/992435756064034821", "992435756064034821")</f>
        <v/>
      </c>
      <c r="B1663" s="2" t="n">
        <v>43224.67241898148</v>
      </c>
      <c r="C1663" t="n">
        <v>0</v>
      </c>
      <c r="D1663" t="n">
        <v>527</v>
      </c>
      <c r="E1663" t="s">
        <v>1664</v>
      </c>
      <c r="F1663" t="s"/>
      <c r="G1663" t="s"/>
      <c r="H1663" t="s"/>
      <c r="I1663" t="s"/>
      <c r="J1663" t="n">
        <v>0.3612</v>
      </c>
      <c r="K1663" t="n">
        <v>0</v>
      </c>
      <c r="L1663" t="n">
        <v>0.889</v>
      </c>
      <c r="M1663" t="n">
        <v>0.111</v>
      </c>
    </row>
    <row r="1664" spans="1:13">
      <c r="A1664" s="1">
        <f>HYPERLINK("http://www.twitter.com/NathanBLawrence/status/992435562526191621", "992435562526191621")</f>
        <v/>
      </c>
      <c r="B1664" s="2" t="n">
        <v>43224.67188657408</v>
      </c>
      <c r="C1664" t="n">
        <v>1</v>
      </c>
      <c r="D1664" t="n">
        <v>0</v>
      </c>
      <c r="E1664" t="s">
        <v>1665</v>
      </c>
      <c r="F1664" t="s"/>
      <c r="G1664" t="s"/>
      <c r="H1664" t="s"/>
      <c r="I1664" t="s"/>
      <c r="J1664" t="n">
        <v>0</v>
      </c>
      <c r="K1664" t="n">
        <v>0</v>
      </c>
      <c r="L1664" t="n">
        <v>1</v>
      </c>
      <c r="M1664" t="n">
        <v>0</v>
      </c>
    </row>
    <row r="1665" spans="1:13">
      <c r="A1665" s="1">
        <f>HYPERLINK("http://www.twitter.com/NathanBLawrence/status/992435475188256769", "992435475188256769")</f>
        <v/>
      </c>
      <c r="B1665" s="2" t="n">
        <v>43224.67164351852</v>
      </c>
      <c r="C1665" t="n">
        <v>0</v>
      </c>
      <c r="D1665" t="n">
        <v>2</v>
      </c>
      <c r="E1665" t="s">
        <v>1666</v>
      </c>
      <c r="F1665" t="s"/>
      <c r="G1665" t="s"/>
      <c r="H1665" t="s"/>
      <c r="I1665" t="s"/>
      <c r="J1665" t="n">
        <v>0.855</v>
      </c>
      <c r="K1665" t="n">
        <v>0</v>
      </c>
      <c r="L1665" t="n">
        <v>0.518</v>
      </c>
      <c r="M1665" t="n">
        <v>0.482</v>
      </c>
    </row>
    <row r="1666" spans="1:13">
      <c r="A1666" s="1">
        <f>HYPERLINK("http://www.twitter.com/NathanBLawrence/status/992435411657150464", "992435411657150464")</f>
        <v/>
      </c>
      <c r="B1666" s="2" t="n">
        <v>43224.67146990741</v>
      </c>
      <c r="C1666" t="n">
        <v>0</v>
      </c>
      <c r="D1666" t="n">
        <v>118</v>
      </c>
      <c r="E1666" t="s">
        <v>1667</v>
      </c>
      <c r="F1666" t="s"/>
      <c r="G1666" t="s"/>
      <c r="H1666" t="s"/>
      <c r="I1666" t="s"/>
      <c r="J1666" t="n">
        <v>-0.7456</v>
      </c>
      <c r="K1666" t="n">
        <v>0.365</v>
      </c>
      <c r="L1666" t="n">
        <v>0.635</v>
      </c>
      <c r="M1666" t="n">
        <v>0</v>
      </c>
    </row>
    <row r="1667" spans="1:13">
      <c r="A1667" s="1">
        <f>HYPERLINK("http://www.twitter.com/NathanBLawrence/status/992435225820106753", "992435225820106753")</f>
        <v/>
      </c>
      <c r="B1667" s="2" t="n">
        <v>43224.67096064815</v>
      </c>
      <c r="C1667" t="n">
        <v>0</v>
      </c>
      <c r="D1667" t="n">
        <v>1</v>
      </c>
      <c r="E1667" t="s">
        <v>1668</v>
      </c>
      <c r="F1667" t="s"/>
      <c r="G1667" t="s"/>
      <c r="H1667" t="s"/>
      <c r="I1667" t="s"/>
      <c r="J1667" t="n">
        <v>0</v>
      </c>
      <c r="K1667" t="n">
        <v>0</v>
      </c>
      <c r="L1667" t="n">
        <v>1</v>
      </c>
      <c r="M1667" t="n">
        <v>0</v>
      </c>
    </row>
    <row r="1668" spans="1:13">
      <c r="A1668" s="1">
        <f>HYPERLINK("http://www.twitter.com/NathanBLawrence/status/992434679742697472", "992434679742697472")</f>
        <v/>
      </c>
      <c r="B1668" s="2" t="n">
        <v>43224.66944444444</v>
      </c>
      <c r="C1668" t="n">
        <v>0</v>
      </c>
      <c r="D1668" t="n">
        <v>3</v>
      </c>
      <c r="E1668" t="s">
        <v>1669</v>
      </c>
      <c r="F1668" t="s"/>
      <c r="G1668" t="s"/>
      <c r="H1668" t="s"/>
      <c r="I1668" t="s"/>
      <c r="J1668" t="n">
        <v>0</v>
      </c>
      <c r="K1668" t="n">
        <v>0</v>
      </c>
      <c r="L1668" t="n">
        <v>1</v>
      </c>
      <c r="M1668" t="n">
        <v>0</v>
      </c>
    </row>
    <row r="1669" spans="1:13">
      <c r="A1669" s="1">
        <f>HYPERLINK("http://www.twitter.com/NathanBLawrence/status/992433745541107712", "992433745541107712")</f>
        <v/>
      </c>
      <c r="B1669" s="2" t="n">
        <v>43224.666875</v>
      </c>
      <c r="C1669" t="n">
        <v>0</v>
      </c>
      <c r="D1669" t="n">
        <v>6</v>
      </c>
      <c r="E1669" t="s">
        <v>1670</v>
      </c>
      <c r="F1669">
        <f>HYPERLINK("http://pbs.twimg.com/media/DcWtzDbW0AAuorE.jpg", "http://pbs.twimg.com/media/DcWtzDbW0AAuorE.jpg")</f>
        <v/>
      </c>
      <c r="G1669" t="s"/>
      <c r="H1669" t="s"/>
      <c r="I1669" t="s"/>
      <c r="J1669" t="n">
        <v>0</v>
      </c>
      <c r="K1669" t="n">
        <v>0</v>
      </c>
      <c r="L1669" t="n">
        <v>1</v>
      </c>
      <c r="M1669" t="n">
        <v>0</v>
      </c>
    </row>
    <row r="1670" spans="1:13">
      <c r="A1670" s="1">
        <f>HYPERLINK("http://www.twitter.com/NathanBLawrence/status/992433381047709696", "992433381047709696")</f>
        <v/>
      </c>
      <c r="B1670" s="2" t="n">
        <v>43224.66586805556</v>
      </c>
      <c r="C1670" t="n">
        <v>0</v>
      </c>
      <c r="D1670" t="n">
        <v>28</v>
      </c>
      <c r="E1670" t="s">
        <v>1671</v>
      </c>
      <c r="F1670" t="s"/>
      <c r="G1670" t="s"/>
      <c r="H1670" t="s"/>
      <c r="I1670" t="s"/>
      <c r="J1670" t="n">
        <v>-0.34</v>
      </c>
      <c r="K1670" t="n">
        <v>0.179</v>
      </c>
      <c r="L1670" t="n">
        <v>0.821</v>
      </c>
      <c r="M1670" t="n">
        <v>0</v>
      </c>
    </row>
    <row r="1671" spans="1:13">
      <c r="A1671" s="1">
        <f>HYPERLINK("http://www.twitter.com/NathanBLawrence/status/992433179943464965", "992433179943464965")</f>
        <v/>
      </c>
      <c r="B1671" s="2" t="n">
        <v>43224.6653125</v>
      </c>
      <c r="C1671" t="n">
        <v>0</v>
      </c>
      <c r="D1671" t="n">
        <v>632</v>
      </c>
      <c r="E1671" t="s">
        <v>1672</v>
      </c>
      <c r="F1671" t="s"/>
      <c r="G1671" t="s"/>
      <c r="H1671" t="s"/>
      <c r="I1671" t="s"/>
      <c r="J1671" t="n">
        <v>-0.5766</v>
      </c>
      <c r="K1671" t="n">
        <v>0.157</v>
      </c>
      <c r="L1671" t="n">
        <v>0.843</v>
      </c>
      <c r="M1671" t="n">
        <v>0</v>
      </c>
    </row>
    <row r="1672" spans="1:13">
      <c r="A1672" s="1">
        <f>HYPERLINK("http://www.twitter.com/NathanBLawrence/status/992432855178412032", "992432855178412032")</f>
        <v/>
      </c>
      <c r="B1672" s="2" t="n">
        <v>43224.66440972222</v>
      </c>
      <c r="C1672" t="n">
        <v>0</v>
      </c>
      <c r="D1672" t="n">
        <v>11</v>
      </c>
      <c r="E1672" t="s">
        <v>1673</v>
      </c>
      <c r="F1672">
        <f>HYPERLINK("http://pbs.twimg.com/media/DcXTHkFU0AUu5lu.jpg", "http://pbs.twimg.com/media/DcXTHkFU0AUu5lu.jpg")</f>
        <v/>
      </c>
      <c r="G1672" t="s"/>
      <c r="H1672" t="s"/>
      <c r="I1672" t="s"/>
      <c r="J1672" t="n">
        <v>0</v>
      </c>
      <c r="K1672" t="n">
        <v>0</v>
      </c>
      <c r="L1672" t="n">
        <v>1</v>
      </c>
      <c r="M1672" t="n">
        <v>0</v>
      </c>
    </row>
    <row r="1673" spans="1:13">
      <c r="A1673" s="1">
        <f>HYPERLINK("http://www.twitter.com/NathanBLawrence/status/992432706314211328", "992432706314211328")</f>
        <v/>
      </c>
      <c r="B1673" s="2" t="n">
        <v>43224.66400462963</v>
      </c>
      <c r="C1673" t="n">
        <v>0</v>
      </c>
      <c r="D1673" t="n">
        <v>5</v>
      </c>
      <c r="E1673" t="s">
        <v>1674</v>
      </c>
      <c r="F1673" t="s"/>
      <c r="G1673" t="s"/>
      <c r="H1673" t="s"/>
      <c r="I1673" t="s"/>
      <c r="J1673" t="n">
        <v>0</v>
      </c>
      <c r="K1673" t="n">
        <v>0</v>
      </c>
      <c r="L1673" t="n">
        <v>1</v>
      </c>
      <c r="M1673" t="n">
        <v>0</v>
      </c>
    </row>
    <row r="1674" spans="1:13">
      <c r="A1674" s="1">
        <f>HYPERLINK("http://www.twitter.com/NathanBLawrence/status/992425494820868096", "992425494820868096")</f>
        <v/>
      </c>
      <c r="B1674" s="2" t="n">
        <v>43224.64409722222</v>
      </c>
      <c r="C1674" t="n">
        <v>0</v>
      </c>
      <c r="D1674" t="n">
        <v>206</v>
      </c>
      <c r="E1674" t="s">
        <v>1675</v>
      </c>
      <c r="F1674">
        <f>HYPERLINK("http://pbs.twimg.com/media/DcXEquPVAAIzRjj.jpg", "http://pbs.twimg.com/media/DcXEquPVAAIzRjj.jpg")</f>
        <v/>
      </c>
      <c r="G1674" t="s"/>
      <c r="H1674" t="s"/>
      <c r="I1674" t="s"/>
      <c r="J1674" t="n">
        <v>-0.5707</v>
      </c>
      <c r="K1674" t="n">
        <v>0.187</v>
      </c>
      <c r="L1674" t="n">
        <v>0.8129999999999999</v>
      </c>
      <c r="M1674" t="n">
        <v>0</v>
      </c>
    </row>
    <row r="1675" spans="1:13">
      <c r="A1675" s="1">
        <f>HYPERLINK("http://www.twitter.com/NathanBLawrence/status/992425428357959682", "992425428357959682")</f>
        <v/>
      </c>
      <c r="B1675" s="2" t="n">
        <v>43224.64392361111</v>
      </c>
      <c r="C1675" t="n">
        <v>0</v>
      </c>
      <c r="D1675" t="n">
        <v>3210</v>
      </c>
      <c r="E1675" t="s">
        <v>1676</v>
      </c>
      <c r="F1675">
        <f>HYPERLINK("http://pbs.twimg.com/media/DZjNq_GVwAAABGX.jpg", "http://pbs.twimg.com/media/DZjNq_GVwAAABGX.jpg")</f>
        <v/>
      </c>
      <c r="G1675" t="s"/>
      <c r="H1675" t="s"/>
      <c r="I1675" t="s"/>
      <c r="J1675" t="n">
        <v>0.9468</v>
      </c>
      <c r="K1675" t="n">
        <v>0</v>
      </c>
      <c r="L1675" t="n">
        <v>0.525</v>
      </c>
      <c r="M1675" t="n">
        <v>0.475</v>
      </c>
    </row>
    <row r="1676" spans="1:13">
      <c r="A1676" s="1">
        <f>HYPERLINK("http://www.twitter.com/NathanBLawrence/status/992425085586825216", "992425085586825216")</f>
        <v/>
      </c>
      <c r="B1676" s="2" t="n">
        <v>43224.64297453704</v>
      </c>
      <c r="C1676" t="n">
        <v>0</v>
      </c>
      <c r="D1676" t="n">
        <v>4</v>
      </c>
      <c r="E1676" t="s">
        <v>1653</v>
      </c>
      <c r="F1676" t="s"/>
      <c r="G1676" t="s"/>
      <c r="H1676" t="s"/>
      <c r="I1676" t="s"/>
      <c r="J1676" t="n">
        <v>0</v>
      </c>
      <c r="K1676" t="n">
        <v>0</v>
      </c>
      <c r="L1676" t="n">
        <v>1</v>
      </c>
      <c r="M1676" t="n">
        <v>0</v>
      </c>
    </row>
    <row r="1677" spans="1:13">
      <c r="A1677" s="1">
        <f>HYPERLINK("http://www.twitter.com/NathanBLawrence/status/992424972755890176", "992424972755890176")</f>
        <v/>
      </c>
      <c r="B1677" s="2" t="n">
        <v>43224.64266203704</v>
      </c>
      <c r="C1677" t="n">
        <v>21</v>
      </c>
      <c r="D1677" t="n">
        <v>25</v>
      </c>
      <c r="E1677" t="s">
        <v>1677</v>
      </c>
      <c r="F1677">
        <f>HYPERLINK("http://pbs.twimg.com/media/DcXNP3pV0AElxZi.jpg", "http://pbs.twimg.com/media/DcXNP3pV0AElxZi.jpg")</f>
        <v/>
      </c>
      <c r="G1677" t="s"/>
      <c r="H1677" t="s"/>
      <c r="I1677" t="s"/>
      <c r="J1677" t="n">
        <v>-0.296</v>
      </c>
      <c r="K1677" t="n">
        <v>0.091</v>
      </c>
      <c r="L1677" t="n">
        <v>0.909</v>
      </c>
      <c r="M1677" t="n">
        <v>0</v>
      </c>
    </row>
    <row r="1678" spans="1:13">
      <c r="A1678" s="1">
        <f>HYPERLINK("http://www.twitter.com/NathanBLawrence/status/992424286819438592", "992424286819438592")</f>
        <v/>
      </c>
      <c r="B1678" s="2" t="n">
        <v>43224.64076388889</v>
      </c>
      <c r="C1678" t="n">
        <v>1</v>
      </c>
      <c r="D1678" t="n">
        <v>0</v>
      </c>
      <c r="E1678" t="s">
        <v>1678</v>
      </c>
      <c r="F1678" t="s"/>
      <c r="G1678" t="s"/>
      <c r="H1678" t="s"/>
      <c r="I1678" t="s"/>
      <c r="J1678" t="n">
        <v>0.4939</v>
      </c>
      <c r="K1678" t="n">
        <v>0</v>
      </c>
      <c r="L1678" t="n">
        <v>0.738</v>
      </c>
      <c r="M1678" t="n">
        <v>0.262</v>
      </c>
    </row>
    <row r="1679" spans="1:13">
      <c r="A1679" s="1">
        <f>HYPERLINK("http://www.twitter.com/NathanBLawrence/status/992423450999513088", "992423450999513088")</f>
        <v/>
      </c>
      <c r="B1679" s="2" t="n">
        <v>43224.63846064815</v>
      </c>
      <c r="C1679" t="n">
        <v>0</v>
      </c>
      <c r="D1679" t="n">
        <v>8</v>
      </c>
      <c r="E1679" t="s">
        <v>1679</v>
      </c>
      <c r="F1679">
        <f>HYPERLINK("http://pbs.twimg.com/media/DcXLt7rUwAURieP.jpg", "http://pbs.twimg.com/media/DcXLt7rUwAURieP.jpg")</f>
        <v/>
      </c>
      <c r="G1679" t="s"/>
      <c r="H1679" t="s"/>
      <c r="I1679" t="s"/>
      <c r="J1679" t="n">
        <v>0</v>
      </c>
      <c r="K1679" t="n">
        <v>0</v>
      </c>
      <c r="L1679" t="n">
        <v>1</v>
      </c>
      <c r="M1679" t="n">
        <v>0</v>
      </c>
    </row>
    <row r="1680" spans="1:13">
      <c r="A1680" s="1">
        <f>HYPERLINK("http://www.twitter.com/NathanBLawrence/status/992423291301359617", "992423291301359617")</f>
        <v/>
      </c>
      <c r="B1680" s="2" t="n">
        <v>43224.63802083334</v>
      </c>
      <c r="C1680" t="n">
        <v>9</v>
      </c>
      <c r="D1680" t="n">
        <v>8</v>
      </c>
      <c r="E1680" t="s">
        <v>1680</v>
      </c>
      <c r="F1680">
        <f>HYPERLINK("http://pbs.twimg.com/media/DcXLt7rUwAURieP.jpg", "http://pbs.twimg.com/media/DcXLt7rUwAURieP.jpg")</f>
        <v/>
      </c>
      <c r="G1680" t="s"/>
      <c r="H1680" t="s"/>
      <c r="I1680" t="s"/>
      <c r="J1680" t="n">
        <v>0</v>
      </c>
      <c r="K1680" t="n">
        <v>0</v>
      </c>
      <c r="L1680" t="n">
        <v>1</v>
      </c>
      <c r="M1680" t="n">
        <v>0</v>
      </c>
    </row>
    <row r="1681" spans="1:13">
      <c r="A1681" s="1">
        <f>HYPERLINK("http://www.twitter.com/NathanBLawrence/status/992423175026892800", "992423175026892800")</f>
        <v/>
      </c>
      <c r="B1681" s="2" t="n">
        <v>43224.63769675926</v>
      </c>
      <c r="C1681" t="n">
        <v>0</v>
      </c>
      <c r="D1681" t="n">
        <v>5</v>
      </c>
      <c r="E1681" t="s">
        <v>1681</v>
      </c>
      <c r="F1681" t="s"/>
      <c r="G1681" t="s"/>
      <c r="H1681" t="s"/>
      <c r="I1681" t="s"/>
      <c r="J1681" t="n">
        <v>0</v>
      </c>
      <c r="K1681" t="n">
        <v>0</v>
      </c>
      <c r="L1681" t="n">
        <v>1</v>
      </c>
      <c r="M1681" t="n">
        <v>0</v>
      </c>
    </row>
    <row r="1682" spans="1:13">
      <c r="A1682" s="1">
        <f>HYPERLINK("http://www.twitter.com/NathanBLawrence/status/992423112976330755", "992423112976330755")</f>
        <v/>
      </c>
      <c r="B1682" s="2" t="n">
        <v>43224.63753472222</v>
      </c>
      <c r="C1682" t="n">
        <v>0</v>
      </c>
      <c r="D1682" t="n">
        <v>2</v>
      </c>
      <c r="E1682" t="s">
        <v>1682</v>
      </c>
      <c r="F1682" t="s"/>
      <c r="G1682" t="s"/>
      <c r="H1682" t="s"/>
      <c r="I1682" t="s"/>
      <c r="J1682" t="n">
        <v>0</v>
      </c>
      <c r="K1682" t="n">
        <v>0</v>
      </c>
      <c r="L1682" t="n">
        <v>1</v>
      </c>
      <c r="M1682" t="n">
        <v>0</v>
      </c>
    </row>
    <row r="1683" spans="1:13">
      <c r="A1683" s="1">
        <f>HYPERLINK("http://www.twitter.com/NathanBLawrence/status/992423066394419201", "992423066394419201")</f>
        <v/>
      </c>
      <c r="B1683" s="2" t="n">
        <v>43224.6374074074</v>
      </c>
      <c r="C1683" t="n">
        <v>0</v>
      </c>
      <c r="D1683" t="n">
        <v>1</v>
      </c>
      <c r="E1683" t="s">
        <v>1683</v>
      </c>
      <c r="F1683" t="s"/>
      <c r="G1683" t="s"/>
      <c r="H1683" t="s"/>
      <c r="I1683" t="s"/>
      <c r="J1683" t="n">
        <v>0</v>
      </c>
      <c r="K1683" t="n">
        <v>0</v>
      </c>
      <c r="L1683" t="n">
        <v>1</v>
      </c>
      <c r="M1683" t="n">
        <v>0</v>
      </c>
    </row>
    <row r="1684" spans="1:13">
      <c r="A1684" s="1">
        <f>HYPERLINK("http://www.twitter.com/NathanBLawrence/status/992422979295436800", "992422979295436800")</f>
        <v/>
      </c>
      <c r="B1684" s="2" t="n">
        <v>43224.63716435185</v>
      </c>
      <c r="C1684" t="n">
        <v>0</v>
      </c>
      <c r="D1684" t="n">
        <v>1</v>
      </c>
      <c r="E1684" t="s">
        <v>1684</v>
      </c>
      <c r="F1684" t="s"/>
      <c r="G1684" t="s"/>
      <c r="H1684" t="s"/>
      <c r="I1684" t="s"/>
      <c r="J1684" t="n">
        <v>0.4215</v>
      </c>
      <c r="K1684" t="n">
        <v>0</v>
      </c>
      <c r="L1684" t="n">
        <v>0.882</v>
      </c>
      <c r="M1684" t="n">
        <v>0.118</v>
      </c>
    </row>
    <row r="1685" spans="1:13">
      <c r="A1685" s="1">
        <f>HYPERLINK("http://www.twitter.com/NathanBLawrence/status/992422543083622400", "992422543083622400")</f>
        <v/>
      </c>
      <c r="B1685" s="2" t="n">
        <v>43224.63596064815</v>
      </c>
      <c r="C1685" t="n">
        <v>0</v>
      </c>
      <c r="D1685" t="n">
        <v>49</v>
      </c>
      <c r="E1685" t="s">
        <v>1685</v>
      </c>
      <c r="F1685" t="s"/>
      <c r="G1685" t="s"/>
      <c r="H1685" t="s"/>
      <c r="I1685" t="s"/>
      <c r="J1685" t="n">
        <v>0.25</v>
      </c>
      <c r="K1685" t="n">
        <v>0.083</v>
      </c>
      <c r="L1685" t="n">
        <v>0.795</v>
      </c>
      <c r="M1685" t="n">
        <v>0.121</v>
      </c>
    </row>
    <row r="1686" spans="1:13">
      <c r="A1686" s="1">
        <f>HYPERLINK("http://www.twitter.com/NathanBLawrence/status/992422213663019013", "992422213663019013")</f>
        <v/>
      </c>
      <c r="B1686" s="2" t="n">
        <v>43224.63504629629</v>
      </c>
      <c r="C1686" t="n">
        <v>0</v>
      </c>
      <c r="D1686" t="n">
        <v>9</v>
      </c>
      <c r="E1686" t="s">
        <v>1686</v>
      </c>
      <c r="F1686" t="s"/>
      <c r="G1686" t="s"/>
      <c r="H1686" t="s"/>
      <c r="I1686" t="s"/>
      <c r="J1686" t="n">
        <v>-0.296</v>
      </c>
      <c r="K1686" t="n">
        <v>0.126</v>
      </c>
      <c r="L1686" t="n">
        <v>0.798</v>
      </c>
      <c r="M1686" t="n">
        <v>0.076</v>
      </c>
    </row>
    <row r="1687" spans="1:13">
      <c r="A1687" s="1">
        <f>HYPERLINK("http://www.twitter.com/NathanBLawrence/status/992422176165978113", "992422176165978113")</f>
        <v/>
      </c>
      <c r="B1687" s="2" t="n">
        <v>43224.63494212963</v>
      </c>
      <c r="C1687" t="n">
        <v>13</v>
      </c>
      <c r="D1687" t="n">
        <v>13</v>
      </c>
      <c r="E1687" t="s">
        <v>1687</v>
      </c>
      <c r="F1687" t="s"/>
      <c r="G1687" t="s"/>
      <c r="H1687" t="s"/>
      <c r="I1687" t="s"/>
      <c r="J1687" t="n">
        <v>0.8270999999999999</v>
      </c>
      <c r="K1687" t="n">
        <v>0</v>
      </c>
      <c r="L1687" t="n">
        <v>0.661</v>
      </c>
      <c r="M1687" t="n">
        <v>0.339</v>
      </c>
    </row>
    <row r="1688" spans="1:13">
      <c r="A1688" s="1">
        <f>HYPERLINK("http://www.twitter.com/NathanBLawrence/status/992421100008112128", "992421100008112128")</f>
        <v/>
      </c>
      <c r="B1688" s="2" t="n">
        <v>43224.63197916667</v>
      </c>
      <c r="C1688" t="n">
        <v>0</v>
      </c>
      <c r="D1688" t="n">
        <v>2</v>
      </c>
      <c r="E1688" t="s">
        <v>1688</v>
      </c>
      <c r="F1688" t="s"/>
      <c r="G1688" t="s"/>
      <c r="H1688" t="s"/>
      <c r="I1688" t="s"/>
      <c r="J1688" t="n">
        <v>0</v>
      </c>
      <c r="K1688" t="n">
        <v>0</v>
      </c>
      <c r="L1688" t="n">
        <v>1</v>
      </c>
      <c r="M1688" t="n">
        <v>0</v>
      </c>
    </row>
    <row r="1689" spans="1:13">
      <c r="A1689" s="1">
        <f>HYPERLINK("http://www.twitter.com/NathanBLawrence/status/992420988645199873", "992420988645199873")</f>
        <v/>
      </c>
      <c r="B1689" s="2" t="n">
        <v>43224.63166666667</v>
      </c>
      <c r="C1689" t="n">
        <v>0</v>
      </c>
      <c r="D1689" t="n">
        <v>2</v>
      </c>
      <c r="E1689" t="s">
        <v>1689</v>
      </c>
      <c r="F1689">
        <f>HYPERLINK("http://pbs.twimg.com/media/DcXJjZ4VQAEu0VX.jpg", "http://pbs.twimg.com/media/DcXJjZ4VQAEu0VX.jpg")</f>
        <v/>
      </c>
      <c r="G1689" t="s"/>
      <c r="H1689" t="s"/>
      <c r="I1689" t="s"/>
      <c r="J1689" t="n">
        <v>0</v>
      </c>
      <c r="K1689" t="n">
        <v>0</v>
      </c>
      <c r="L1689" t="n">
        <v>1</v>
      </c>
      <c r="M1689" t="n">
        <v>0</v>
      </c>
    </row>
    <row r="1690" spans="1:13">
      <c r="A1690" s="1">
        <f>HYPERLINK("http://www.twitter.com/NathanBLawrence/status/992420910144655360", "992420910144655360")</f>
        <v/>
      </c>
      <c r="B1690" s="2" t="n">
        <v>43224.63144675926</v>
      </c>
      <c r="C1690" t="n">
        <v>1</v>
      </c>
      <c r="D1690" t="n">
        <v>2</v>
      </c>
      <c r="E1690" t="s">
        <v>1690</v>
      </c>
      <c r="F1690">
        <f>HYPERLINK("http://pbs.twimg.com/media/DcXJjZ4VQAEu0VX.jpg", "http://pbs.twimg.com/media/DcXJjZ4VQAEu0VX.jpg")</f>
        <v/>
      </c>
      <c r="G1690" t="s"/>
      <c r="H1690" t="s"/>
      <c r="I1690" t="s"/>
      <c r="J1690" t="n">
        <v>0</v>
      </c>
      <c r="K1690" t="n">
        <v>0</v>
      </c>
      <c r="L1690" t="n">
        <v>1</v>
      </c>
      <c r="M1690" t="n">
        <v>0</v>
      </c>
    </row>
    <row r="1691" spans="1:13">
      <c r="A1691" s="1">
        <f>HYPERLINK("http://www.twitter.com/NathanBLawrence/status/992420228196896768", "992420228196896768")</f>
        <v/>
      </c>
      <c r="B1691" s="2" t="n">
        <v>43224.62957175926</v>
      </c>
      <c r="C1691" t="n">
        <v>0</v>
      </c>
      <c r="D1691" t="n">
        <v>7</v>
      </c>
      <c r="E1691" t="s">
        <v>1691</v>
      </c>
      <c r="F1691" t="s"/>
      <c r="G1691" t="s"/>
      <c r="H1691" t="s"/>
      <c r="I1691" t="s"/>
      <c r="J1691" t="n">
        <v>0</v>
      </c>
      <c r="K1691" t="n">
        <v>0</v>
      </c>
      <c r="L1691" t="n">
        <v>1</v>
      </c>
      <c r="M1691" t="n">
        <v>0</v>
      </c>
    </row>
    <row r="1692" spans="1:13">
      <c r="A1692" s="1">
        <f>HYPERLINK("http://www.twitter.com/NathanBLawrence/status/992420038891200513", "992420038891200513")</f>
        <v/>
      </c>
      <c r="B1692" s="2" t="n">
        <v>43224.62905092593</v>
      </c>
      <c r="C1692" t="n">
        <v>0</v>
      </c>
      <c r="D1692" t="n">
        <v>1</v>
      </c>
      <c r="E1692" t="s">
        <v>1692</v>
      </c>
      <c r="F1692" t="s"/>
      <c r="G1692" t="s"/>
      <c r="H1692" t="s"/>
      <c r="I1692" t="s"/>
      <c r="J1692" t="n">
        <v>-0.9375</v>
      </c>
      <c r="K1692" t="n">
        <v>0.456</v>
      </c>
      <c r="L1692" t="n">
        <v>0.441</v>
      </c>
      <c r="M1692" t="n">
        <v>0.103</v>
      </c>
    </row>
    <row r="1693" spans="1:13">
      <c r="A1693" s="1">
        <f>HYPERLINK("http://www.twitter.com/NathanBLawrence/status/992419477936574464", "992419477936574464")</f>
        <v/>
      </c>
      <c r="B1693" s="2" t="n">
        <v>43224.6275</v>
      </c>
      <c r="C1693" t="n">
        <v>6</v>
      </c>
      <c r="D1693" t="n">
        <v>3</v>
      </c>
      <c r="E1693" t="s">
        <v>1693</v>
      </c>
      <c r="F1693" t="s"/>
      <c r="G1693" t="s"/>
      <c r="H1693" t="s"/>
      <c r="I1693" t="s"/>
      <c r="J1693" t="n">
        <v>0.7579</v>
      </c>
      <c r="K1693" t="n">
        <v>0</v>
      </c>
      <c r="L1693" t="n">
        <v>0.789</v>
      </c>
      <c r="M1693" t="n">
        <v>0.211</v>
      </c>
    </row>
    <row r="1694" spans="1:13">
      <c r="A1694" s="1">
        <f>HYPERLINK("http://www.twitter.com/NathanBLawrence/status/992419184964505600", "992419184964505600")</f>
        <v/>
      </c>
      <c r="B1694" s="2" t="n">
        <v>43224.62668981482</v>
      </c>
      <c r="C1694" t="n">
        <v>0</v>
      </c>
      <c r="D1694" t="n">
        <v>3</v>
      </c>
      <c r="E1694" t="s">
        <v>1694</v>
      </c>
      <c r="F1694" t="s"/>
      <c r="G1694" t="s"/>
      <c r="H1694" t="s"/>
      <c r="I1694" t="s"/>
      <c r="J1694" t="n">
        <v>0</v>
      </c>
      <c r="K1694" t="n">
        <v>0</v>
      </c>
      <c r="L1694" t="n">
        <v>1</v>
      </c>
      <c r="M1694" t="n">
        <v>0</v>
      </c>
    </row>
    <row r="1695" spans="1:13">
      <c r="A1695" s="1">
        <f>HYPERLINK("http://www.twitter.com/NathanBLawrence/status/992419026386210816", "992419026386210816")</f>
        <v/>
      </c>
      <c r="B1695" s="2" t="n">
        <v>43224.62625</v>
      </c>
      <c r="C1695" t="n">
        <v>0</v>
      </c>
      <c r="D1695" t="n">
        <v>21</v>
      </c>
      <c r="E1695" t="s">
        <v>1695</v>
      </c>
      <c r="F1695" t="s"/>
      <c r="G1695" t="s"/>
      <c r="H1695" t="s"/>
      <c r="I1695" t="s"/>
      <c r="J1695" t="n">
        <v>0.3182</v>
      </c>
      <c r="K1695" t="n">
        <v>0</v>
      </c>
      <c r="L1695" t="n">
        <v>0.859</v>
      </c>
      <c r="M1695" t="n">
        <v>0.141</v>
      </c>
    </row>
    <row r="1696" spans="1:13">
      <c r="A1696" s="1">
        <f>HYPERLINK("http://www.twitter.com/NathanBLawrence/status/992418783192145920", "992418783192145920")</f>
        <v/>
      </c>
      <c r="B1696" s="2" t="n">
        <v>43224.6255787037</v>
      </c>
      <c r="C1696" t="n">
        <v>19</v>
      </c>
      <c r="D1696" t="n">
        <v>21</v>
      </c>
      <c r="E1696" t="s">
        <v>1696</v>
      </c>
      <c r="F1696" t="s"/>
      <c r="G1696" t="s"/>
      <c r="H1696" t="s"/>
      <c r="I1696" t="s"/>
      <c r="J1696" t="n">
        <v>0.0387</v>
      </c>
      <c r="K1696" t="n">
        <v>0.131</v>
      </c>
      <c r="L1696" t="n">
        <v>0.721</v>
      </c>
      <c r="M1696" t="n">
        <v>0.149</v>
      </c>
    </row>
    <row r="1697" spans="1:13">
      <c r="A1697" s="1">
        <f>HYPERLINK("http://www.twitter.com/NathanBLawrence/status/992409712498012162", "992409712498012162")</f>
        <v/>
      </c>
      <c r="B1697" s="2" t="n">
        <v>43224.60055555555</v>
      </c>
      <c r="C1697" t="n">
        <v>0</v>
      </c>
      <c r="D1697" t="n">
        <v>0</v>
      </c>
      <c r="E1697" t="s">
        <v>1697</v>
      </c>
      <c r="F1697" t="s"/>
      <c r="G1697" t="s"/>
      <c r="H1697" t="s"/>
      <c r="I1697" t="s"/>
      <c r="J1697" t="n">
        <v>0</v>
      </c>
      <c r="K1697" t="n">
        <v>0</v>
      </c>
      <c r="L1697" t="n">
        <v>1</v>
      </c>
      <c r="M1697" t="n">
        <v>0</v>
      </c>
    </row>
    <row r="1698" spans="1:13">
      <c r="A1698" s="1">
        <f>HYPERLINK("http://www.twitter.com/NathanBLawrence/status/992409666348109824", "992409666348109824")</f>
        <v/>
      </c>
      <c r="B1698" s="2" t="n">
        <v>43224.60042824074</v>
      </c>
      <c r="C1698" t="n">
        <v>0</v>
      </c>
      <c r="D1698" t="n">
        <v>63</v>
      </c>
      <c r="E1698" t="s">
        <v>1698</v>
      </c>
      <c r="F1698">
        <f>HYPERLINK("http://pbs.twimg.com/media/DcW9Yc5XkAEtyvW.jpg", "http://pbs.twimg.com/media/DcW9Yc5XkAEtyvW.jpg")</f>
        <v/>
      </c>
      <c r="G1698" t="s"/>
      <c r="H1698" t="s"/>
      <c r="I1698" t="s"/>
      <c r="J1698" t="n">
        <v>0.7845</v>
      </c>
      <c r="K1698" t="n">
        <v>0.109</v>
      </c>
      <c r="L1698" t="n">
        <v>0.514</v>
      </c>
      <c r="M1698" t="n">
        <v>0.378</v>
      </c>
    </row>
    <row r="1699" spans="1:13">
      <c r="A1699" s="1">
        <f>HYPERLINK("http://www.twitter.com/NathanBLawrence/status/992409582243864577", "992409582243864577")</f>
        <v/>
      </c>
      <c r="B1699" s="2" t="n">
        <v>43224.60019675926</v>
      </c>
      <c r="C1699" t="n">
        <v>0</v>
      </c>
      <c r="D1699" t="n">
        <v>1287</v>
      </c>
      <c r="E1699" t="s">
        <v>1699</v>
      </c>
      <c r="F1699" t="s"/>
      <c r="G1699" t="s"/>
      <c r="H1699" t="s"/>
      <c r="I1699" t="s"/>
      <c r="J1699" t="n">
        <v>-0.7906</v>
      </c>
      <c r="K1699" t="n">
        <v>0.233</v>
      </c>
      <c r="L1699" t="n">
        <v>0.767</v>
      </c>
      <c r="M1699" t="n">
        <v>0</v>
      </c>
    </row>
    <row r="1700" spans="1:13">
      <c r="A1700" s="1">
        <f>HYPERLINK("http://www.twitter.com/NathanBLawrence/status/992409552170647552", "992409552170647552")</f>
        <v/>
      </c>
      <c r="B1700" s="2" t="n">
        <v>43224.60010416667</v>
      </c>
      <c r="C1700" t="n">
        <v>0</v>
      </c>
      <c r="D1700" t="n">
        <v>3572</v>
      </c>
      <c r="E1700" t="s">
        <v>1700</v>
      </c>
      <c r="F1700" t="s"/>
      <c r="G1700" t="s"/>
      <c r="H1700" t="s"/>
      <c r="I1700" t="s"/>
      <c r="J1700" t="n">
        <v>-0.4215</v>
      </c>
      <c r="K1700" t="n">
        <v>0.232</v>
      </c>
      <c r="L1700" t="n">
        <v>0.629</v>
      </c>
      <c r="M1700" t="n">
        <v>0.139</v>
      </c>
    </row>
    <row r="1701" spans="1:13">
      <c r="A1701" s="1">
        <f>HYPERLINK("http://www.twitter.com/NathanBLawrence/status/992409410101182465", "992409410101182465")</f>
        <v/>
      </c>
      <c r="B1701" s="2" t="n">
        <v>43224.59972222222</v>
      </c>
      <c r="C1701" t="n">
        <v>0</v>
      </c>
      <c r="D1701" t="n">
        <v>2</v>
      </c>
      <c r="E1701" t="s">
        <v>1701</v>
      </c>
      <c r="F1701" t="s"/>
      <c r="G1701" t="s"/>
      <c r="H1701" t="s"/>
      <c r="I1701" t="s"/>
      <c r="J1701" t="n">
        <v>0</v>
      </c>
      <c r="K1701" t="n">
        <v>0</v>
      </c>
      <c r="L1701" t="n">
        <v>1</v>
      </c>
      <c r="M1701" t="n">
        <v>0</v>
      </c>
    </row>
    <row r="1702" spans="1:13">
      <c r="A1702" s="1">
        <f>HYPERLINK("http://www.twitter.com/NathanBLawrence/status/992405744342446080", "992405744342446080")</f>
        <v/>
      </c>
      <c r="B1702" s="2" t="n">
        <v>43224.58960648148</v>
      </c>
      <c r="C1702" t="n">
        <v>2</v>
      </c>
      <c r="D1702" t="n">
        <v>0</v>
      </c>
      <c r="E1702" t="s">
        <v>1702</v>
      </c>
      <c r="F1702" t="s"/>
      <c r="G1702" t="s"/>
      <c r="H1702" t="s"/>
      <c r="I1702" t="s"/>
      <c r="J1702" t="n">
        <v>0</v>
      </c>
      <c r="K1702" t="n">
        <v>0</v>
      </c>
      <c r="L1702" t="n">
        <v>1</v>
      </c>
      <c r="M1702" t="n">
        <v>0</v>
      </c>
    </row>
    <row r="1703" spans="1:13">
      <c r="A1703" s="1">
        <f>HYPERLINK("http://www.twitter.com/NathanBLawrence/status/992405664457744384", "992405664457744384")</f>
        <v/>
      </c>
      <c r="B1703" s="2" t="n">
        <v>43224.58938657407</v>
      </c>
      <c r="C1703" t="n">
        <v>0</v>
      </c>
      <c r="D1703" t="n">
        <v>2</v>
      </c>
      <c r="E1703" t="s">
        <v>1703</v>
      </c>
      <c r="F1703" t="s"/>
      <c r="G1703" t="s"/>
      <c r="H1703" t="s"/>
      <c r="I1703" t="s"/>
      <c r="J1703" t="n">
        <v>0.4767</v>
      </c>
      <c r="K1703" t="n">
        <v>0</v>
      </c>
      <c r="L1703" t="n">
        <v>0.83</v>
      </c>
      <c r="M1703" t="n">
        <v>0.17</v>
      </c>
    </row>
    <row r="1704" spans="1:13">
      <c r="A1704" s="1">
        <f>HYPERLINK("http://www.twitter.com/NathanBLawrence/status/992405601903837184", "992405601903837184")</f>
        <v/>
      </c>
      <c r="B1704" s="2" t="n">
        <v>43224.58921296296</v>
      </c>
      <c r="C1704" t="n">
        <v>1</v>
      </c>
      <c r="D1704" t="n">
        <v>0</v>
      </c>
      <c r="E1704" t="s">
        <v>1704</v>
      </c>
      <c r="F1704" t="s"/>
      <c r="G1704" t="s"/>
      <c r="H1704" t="s"/>
      <c r="I1704" t="s"/>
      <c r="J1704" t="n">
        <v>0</v>
      </c>
      <c r="K1704" t="n">
        <v>0</v>
      </c>
      <c r="L1704" t="n">
        <v>1</v>
      </c>
      <c r="M1704" t="n">
        <v>0</v>
      </c>
    </row>
    <row r="1705" spans="1:13">
      <c r="A1705" s="1">
        <f>HYPERLINK("http://www.twitter.com/NathanBLawrence/status/992404293847220225", "992404293847220225")</f>
        <v/>
      </c>
      <c r="B1705" s="2" t="n">
        <v>43224.58560185185</v>
      </c>
      <c r="C1705" t="n">
        <v>0</v>
      </c>
      <c r="D1705" t="n">
        <v>938</v>
      </c>
      <c r="E1705" t="s">
        <v>1705</v>
      </c>
      <c r="F1705">
        <f>HYPERLINK("http://pbs.twimg.com/media/DcWtcmhVwAUF9nn.jpg", "http://pbs.twimg.com/media/DcWtcmhVwAUF9nn.jpg")</f>
        <v/>
      </c>
      <c r="G1705" t="s"/>
      <c r="H1705" t="s"/>
      <c r="I1705" t="s"/>
      <c r="J1705" t="n">
        <v>-0.1511</v>
      </c>
      <c r="K1705" t="n">
        <v>0.07000000000000001</v>
      </c>
      <c r="L1705" t="n">
        <v>0.93</v>
      </c>
      <c r="M1705" t="n">
        <v>0</v>
      </c>
    </row>
    <row r="1706" spans="1:13">
      <c r="A1706" s="1">
        <f>HYPERLINK("http://www.twitter.com/NathanBLawrence/status/992404252508205056", "992404252508205056")</f>
        <v/>
      </c>
      <c r="B1706" s="2" t="n">
        <v>43224.58548611111</v>
      </c>
      <c r="C1706" t="n">
        <v>0</v>
      </c>
      <c r="D1706" t="n">
        <v>323</v>
      </c>
      <c r="E1706" t="s">
        <v>1706</v>
      </c>
      <c r="F1706" t="s"/>
      <c r="G1706" t="s"/>
      <c r="H1706" t="s"/>
      <c r="I1706" t="s"/>
      <c r="J1706" t="n">
        <v>0.9042</v>
      </c>
      <c r="K1706" t="n">
        <v>0.07000000000000001</v>
      </c>
      <c r="L1706" t="n">
        <v>0.475</v>
      </c>
      <c r="M1706" t="n">
        <v>0.456</v>
      </c>
    </row>
    <row r="1707" spans="1:13">
      <c r="A1707" s="1">
        <f>HYPERLINK("http://www.twitter.com/NathanBLawrence/status/992404204856774657", "992404204856774657")</f>
        <v/>
      </c>
      <c r="B1707" s="2" t="n">
        <v>43224.5853587963</v>
      </c>
      <c r="C1707" t="n">
        <v>0</v>
      </c>
      <c r="D1707" t="n">
        <v>400</v>
      </c>
      <c r="E1707" t="s">
        <v>1707</v>
      </c>
      <c r="F1707">
        <f>HYPERLINK("http://pbs.twimg.com/media/DcWxZgOU0AIkIad.jpg", "http://pbs.twimg.com/media/DcWxZgOU0AIkIad.jpg")</f>
        <v/>
      </c>
      <c r="G1707" t="s"/>
      <c r="H1707" t="s"/>
      <c r="I1707" t="s"/>
      <c r="J1707" t="n">
        <v>0.4753</v>
      </c>
      <c r="K1707" t="n">
        <v>0</v>
      </c>
      <c r="L1707" t="n">
        <v>0.872</v>
      </c>
      <c r="M1707" t="n">
        <v>0.128</v>
      </c>
    </row>
    <row r="1708" spans="1:13">
      <c r="A1708" s="1">
        <f>HYPERLINK("http://www.twitter.com/NathanBLawrence/status/992404058207150080", "992404058207150080")</f>
        <v/>
      </c>
      <c r="B1708" s="2" t="n">
        <v>43224.58495370371</v>
      </c>
      <c r="C1708" t="n">
        <v>3</v>
      </c>
      <c r="D1708" t="n">
        <v>0</v>
      </c>
      <c r="E1708" t="s">
        <v>1708</v>
      </c>
      <c r="F1708" t="s"/>
      <c r="G1708" t="s"/>
      <c r="H1708" t="s"/>
      <c r="I1708" t="s"/>
      <c r="J1708" t="n">
        <v>0</v>
      </c>
      <c r="K1708" t="n">
        <v>0</v>
      </c>
      <c r="L1708" t="n">
        <v>1</v>
      </c>
      <c r="M1708" t="n">
        <v>0</v>
      </c>
    </row>
    <row r="1709" spans="1:13">
      <c r="A1709" s="1">
        <f>HYPERLINK("http://www.twitter.com/NathanBLawrence/status/992403915139420161", "992403915139420161")</f>
        <v/>
      </c>
      <c r="B1709" s="2" t="n">
        <v>43224.58454861111</v>
      </c>
      <c r="C1709" t="n">
        <v>0</v>
      </c>
      <c r="D1709" t="n">
        <v>340</v>
      </c>
      <c r="E1709" t="s">
        <v>1709</v>
      </c>
      <c r="F1709" t="s"/>
      <c r="G1709" t="s"/>
      <c r="H1709" t="s"/>
      <c r="I1709" t="s"/>
      <c r="J1709" t="n">
        <v>0.5859</v>
      </c>
      <c r="K1709" t="n">
        <v>0</v>
      </c>
      <c r="L1709" t="n">
        <v>0.826</v>
      </c>
      <c r="M1709" t="n">
        <v>0.174</v>
      </c>
    </row>
    <row r="1710" spans="1:13">
      <c r="A1710" s="1">
        <f>HYPERLINK("http://www.twitter.com/NathanBLawrence/status/992403854229692416", "992403854229692416")</f>
        <v/>
      </c>
      <c r="B1710" s="2" t="n">
        <v>43224.58438657408</v>
      </c>
      <c r="C1710" t="n">
        <v>2</v>
      </c>
      <c r="D1710" t="n">
        <v>1</v>
      </c>
      <c r="E1710" t="s">
        <v>1710</v>
      </c>
      <c r="F1710" t="s"/>
      <c r="G1710" t="s"/>
      <c r="H1710" t="s"/>
      <c r="I1710" t="s"/>
      <c r="J1710" t="n">
        <v>0.4927</v>
      </c>
      <c r="K1710" t="n">
        <v>0</v>
      </c>
      <c r="L1710" t="n">
        <v>0.556</v>
      </c>
      <c r="M1710" t="n">
        <v>0.444</v>
      </c>
    </row>
    <row r="1711" spans="1:13">
      <c r="A1711" s="1">
        <f>HYPERLINK("http://www.twitter.com/NathanBLawrence/status/992403682099687425", "992403682099687425")</f>
        <v/>
      </c>
      <c r="B1711" s="2" t="n">
        <v>43224.58391203704</v>
      </c>
      <c r="C1711" t="n">
        <v>0</v>
      </c>
      <c r="D1711" t="n">
        <v>2801</v>
      </c>
      <c r="E1711" t="s">
        <v>1711</v>
      </c>
      <c r="F1711" t="s"/>
      <c r="G1711" t="s"/>
      <c r="H1711" t="s"/>
      <c r="I1711" t="s"/>
      <c r="J1711" t="n">
        <v>0</v>
      </c>
      <c r="K1711" t="n">
        <v>0</v>
      </c>
      <c r="L1711" t="n">
        <v>1</v>
      </c>
      <c r="M1711" t="n">
        <v>0</v>
      </c>
    </row>
    <row r="1712" spans="1:13">
      <c r="A1712" s="1">
        <f>HYPERLINK("http://www.twitter.com/NathanBLawrence/status/992402478103715840", "992402478103715840")</f>
        <v/>
      </c>
      <c r="B1712" s="2" t="n">
        <v>43224.58059027778</v>
      </c>
      <c r="C1712" t="n">
        <v>3</v>
      </c>
      <c r="D1712" t="n">
        <v>0</v>
      </c>
      <c r="E1712" t="s">
        <v>1712</v>
      </c>
      <c r="F1712" t="s"/>
      <c r="G1712" t="s"/>
      <c r="H1712" t="s"/>
      <c r="I1712" t="s"/>
      <c r="J1712" t="n">
        <v>0.4939</v>
      </c>
      <c r="K1712" t="n">
        <v>0</v>
      </c>
      <c r="L1712" t="n">
        <v>0.61</v>
      </c>
      <c r="M1712" t="n">
        <v>0.39</v>
      </c>
    </row>
    <row r="1713" spans="1:13">
      <c r="A1713" s="1">
        <f>HYPERLINK("http://www.twitter.com/NathanBLawrence/status/992401971024932865", "992401971024932865")</f>
        <v/>
      </c>
      <c r="B1713" s="2" t="n">
        <v>43224.57918981482</v>
      </c>
      <c r="C1713" t="n">
        <v>0</v>
      </c>
      <c r="D1713" t="n">
        <v>3</v>
      </c>
      <c r="E1713" t="s">
        <v>1713</v>
      </c>
      <c r="F1713">
        <f>HYPERLINK("http://pbs.twimg.com/media/DcW3uhbXUAA4JBq.jpg", "http://pbs.twimg.com/media/DcW3uhbXUAA4JBq.jpg")</f>
        <v/>
      </c>
      <c r="G1713" t="s"/>
      <c r="H1713" t="s"/>
      <c r="I1713" t="s"/>
      <c r="J1713" t="n">
        <v>0</v>
      </c>
      <c r="K1713" t="n">
        <v>0</v>
      </c>
      <c r="L1713" t="n">
        <v>1</v>
      </c>
      <c r="M1713" t="n">
        <v>0</v>
      </c>
    </row>
    <row r="1714" spans="1:13">
      <c r="A1714" s="1">
        <f>HYPERLINK("http://www.twitter.com/NathanBLawrence/status/992401913231695872", "992401913231695872")</f>
        <v/>
      </c>
      <c r="B1714" s="2" t="n">
        <v>43224.57902777778</v>
      </c>
      <c r="C1714" t="n">
        <v>1</v>
      </c>
      <c r="D1714" t="n">
        <v>1</v>
      </c>
      <c r="E1714" t="s">
        <v>1714</v>
      </c>
      <c r="F1714" t="s"/>
      <c r="G1714" t="s"/>
      <c r="H1714" t="s"/>
      <c r="I1714" t="s"/>
      <c r="J1714" t="n">
        <v>0.4588</v>
      </c>
      <c r="K1714" t="n">
        <v>0</v>
      </c>
      <c r="L1714" t="n">
        <v>0.727</v>
      </c>
      <c r="M1714" t="n">
        <v>0.273</v>
      </c>
    </row>
    <row r="1715" spans="1:13">
      <c r="A1715" s="1">
        <f>HYPERLINK("http://www.twitter.com/NathanBLawrence/status/992401126090735621", "992401126090735621")</f>
        <v/>
      </c>
      <c r="B1715" s="2" t="n">
        <v>43224.57686342593</v>
      </c>
      <c r="C1715" t="n">
        <v>14</v>
      </c>
      <c r="D1715" t="n">
        <v>13</v>
      </c>
      <c r="E1715" t="s">
        <v>1715</v>
      </c>
      <c r="F1715" t="s"/>
      <c r="G1715" t="s"/>
      <c r="H1715" t="s"/>
      <c r="I1715" t="s"/>
      <c r="J1715" t="n">
        <v>-0.6705</v>
      </c>
      <c r="K1715" t="n">
        <v>0.213</v>
      </c>
      <c r="L1715" t="n">
        <v>0.728</v>
      </c>
      <c r="M1715" t="n">
        <v>0.059</v>
      </c>
    </row>
    <row r="1716" spans="1:13">
      <c r="A1716" s="1">
        <f>HYPERLINK("http://www.twitter.com/NathanBLawrence/status/992399150154215424", "992399150154215424")</f>
        <v/>
      </c>
      <c r="B1716" s="2" t="n">
        <v>43224.57140046296</v>
      </c>
      <c r="C1716" t="n">
        <v>0</v>
      </c>
      <c r="D1716" t="n">
        <v>12</v>
      </c>
      <c r="E1716" t="s">
        <v>1716</v>
      </c>
      <c r="F1716" t="s"/>
      <c r="G1716" t="s"/>
      <c r="H1716" t="s"/>
      <c r="I1716" t="s"/>
      <c r="J1716" t="n">
        <v>0.347</v>
      </c>
      <c r="K1716" t="n">
        <v>0.097</v>
      </c>
      <c r="L1716" t="n">
        <v>0.74</v>
      </c>
      <c r="M1716" t="n">
        <v>0.163</v>
      </c>
    </row>
    <row r="1717" spans="1:13">
      <c r="A1717" s="1">
        <f>HYPERLINK("http://www.twitter.com/NathanBLawrence/status/992398942179594240", "992398942179594240")</f>
        <v/>
      </c>
      <c r="B1717" s="2" t="n">
        <v>43224.57083333333</v>
      </c>
      <c r="C1717" t="n">
        <v>0</v>
      </c>
      <c r="D1717" t="n">
        <v>106</v>
      </c>
      <c r="E1717" t="s">
        <v>1717</v>
      </c>
      <c r="F1717">
        <f>HYPERLINK("http://pbs.twimg.com/media/DcW08K3U8AAvbVE.jpg", "http://pbs.twimg.com/media/DcW08K3U8AAvbVE.jpg")</f>
        <v/>
      </c>
      <c r="G1717" t="s"/>
      <c r="H1717" t="s"/>
      <c r="I1717" t="s"/>
      <c r="J1717" t="n">
        <v>0.8784</v>
      </c>
      <c r="K1717" t="n">
        <v>0.138</v>
      </c>
      <c r="L1717" t="n">
        <v>0.515</v>
      </c>
      <c r="M1717" t="n">
        <v>0.347</v>
      </c>
    </row>
    <row r="1718" spans="1:13">
      <c r="A1718" s="1">
        <f>HYPERLINK("http://www.twitter.com/NathanBLawrence/status/992398792455606274", "992398792455606274")</f>
        <v/>
      </c>
      <c r="B1718" s="2" t="n">
        <v>43224.57041666667</v>
      </c>
      <c r="C1718" t="n">
        <v>0</v>
      </c>
      <c r="D1718" t="n">
        <v>2</v>
      </c>
      <c r="E1718" t="s">
        <v>1718</v>
      </c>
      <c r="F1718" t="s"/>
      <c r="G1718" t="s"/>
      <c r="H1718" t="s"/>
      <c r="I1718" t="s"/>
      <c r="J1718" t="n">
        <v>0</v>
      </c>
      <c r="K1718" t="n">
        <v>0</v>
      </c>
      <c r="L1718" t="n">
        <v>1</v>
      </c>
      <c r="M1718" t="n">
        <v>0</v>
      </c>
    </row>
    <row r="1719" spans="1:13">
      <c r="A1719" s="1">
        <f>HYPERLINK("http://www.twitter.com/NathanBLawrence/status/992398583600238593", "992398583600238593")</f>
        <v/>
      </c>
      <c r="B1719" s="2" t="n">
        <v>43224.56983796296</v>
      </c>
      <c r="C1719" t="n">
        <v>0</v>
      </c>
      <c r="D1719" t="n">
        <v>2</v>
      </c>
      <c r="E1719" t="s">
        <v>1719</v>
      </c>
      <c r="F1719" t="s"/>
      <c r="G1719" t="s"/>
      <c r="H1719" t="s"/>
      <c r="I1719" t="s"/>
      <c r="J1719" t="n">
        <v>0</v>
      </c>
      <c r="K1719" t="n">
        <v>0</v>
      </c>
      <c r="L1719" t="n">
        <v>1</v>
      </c>
      <c r="M1719" t="n">
        <v>0</v>
      </c>
    </row>
    <row r="1720" spans="1:13">
      <c r="A1720" s="1">
        <f>HYPERLINK("http://www.twitter.com/NathanBLawrence/status/992398433318260736", "992398433318260736")</f>
        <v/>
      </c>
      <c r="B1720" s="2" t="n">
        <v>43224.56943287037</v>
      </c>
      <c r="C1720" t="n">
        <v>0</v>
      </c>
      <c r="D1720" t="n">
        <v>0</v>
      </c>
      <c r="E1720" t="s">
        <v>1720</v>
      </c>
      <c r="F1720" t="s"/>
      <c r="G1720" t="s"/>
      <c r="H1720" t="s"/>
      <c r="I1720" t="s"/>
      <c r="J1720" t="n">
        <v>0</v>
      </c>
      <c r="K1720" t="n">
        <v>0</v>
      </c>
      <c r="L1720" t="n">
        <v>1</v>
      </c>
      <c r="M1720" t="n">
        <v>0</v>
      </c>
    </row>
    <row r="1721" spans="1:13">
      <c r="A1721" s="1">
        <f>HYPERLINK("http://www.twitter.com/NathanBLawrence/status/992398183228674048", "992398183228674048")</f>
        <v/>
      </c>
      <c r="B1721" s="2" t="n">
        <v>43224.56873842593</v>
      </c>
      <c r="C1721" t="n">
        <v>0</v>
      </c>
      <c r="D1721" t="n">
        <v>3</v>
      </c>
      <c r="E1721" t="s">
        <v>1721</v>
      </c>
      <c r="F1721" t="s"/>
      <c r="G1721" t="s"/>
      <c r="H1721" t="s"/>
      <c r="I1721" t="s"/>
      <c r="J1721" t="n">
        <v>0</v>
      </c>
      <c r="K1721" t="n">
        <v>0</v>
      </c>
      <c r="L1721" t="n">
        <v>1</v>
      </c>
      <c r="M1721" t="n">
        <v>0</v>
      </c>
    </row>
    <row r="1722" spans="1:13">
      <c r="A1722" s="1">
        <f>HYPERLINK("http://www.twitter.com/NathanBLawrence/status/992397983839858688", "992397983839858688")</f>
        <v/>
      </c>
      <c r="B1722" s="2" t="n">
        <v>43224.56818287037</v>
      </c>
      <c r="C1722" t="n">
        <v>0</v>
      </c>
      <c r="D1722" t="n">
        <v>33</v>
      </c>
      <c r="E1722" t="s">
        <v>1722</v>
      </c>
      <c r="F1722" t="s"/>
      <c r="G1722" t="s"/>
      <c r="H1722" t="s"/>
      <c r="I1722" t="s"/>
      <c r="J1722" t="n">
        <v>0</v>
      </c>
      <c r="K1722" t="n">
        <v>0</v>
      </c>
      <c r="L1722" t="n">
        <v>1</v>
      </c>
      <c r="M1722" t="n">
        <v>0</v>
      </c>
    </row>
    <row r="1723" spans="1:13">
      <c r="A1723" s="1">
        <f>HYPERLINK("http://www.twitter.com/NathanBLawrence/status/992397854021947394", "992397854021947394")</f>
        <v/>
      </c>
      <c r="B1723" s="2" t="n">
        <v>43224.56782407407</v>
      </c>
      <c r="C1723" t="n">
        <v>0</v>
      </c>
      <c r="D1723" t="n">
        <v>18</v>
      </c>
      <c r="E1723" t="s">
        <v>1723</v>
      </c>
      <c r="F1723" t="s"/>
      <c r="G1723" t="s"/>
      <c r="H1723" t="s"/>
      <c r="I1723" t="s"/>
      <c r="J1723" t="n">
        <v>0</v>
      </c>
      <c r="K1723" t="n">
        <v>0</v>
      </c>
      <c r="L1723" t="n">
        <v>1</v>
      </c>
      <c r="M1723" t="n">
        <v>0</v>
      </c>
    </row>
    <row r="1724" spans="1:13">
      <c r="A1724" s="1">
        <f>HYPERLINK("http://www.twitter.com/NathanBLawrence/status/992397797252128768", "992397797252128768")</f>
        <v/>
      </c>
      <c r="B1724" s="2" t="n">
        <v>43224.56767361111</v>
      </c>
      <c r="C1724" t="n">
        <v>23</v>
      </c>
      <c r="D1724" t="n">
        <v>18</v>
      </c>
      <c r="E1724" t="s">
        <v>1724</v>
      </c>
      <c r="F1724" t="s"/>
      <c r="G1724" t="s"/>
      <c r="H1724" t="s"/>
      <c r="I1724" t="s"/>
      <c r="J1724" t="n">
        <v>0.3182</v>
      </c>
      <c r="K1724" t="n">
        <v>0</v>
      </c>
      <c r="L1724" t="n">
        <v>0.929</v>
      </c>
      <c r="M1724" t="n">
        <v>0.07099999999999999</v>
      </c>
    </row>
    <row r="1725" spans="1:13">
      <c r="A1725" s="1">
        <f>HYPERLINK("http://www.twitter.com/NathanBLawrence/status/992396573102485505", "992396573102485505")</f>
        <v/>
      </c>
      <c r="B1725" s="2" t="n">
        <v>43224.56429398148</v>
      </c>
      <c r="C1725" t="n">
        <v>0</v>
      </c>
      <c r="D1725" t="n">
        <v>44</v>
      </c>
      <c r="E1725" t="s">
        <v>1725</v>
      </c>
      <c r="F1725" t="s"/>
      <c r="G1725" t="s"/>
      <c r="H1725" t="s"/>
      <c r="I1725" t="s"/>
      <c r="J1725" t="n">
        <v>0</v>
      </c>
      <c r="K1725" t="n">
        <v>0</v>
      </c>
      <c r="L1725" t="n">
        <v>1</v>
      </c>
      <c r="M1725" t="n">
        <v>0</v>
      </c>
    </row>
    <row r="1726" spans="1:13">
      <c r="A1726" s="1">
        <f>HYPERLINK("http://www.twitter.com/NathanBLawrence/status/992396035380187136", "992396035380187136")</f>
        <v/>
      </c>
      <c r="B1726" s="2" t="n">
        <v>43224.5628125</v>
      </c>
      <c r="C1726" t="n">
        <v>45</v>
      </c>
      <c r="D1726" t="n">
        <v>33</v>
      </c>
      <c r="E1726" t="s">
        <v>1726</v>
      </c>
      <c r="F1726" t="s"/>
      <c r="G1726" t="s"/>
      <c r="H1726" t="s"/>
      <c r="I1726" t="s"/>
      <c r="J1726" t="n">
        <v>0.8070000000000001</v>
      </c>
      <c r="K1726" t="n">
        <v>0</v>
      </c>
      <c r="L1726" t="n">
        <v>0.848</v>
      </c>
      <c r="M1726" t="n">
        <v>0.152</v>
      </c>
    </row>
    <row r="1727" spans="1:13">
      <c r="A1727" s="1">
        <f>HYPERLINK("http://www.twitter.com/NathanBLawrence/status/992394191367008256", "992394191367008256")</f>
        <v/>
      </c>
      <c r="B1727" s="2" t="n">
        <v>43224.55771990741</v>
      </c>
      <c r="C1727" t="n">
        <v>0</v>
      </c>
      <c r="D1727" t="n">
        <v>1</v>
      </c>
      <c r="E1727" t="s">
        <v>1727</v>
      </c>
      <c r="F1727" t="s"/>
      <c r="G1727" t="s"/>
      <c r="H1727" t="s"/>
      <c r="I1727" t="s"/>
      <c r="J1727" t="n">
        <v>0</v>
      </c>
      <c r="K1727" t="n">
        <v>0</v>
      </c>
      <c r="L1727" t="n">
        <v>1</v>
      </c>
      <c r="M1727" t="n">
        <v>0</v>
      </c>
    </row>
    <row r="1728" spans="1:13">
      <c r="A1728" s="1">
        <f>HYPERLINK("http://www.twitter.com/NathanBLawrence/status/992394160543068160", "992394160543068160")</f>
        <v/>
      </c>
      <c r="B1728" s="2" t="n">
        <v>43224.55763888889</v>
      </c>
      <c r="C1728" t="n">
        <v>0</v>
      </c>
      <c r="D1728" t="n">
        <v>13</v>
      </c>
      <c r="E1728" t="s">
        <v>1728</v>
      </c>
      <c r="F1728" t="s"/>
      <c r="G1728" t="s"/>
      <c r="H1728" t="s"/>
      <c r="I1728" t="s"/>
      <c r="J1728" t="n">
        <v>0</v>
      </c>
      <c r="K1728" t="n">
        <v>0</v>
      </c>
      <c r="L1728" t="n">
        <v>1</v>
      </c>
      <c r="M1728" t="n">
        <v>0</v>
      </c>
    </row>
    <row r="1729" spans="1:13">
      <c r="A1729" s="1">
        <f>HYPERLINK("http://www.twitter.com/NathanBLawrence/status/992394143530934273", "992394143530934273")</f>
        <v/>
      </c>
      <c r="B1729" s="2" t="n">
        <v>43224.5575925926</v>
      </c>
      <c r="C1729" t="n">
        <v>0</v>
      </c>
      <c r="D1729" t="n">
        <v>14</v>
      </c>
      <c r="E1729" t="s">
        <v>1729</v>
      </c>
      <c r="F1729">
        <f>HYPERLINK("http://pbs.twimg.com/media/DcTxn6YVQAAo42U.jpg", "http://pbs.twimg.com/media/DcTxn6YVQAAo42U.jpg")</f>
        <v/>
      </c>
      <c r="G1729" t="s"/>
      <c r="H1729" t="s"/>
      <c r="I1729" t="s"/>
      <c r="J1729" t="n">
        <v>0</v>
      </c>
      <c r="K1729" t="n">
        <v>0</v>
      </c>
      <c r="L1729" t="n">
        <v>1</v>
      </c>
      <c r="M1729" t="n">
        <v>0</v>
      </c>
    </row>
    <row r="1730" spans="1:13">
      <c r="A1730" s="1">
        <f>HYPERLINK("http://www.twitter.com/NathanBLawrence/status/992394127257079809", "992394127257079809")</f>
        <v/>
      </c>
      <c r="B1730" s="2" t="n">
        <v>43224.5575462963</v>
      </c>
      <c r="C1730" t="n">
        <v>0</v>
      </c>
      <c r="D1730" t="n">
        <v>12</v>
      </c>
      <c r="E1730" t="s">
        <v>1730</v>
      </c>
      <c r="F1730">
        <f>HYPERLINK("http://pbs.twimg.com/media/DcT8bi0VAAUXBCk.jpg", "http://pbs.twimg.com/media/DcT8bi0VAAUXBCk.jpg")</f>
        <v/>
      </c>
      <c r="G1730" t="s"/>
      <c r="H1730" t="s"/>
      <c r="I1730" t="s"/>
      <c r="J1730" t="n">
        <v>0</v>
      </c>
      <c r="K1730" t="n">
        <v>0</v>
      </c>
      <c r="L1730" t="n">
        <v>1</v>
      </c>
      <c r="M1730" t="n">
        <v>0</v>
      </c>
    </row>
    <row r="1731" spans="1:13">
      <c r="A1731" s="1">
        <f>HYPERLINK("http://www.twitter.com/NathanBLawrence/status/992394110077108225", "992394110077108225")</f>
        <v/>
      </c>
      <c r="B1731" s="2" t="n">
        <v>43224.5575</v>
      </c>
      <c r="C1731" t="n">
        <v>0</v>
      </c>
      <c r="D1731" t="n">
        <v>14</v>
      </c>
      <c r="E1731" t="s">
        <v>1731</v>
      </c>
      <c r="F1731">
        <f>HYPERLINK("http://pbs.twimg.com/media/DcTpkUWUQAAAV_9.jpg", "http://pbs.twimg.com/media/DcTpkUWUQAAAV_9.jpg")</f>
        <v/>
      </c>
      <c r="G1731" t="s"/>
      <c r="H1731" t="s"/>
      <c r="I1731" t="s"/>
      <c r="J1731" t="n">
        <v>0</v>
      </c>
      <c r="K1731" t="n">
        <v>0</v>
      </c>
      <c r="L1731" t="n">
        <v>1</v>
      </c>
      <c r="M1731" t="n">
        <v>0</v>
      </c>
    </row>
    <row r="1732" spans="1:13">
      <c r="A1732" s="1">
        <f>HYPERLINK("http://www.twitter.com/NathanBLawrence/status/992394092943421440", "992394092943421440")</f>
        <v/>
      </c>
      <c r="B1732" s="2" t="n">
        <v>43224.5574537037</v>
      </c>
      <c r="C1732" t="n">
        <v>0</v>
      </c>
      <c r="D1732" t="n">
        <v>8</v>
      </c>
      <c r="E1732" t="s">
        <v>1732</v>
      </c>
      <c r="F1732">
        <f>HYPERLINK("http://pbs.twimg.com/media/DcTpUlKVAAAvInA.jpg", "http://pbs.twimg.com/media/DcTpUlKVAAAvInA.jpg")</f>
        <v/>
      </c>
      <c r="G1732" t="s"/>
      <c r="H1732" t="s"/>
      <c r="I1732" t="s"/>
      <c r="J1732" t="n">
        <v>0</v>
      </c>
      <c r="K1732" t="n">
        <v>0</v>
      </c>
      <c r="L1732" t="n">
        <v>1</v>
      </c>
      <c r="M1732" t="n">
        <v>0</v>
      </c>
    </row>
    <row r="1733" spans="1:13">
      <c r="A1733" s="1">
        <f>HYPERLINK("http://www.twitter.com/NathanBLawrence/status/992394077730729985", "992394077730729985")</f>
        <v/>
      </c>
      <c r="B1733" s="2" t="n">
        <v>43224.55740740741</v>
      </c>
      <c r="C1733" t="n">
        <v>0</v>
      </c>
      <c r="D1733" t="n">
        <v>20</v>
      </c>
      <c r="E1733" t="s">
        <v>1733</v>
      </c>
      <c r="F1733">
        <f>HYPERLINK("http://pbs.twimg.com/media/DcTY-bzV0AAt6WH.jpg", "http://pbs.twimg.com/media/DcTY-bzV0AAt6WH.jpg")</f>
        <v/>
      </c>
      <c r="G1733" t="s"/>
      <c r="H1733" t="s"/>
      <c r="I1733" t="s"/>
      <c r="J1733" t="n">
        <v>0</v>
      </c>
      <c r="K1733" t="n">
        <v>0</v>
      </c>
      <c r="L1733" t="n">
        <v>1</v>
      </c>
      <c r="M1733" t="n">
        <v>0</v>
      </c>
    </row>
    <row r="1734" spans="1:13">
      <c r="A1734" s="1">
        <f>HYPERLINK("http://www.twitter.com/NathanBLawrence/status/992394054552948736", "992394054552948736")</f>
        <v/>
      </c>
      <c r="B1734" s="2" t="n">
        <v>43224.55734953703</v>
      </c>
      <c r="C1734" t="n">
        <v>0</v>
      </c>
      <c r="D1734" t="n">
        <v>112</v>
      </c>
      <c r="E1734" t="s">
        <v>1734</v>
      </c>
      <c r="F1734">
        <f>HYPERLINK("http://pbs.twimg.com/media/DcTYQGOV0AAtLbp.jpg", "http://pbs.twimg.com/media/DcTYQGOV0AAtLbp.jpg")</f>
        <v/>
      </c>
      <c r="G1734" t="s"/>
      <c r="H1734" t="s"/>
      <c r="I1734" t="s"/>
      <c r="J1734" t="n">
        <v>0</v>
      </c>
      <c r="K1734" t="n">
        <v>0</v>
      </c>
      <c r="L1734" t="n">
        <v>1</v>
      </c>
      <c r="M1734" t="n">
        <v>0</v>
      </c>
    </row>
    <row r="1735" spans="1:13">
      <c r="A1735" s="1">
        <f>HYPERLINK("http://www.twitter.com/NathanBLawrence/status/992394036576210944", "992394036576210944")</f>
        <v/>
      </c>
      <c r="B1735" s="2" t="n">
        <v>43224.55729166666</v>
      </c>
      <c r="C1735" t="n">
        <v>0</v>
      </c>
      <c r="D1735" t="n">
        <v>21</v>
      </c>
      <c r="E1735" t="s">
        <v>1735</v>
      </c>
      <c r="F1735">
        <f>HYPERLINK("http://pbs.twimg.com/media/DcTTo84U0AATh15.jpg", "http://pbs.twimg.com/media/DcTTo84U0AATh15.jpg")</f>
        <v/>
      </c>
      <c r="G1735" t="s"/>
      <c r="H1735" t="s"/>
      <c r="I1735" t="s"/>
      <c r="J1735" t="n">
        <v>0.4466</v>
      </c>
      <c r="K1735" t="n">
        <v>0</v>
      </c>
      <c r="L1735" t="n">
        <v>0.705</v>
      </c>
      <c r="M1735" t="n">
        <v>0.295</v>
      </c>
    </row>
    <row r="1736" spans="1:13">
      <c r="A1736" s="1">
        <f>HYPERLINK("http://www.twitter.com/NathanBLawrence/status/992394023280226304", "992394023280226304")</f>
        <v/>
      </c>
      <c r="B1736" s="2" t="n">
        <v>43224.55725694444</v>
      </c>
      <c r="C1736" t="n">
        <v>0</v>
      </c>
      <c r="D1736" t="n">
        <v>21</v>
      </c>
      <c r="E1736" t="s">
        <v>1736</v>
      </c>
      <c r="F1736">
        <f>HYPERLINK("http://pbs.twimg.com/media/DcTTcD0VMAAnW2w.jpg", "http://pbs.twimg.com/media/DcTTcD0VMAAnW2w.jpg")</f>
        <v/>
      </c>
      <c r="G1736" t="s"/>
      <c r="H1736" t="s"/>
      <c r="I1736" t="s"/>
      <c r="J1736" t="n">
        <v>0</v>
      </c>
      <c r="K1736" t="n">
        <v>0</v>
      </c>
      <c r="L1736" t="n">
        <v>1</v>
      </c>
      <c r="M1736" t="n">
        <v>0</v>
      </c>
    </row>
    <row r="1737" spans="1:13">
      <c r="A1737" s="1">
        <f>HYPERLINK("http://www.twitter.com/NathanBLawrence/status/992393999238524935", "992393999238524935")</f>
        <v/>
      </c>
      <c r="B1737" s="2" t="n">
        <v>43224.5571875</v>
      </c>
      <c r="C1737" t="n">
        <v>0</v>
      </c>
      <c r="D1737" t="n">
        <v>20</v>
      </c>
      <c r="E1737" t="s">
        <v>1737</v>
      </c>
      <c r="F1737">
        <f>HYPERLINK("http://pbs.twimg.com/media/DcTTQWOVQAAyAcz.jpg", "http://pbs.twimg.com/media/DcTTQWOVQAAyAcz.jpg")</f>
        <v/>
      </c>
      <c r="G1737" t="s"/>
      <c r="H1737" t="s"/>
      <c r="I1737" t="s"/>
      <c r="J1737" t="n">
        <v>0</v>
      </c>
      <c r="K1737" t="n">
        <v>0</v>
      </c>
      <c r="L1737" t="n">
        <v>1</v>
      </c>
      <c r="M1737" t="n">
        <v>0</v>
      </c>
    </row>
    <row r="1738" spans="1:13">
      <c r="A1738" s="1">
        <f>HYPERLINK("http://www.twitter.com/NathanBLawrence/status/992393986076798977", "992393986076798977")</f>
        <v/>
      </c>
      <c r="B1738" s="2" t="n">
        <v>43224.55715277778</v>
      </c>
      <c r="C1738" t="n">
        <v>0</v>
      </c>
      <c r="D1738" t="n">
        <v>13</v>
      </c>
      <c r="E1738" t="s">
        <v>1738</v>
      </c>
      <c r="F1738">
        <f>HYPERLINK("http://pbs.twimg.com/media/DcTTGxKV0AADIyU.jpg", "http://pbs.twimg.com/media/DcTTGxKV0AADIyU.jpg")</f>
        <v/>
      </c>
      <c r="G1738" t="s"/>
      <c r="H1738" t="s"/>
      <c r="I1738" t="s"/>
      <c r="J1738" t="n">
        <v>0.4995</v>
      </c>
      <c r="K1738" t="n">
        <v>0</v>
      </c>
      <c r="L1738" t="n">
        <v>0.6840000000000001</v>
      </c>
      <c r="M1738" t="n">
        <v>0.316</v>
      </c>
    </row>
    <row r="1739" spans="1:13">
      <c r="A1739" s="1">
        <f>HYPERLINK("http://www.twitter.com/NathanBLawrence/status/992393959715561472", "992393959715561472")</f>
        <v/>
      </c>
      <c r="B1739" s="2" t="n">
        <v>43224.55708333333</v>
      </c>
      <c r="C1739" t="n">
        <v>0</v>
      </c>
      <c r="D1739" t="n">
        <v>18</v>
      </c>
      <c r="E1739" t="s">
        <v>1739</v>
      </c>
      <c r="F1739">
        <f>HYPERLINK("http://pbs.twimg.com/media/DcTS50aV0AAbMR1.jpg", "http://pbs.twimg.com/media/DcTS50aV0AAbMR1.jpg")</f>
        <v/>
      </c>
      <c r="G1739" t="s"/>
      <c r="H1739" t="s"/>
      <c r="I1739" t="s"/>
      <c r="J1739" t="n">
        <v>0</v>
      </c>
      <c r="K1739" t="n">
        <v>0</v>
      </c>
      <c r="L1739" t="n">
        <v>1</v>
      </c>
      <c r="M1739" t="n">
        <v>0</v>
      </c>
    </row>
    <row r="1740" spans="1:13">
      <c r="A1740" s="1">
        <f>HYPERLINK("http://www.twitter.com/NathanBLawrence/status/992393944175693824", "992393944175693824")</f>
        <v/>
      </c>
      <c r="B1740" s="2" t="n">
        <v>43224.55703703704</v>
      </c>
      <c r="C1740" t="n">
        <v>0</v>
      </c>
      <c r="D1740" t="n">
        <v>23</v>
      </c>
      <c r="E1740" t="s">
        <v>1740</v>
      </c>
      <c r="F1740">
        <f>HYPERLINK("http://pbs.twimg.com/media/DcTSq2aU8AAFfOI.jpg", "http://pbs.twimg.com/media/DcTSq2aU8AAFfOI.jpg")</f>
        <v/>
      </c>
      <c r="G1740" t="s"/>
      <c r="H1740" t="s"/>
      <c r="I1740" t="s"/>
      <c r="J1740" t="n">
        <v>0</v>
      </c>
      <c r="K1740" t="n">
        <v>0</v>
      </c>
      <c r="L1740" t="n">
        <v>1</v>
      </c>
      <c r="M1740" t="n">
        <v>0</v>
      </c>
    </row>
    <row r="1741" spans="1:13">
      <c r="A1741" s="1">
        <f>HYPERLINK("http://www.twitter.com/NathanBLawrence/status/992393920431697921", "992393920431697921")</f>
        <v/>
      </c>
      <c r="B1741" s="2" t="n">
        <v>43224.55697916666</v>
      </c>
      <c r="C1741" t="n">
        <v>0</v>
      </c>
      <c r="D1741" t="n">
        <v>22</v>
      </c>
      <c r="E1741" t="s">
        <v>1741</v>
      </c>
      <c r="F1741">
        <f>HYPERLINK("http://pbs.twimg.com/media/DcTSgFmV0AAVOVW.jpg", "http://pbs.twimg.com/media/DcTSgFmV0AAVOVW.jpg")</f>
        <v/>
      </c>
      <c r="G1741" t="s"/>
      <c r="H1741" t="s"/>
      <c r="I1741" t="s"/>
      <c r="J1741" t="n">
        <v>0</v>
      </c>
      <c r="K1741" t="n">
        <v>0</v>
      </c>
      <c r="L1741" t="n">
        <v>1</v>
      </c>
      <c r="M1741" t="n">
        <v>0</v>
      </c>
    </row>
    <row r="1742" spans="1:13">
      <c r="A1742" s="1">
        <f>HYPERLINK("http://www.twitter.com/NathanBLawrence/status/992393906070450178", "992393906070450178")</f>
        <v/>
      </c>
      <c r="B1742" s="2" t="n">
        <v>43224.55693287037</v>
      </c>
      <c r="C1742" t="n">
        <v>0</v>
      </c>
      <c r="D1742" t="n">
        <v>13</v>
      </c>
      <c r="E1742" t="s">
        <v>1742</v>
      </c>
      <c r="F1742">
        <f>HYPERLINK("http://pbs.twimg.com/media/DcTSUy8VMAAAB48.jpg", "http://pbs.twimg.com/media/DcTSUy8VMAAAB48.jpg")</f>
        <v/>
      </c>
      <c r="G1742" t="s"/>
      <c r="H1742" t="s"/>
      <c r="I1742" t="s"/>
      <c r="J1742" t="n">
        <v>0</v>
      </c>
      <c r="K1742" t="n">
        <v>0</v>
      </c>
      <c r="L1742" t="n">
        <v>1</v>
      </c>
      <c r="M1742" t="n">
        <v>0</v>
      </c>
    </row>
    <row r="1743" spans="1:13">
      <c r="A1743" s="1">
        <f>HYPERLINK("http://www.twitter.com/NathanBLawrence/status/992393892078211072", "992393892078211072")</f>
        <v/>
      </c>
      <c r="B1743" s="2" t="n">
        <v>43224.55689814815</v>
      </c>
      <c r="C1743" t="n">
        <v>0</v>
      </c>
      <c r="D1743" t="n">
        <v>13</v>
      </c>
      <c r="E1743" t="s">
        <v>1743</v>
      </c>
      <c r="F1743">
        <f>HYPERLINK("http://pbs.twimg.com/media/DcTSKIvU0AENmTx.jpg", "http://pbs.twimg.com/media/DcTSKIvU0AENmTx.jpg")</f>
        <v/>
      </c>
      <c r="G1743" t="s"/>
      <c r="H1743" t="s"/>
      <c r="I1743" t="s"/>
      <c r="J1743" t="n">
        <v>0</v>
      </c>
      <c r="K1743" t="n">
        <v>0</v>
      </c>
      <c r="L1743" t="n">
        <v>1</v>
      </c>
      <c r="M1743" t="n">
        <v>0</v>
      </c>
    </row>
    <row r="1744" spans="1:13">
      <c r="A1744" s="1">
        <f>HYPERLINK("http://www.twitter.com/NathanBLawrence/status/992393878241243142", "992393878241243142")</f>
        <v/>
      </c>
      <c r="B1744" s="2" t="n">
        <v>43224.55686342593</v>
      </c>
      <c r="C1744" t="n">
        <v>0</v>
      </c>
      <c r="D1744" t="n">
        <v>16</v>
      </c>
      <c r="E1744" t="s">
        <v>1744</v>
      </c>
      <c r="F1744">
        <f>HYPERLINK("http://pbs.twimg.com/media/DcTRtr7U0AAOthX.jpg", "http://pbs.twimg.com/media/DcTRtr7U0AAOthX.jpg")</f>
        <v/>
      </c>
      <c r="G1744" t="s"/>
      <c r="H1744" t="s"/>
      <c r="I1744" t="s"/>
      <c r="J1744" t="n">
        <v>0</v>
      </c>
      <c r="K1744" t="n">
        <v>0</v>
      </c>
      <c r="L1744" t="n">
        <v>1</v>
      </c>
      <c r="M1744" t="n">
        <v>0</v>
      </c>
    </row>
    <row r="1745" spans="1:13">
      <c r="A1745" s="1">
        <f>HYPERLINK("http://www.twitter.com/NathanBLawrence/status/992393862084808704", "992393862084808704")</f>
        <v/>
      </c>
      <c r="B1745" s="2" t="n">
        <v>43224.55681712963</v>
      </c>
      <c r="C1745" t="n">
        <v>0</v>
      </c>
      <c r="D1745" t="n">
        <v>19</v>
      </c>
      <c r="E1745" t="s">
        <v>1745</v>
      </c>
      <c r="F1745">
        <f>HYPERLINK("http://pbs.twimg.com/media/DcTRkWkUQAAehMC.jpg", "http://pbs.twimg.com/media/DcTRkWkUQAAehMC.jpg")</f>
        <v/>
      </c>
      <c r="G1745" t="s"/>
      <c r="H1745" t="s"/>
      <c r="I1745" t="s"/>
      <c r="J1745" t="n">
        <v>0</v>
      </c>
      <c r="K1745" t="n">
        <v>0</v>
      </c>
      <c r="L1745" t="n">
        <v>1</v>
      </c>
      <c r="M1745" t="n">
        <v>0</v>
      </c>
    </row>
    <row r="1746" spans="1:13">
      <c r="A1746" s="1">
        <f>HYPERLINK("http://www.twitter.com/NathanBLawrence/status/992393838093324288", "992393838093324288")</f>
        <v/>
      </c>
      <c r="B1746" s="2" t="n">
        <v>43224.55674768519</v>
      </c>
      <c r="C1746" t="n">
        <v>0</v>
      </c>
      <c r="D1746" t="n">
        <v>14</v>
      </c>
      <c r="E1746" t="s">
        <v>1746</v>
      </c>
      <c r="F1746">
        <f>HYPERLINK("http://pbs.twimg.com/media/DcTRZ-JU0AAw-wO.jpg", "http://pbs.twimg.com/media/DcTRZ-JU0AAw-wO.jpg")</f>
        <v/>
      </c>
      <c r="G1746" t="s"/>
      <c r="H1746" t="s"/>
      <c r="I1746" t="s"/>
      <c r="J1746" t="n">
        <v>0</v>
      </c>
      <c r="K1746" t="n">
        <v>0</v>
      </c>
      <c r="L1746" t="n">
        <v>1</v>
      </c>
      <c r="M1746" t="n">
        <v>0</v>
      </c>
    </row>
    <row r="1747" spans="1:13">
      <c r="A1747" s="1">
        <f>HYPERLINK("http://www.twitter.com/NathanBLawrence/status/992393824067637248", "992393824067637248")</f>
        <v/>
      </c>
      <c r="B1747" s="2" t="n">
        <v>43224.55671296296</v>
      </c>
      <c r="C1747" t="n">
        <v>0</v>
      </c>
      <c r="D1747" t="n">
        <v>28</v>
      </c>
      <c r="E1747" t="s">
        <v>1747</v>
      </c>
      <c r="F1747">
        <f>HYPERLINK("http://pbs.twimg.com/media/DcTRQ0eV0AA9glH.jpg", "http://pbs.twimg.com/media/DcTRQ0eV0AA9glH.jpg")</f>
        <v/>
      </c>
      <c r="G1747" t="s"/>
      <c r="H1747" t="s"/>
      <c r="I1747" t="s"/>
      <c r="J1747" t="n">
        <v>0</v>
      </c>
      <c r="K1747" t="n">
        <v>0</v>
      </c>
      <c r="L1747" t="n">
        <v>1</v>
      </c>
      <c r="M1747" t="n">
        <v>0</v>
      </c>
    </row>
    <row r="1748" spans="1:13">
      <c r="A1748" s="1">
        <f>HYPERLINK("http://www.twitter.com/NathanBLawrence/status/992393799849664512", "992393799849664512")</f>
        <v/>
      </c>
      <c r="B1748" s="2" t="n">
        <v>43224.55664351852</v>
      </c>
      <c r="C1748" t="n">
        <v>0</v>
      </c>
      <c r="D1748" t="n">
        <v>25</v>
      </c>
      <c r="E1748" t="s">
        <v>1748</v>
      </c>
      <c r="F1748">
        <f>HYPERLINK("http://pbs.twimg.com/media/DcTRCLFV0AAH5hn.jpg", "http://pbs.twimg.com/media/DcTRCLFV0AAH5hn.jpg")</f>
        <v/>
      </c>
      <c r="G1748" t="s"/>
      <c r="H1748" t="s"/>
      <c r="I1748" t="s"/>
      <c r="J1748" t="n">
        <v>0</v>
      </c>
      <c r="K1748" t="n">
        <v>0</v>
      </c>
      <c r="L1748" t="n">
        <v>1</v>
      </c>
      <c r="M1748" t="n">
        <v>0</v>
      </c>
    </row>
    <row r="1749" spans="1:13">
      <c r="A1749" s="1">
        <f>HYPERLINK("http://www.twitter.com/NathanBLawrence/status/992393785400266753", "992393785400266753")</f>
        <v/>
      </c>
      <c r="B1749" s="2" t="n">
        <v>43224.55659722222</v>
      </c>
      <c r="C1749" t="n">
        <v>0</v>
      </c>
      <c r="D1749" t="n">
        <v>18</v>
      </c>
      <c r="E1749" t="s">
        <v>1749</v>
      </c>
      <c r="F1749">
        <f>HYPERLINK("http://pbs.twimg.com/media/DcTQ5f0UwAAp1GQ.jpg", "http://pbs.twimg.com/media/DcTQ5f0UwAAp1GQ.jpg")</f>
        <v/>
      </c>
      <c r="G1749" t="s"/>
      <c r="H1749" t="s"/>
      <c r="I1749" t="s"/>
      <c r="J1749" t="n">
        <v>0</v>
      </c>
      <c r="K1749" t="n">
        <v>0</v>
      </c>
      <c r="L1749" t="n">
        <v>1</v>
      </c>
      <c r="M1749" t="n">
        <v>0</v>
      </c>
    </row>
    <row r="1750" spans="1:13">
      <c r="A1750" s="1">
        <f>HYPERLINK("http://www.twitter.com/NathanBLawrence/status/992393767943581697", "992393767943581697")</f>
        <v/>
      </c>
      <c r="B1750" s="2" t="n">
        <v>43224.55655092592</v>
      </c>
      <c r="C1750" t="n">
        <v>0</v>
      </c>
      <c r="D1750" t="n">
        <v>16</v>
      </c>
      <c r="E1750" t="s">
        <v>1750</v>
      </c>
      <c r="F1750">
        <f>HYPERLINK("http://pbs.twimg.com/media/DcTQu0AV4AIhQR5.jpg", "http://pbs.twimg.com/media/DcTQu0AV4AIhQR5.jpg")</f>
        <v/>
      </c>
      <c r="G1750" t="s"/>
      <c r="H1750" t="s"/>
      <c r="I1750" t="s"/>
      <c r="J1750" t="n">
        <v>0</v>
      </c>
      <c r="K1750" t="n">
        <v>0</v>
      </c>
      <c r="L1750" t="n">
        <v>1</v>
      </c>
      <c r="M1750" t="n">
        <v>0</v>
      </c>
    </row>
    <row r="1751" spans="1:13">
      <c r="A1751" s="1">
        <f>HYPERLINK("http://www.twitter.com/NathanBLawrence/status/992393754358239233", "992393754358239233")</f>
        <v/>
      </c>
      <c r="B1751" s="2" t="n">
        <v>43224.5565162037</v>
      </c>
      <c r="C1751" t="n">
        <v>0</v>
      </c>
      <c r="D1751" t="n">
        <v>17</v>
      </c>
      <c r="E1751" t="s">
        <v>1751</v>
      </c>
      <c r="F1751">
        <f>HYPERLINK("http://pbs.twimg.com/media/DcTQl8aV4AALVO4.jpg", "http://pbs.twimg.com/media/DcTQl8aV4AALVO4.jpg")</f>
        <v/>
      </c>
      <c r="G1751" t="s"/>
      <c r="H1751" t="s"/>
      <c r="I1751" t="s"/>
      <c r="J1751" t="n">
        <v>0</v>
      </c>
      <c r="K1751" t="n">
        <v>0</v>
      </c>
      <c r="L1751" t="n">
        <v>1</v>
      </c>
      <c r="M1751" t="n">
        <v>0</v>
      </c>
    </row>
    <row r="1752" spans="1:13">
      <c r="A1752" s="1">
        <f>HYPERLINK("http://www.twitter.com/NathanBLawrence/status/992393741309706240", "992393741309706240")</f>
        <v/>
      </c>
      <c r="B1752" s="2" t="n">
        <v>43224.55648148148</v>
      </c>
      <c r="C1752" t="n">
        <v>0</v>
      </c>
      <c r="D1752" t="n">
        <v>25</v>
      </c>
      <c r="E1752" t="s">
        <v>1752</v>
      </c>
      <c r="F1752">
        <f>HYPERLINK("http://pbs.twimg.com/media/DcTQdWpU8AEhxbq.jpg", "http://pbs.twimg.com/media/DcTQdWpU8AEhxbq.jpg")</f>
        <v/>
      </c>
      <c r="G1752" t="s"/>
      <c r="H1752" t="s"/>
      <c r="I1752" t="s"/>
      <c r="J1752" t="n">
        <v>0</v>
      </c>
      <c r="K1752" t="n">
        <v>0</v>
      </c>
      <c r="L1752" t="n">
        <v>1</v>
      </c>
      <c r="M1752" t="n">
        <v>0</v>
      </c>
    </row>
    <row r="1753" spans="1:13">
      <c r="A1753" s="1">
        <f>HYPERLINK("http://www.twitter.com/NathanBLawrence/status/992393727158177793", "992393727158177793")</f>
        <v/>
      </c>
      <c r="B1753" s="2" t="n">
        <v>43224.55643518519</v>
      </c>
      <c r="C1753" t="n">
        <v>0</v>
      </c>
      <c r="D1753" t="n">
        <v>20</v>
      </c>
      <c r="E1753" t="s">
        <v>1753</v>
      </c>
      <c r="F1753">
        <f>HYPERLINK("http://pbs.twimg.com/media/DcTQSvhUQAAmI1f.jpg", "http://pbs.twimg.com/media/DcTQSvhUQAAmI1f.jpg")</f>
        <v/>
      </c>
      <c r="G1753" t="s"/>
      <c r="H1753" t="s"/>
      <c r="I1753" t="s"/>
      <c r="J1753" t="n">
        <v>0</v>
      </c>
      <c r="K1753" t="n">
        <v>0</v>
      </c>
      <c r="L1753" t="n">
        <v>1</v>
      </c>
      <c r="M1753" t="n">
        <v>0</v>
      </c>
    </row>
    <row r="1754" spans="1:13">
      <c r="A1754" s="1">
        <f>HYPERLINK("http://www.twitter.com/NathanBLawrence/status/992393712662704128", "992393712662704128")</f>
        <v/>
      </c>
      <c r="B1754" s="2" t="n">
        <v>43224.55640046296</v>
      </c>
      <c r="C1754" t="n">
        <v>0</v>
      </c>
      <c r="D1754" t="n">
        <v>35</v>
      </c>
      <c r="E1754" t="s">
        <v>1754</v>
      </c>
      <c r="F1754">
        <f>HYPERLINK("http://pbs.twimg.com/media/DcTQKC8VQAAqpAv.jpg", "http://pbs.twimg.com/media/DcTQKC8VQAAqpAv.jpg")</f>
        <v/>
      </c>
      <c r="G1754" t="s"/>
      <c r="H1754" t="s"/>
      <c r="I1754" t="s"/>
      <c r="J1754" t="n">
        <v>0</v>
      </c>
      <c r="K1754" t="n">
        <v>0</v>
      </c>
      <c r="L1754" t="n">
        <v>1</v>
      </c>
      <c r="M1754" t="n">
        <v>0</v>
      </c>
    </row>
    <row r="1755" spans="1:13">
      <c r="A1755" s="1">
        <f>HYPERLINK("http://www.twitter.com/NathanBLawrence/status/992393698234298368", "992393698234298368")</f>
        <v/>
      </c>
      <c r="B1755" s="2" t="n">
        <v>43224.55636574074</v>
      </c>
      <c r="C1755" t="n">
        <v>0</v>
      </c>
      <c r="D1755" t="n">
        <v>14</v>
      </c>
      <c r="E1755" t="s">
        <v>1755</v>
      </c>
      <c r="F1755">
        <f>HYPERLINK("http://pbs.twimg.com/media/DcTP04sU0AA4lkO.jpg", "http://pbs.twimg.com/media/DcTP04sU0AA4lkO.jpg")</f>
        <v/>
      </c>
      <c r="G1755" t="s"/>
      <c r="H1755" t="s"/>
      <c r="I1755" t="s"/>
      <c r="J1755" t="n">
        <v>0</v>
      </c>
      <c r="K1755" t="n">
        <v>0</v>
      </c>
      <c r="L1755" t="n">
        <v>1</v>
      </c>
      <c r="M1755" t="n">
        <v>0</v>
      </c>
    </row>
    <row r="1756" spans="1:13">
      <c r="A1756" s="1">
        <f>HYPERLINK("http://www.twitter.com/NathanBLawrence/status/992393682941890560", "992393682941890560")</f>
        <v/>
      </c>
      <c r="B1756" s="2" t="n">
        <v>43224.55631944445</v>
      </c>
      <c r="C1756" t="n">
        <v>0</v>
      </c>
      <c r="D1756" t="n">
        <v>16</v>
      </c>
      <c r="E1756" t="s">
        <v>1756</v>
      </c>
      <c r="F1756">
        <f>HYPERLINK("http://pbs.twimg.com/media/DcTPn_ZVAAAEk0W.jpg", "http://pbs.twimg.com/media/DcTPn_ZVAAAEk0W.jpg")</f>
        <v/>
      </c>
      <c r="G1756" t="s"/>
      <c r="H1756" t="s"/>
      <c r="I1756" t="s"/>
      <c r="J1756" t="n">
        <v>0</v>
      </c>
      <c r="K1756" t="n">
        <v>0</v>
      </c>
      <c r="L1756" t="n">
        <v>1</v>
      </c>
      <c r="M1756" t="n">
        <v>0</v>
      </c>
    </row>
    <row r="1757" spans="1:13">
      <c r="A1757" s="1">
        <f>HYPERLINK("http://www.twitter.com/NathanBLawrence/status/992393662343639040", "992393662343639040")</f>
        <v/>
      </c>
      <c r="B1757" s="2" t="n">
        <v>43224.55626157407</v>
      </c>
      <c r="C1757" t="n">
        <v>0</v>
      </c>
      <c r="D1757" t="n">
        <v>19</v>
      </c>
      <c r="E1757" t="s">
        <v>1757</v>
      </c>
      <c r="F1757">
        <f>HYPERLINK("http://pbs.twimg.com/media/DcTPZkkU8AA6x9j.jpg", "http://pbs.twimg.com/media/DcTPZkkU8AA6x9j.jpg")</f>
        <v/>
      </c>
      <c r="G1757" t="s"/>
      <c r="H1757" t="s"/>
      <c r="I1757" t="s"/>
      <c r="J1757" t="n">
        <v>0</v>
      </c>
      <c r="K1757" t="n">
        <v>0</v>
      </c>
      <c r="L1757" t="n">
        <v>1</v>
      </c>
      <c r="M1757" t="n">
        <v>0</v>
      </c>
    </row>
    <row r="1758" spans="1:13">
      <c r="A1758" s="1">
        <f>HYPERLINK("http://www.twitter.com/NathanBLawrence/status/992393634363437057", "992393634363437057")</f>
        <v/>
      </c>
      <c r="B1758" s="2" t="n">
        <v>43224.55618055556</v>
      </c>
      <c r="C1758" t="n">
        <v>0</v>
      </c>
      <c r="D1758" t="n">
        <v>17</v>
      </c>
      <c r="E1758" t="s">
        <v>1758</v>
      </c>
      <c r="F1758">
        <f>HYPERLINK("http://pbs.twimg.com/media/DcTPQOJVwAE_40m.jpg", "http://pbs.twimg.com/media/DcTPQOJVwAE_40m.jpg")</f>
        <v/>
      </c>
      <c r="G1758" t="s"/>
      <c r="H1758" t="s"/>
      <c r="I1758" t="s"/>
      <c r="J1758" t="n">
        <v>0</v>
      </c>
      <c r="K1758" t="n">
        <v>0</v>
      </c>
      <c r="L1758" t="n">
        <v>1</v>
      </c>
      <c r="M1758" t="n">
        <v>0</v>
      </c>
    </row>
    <row r="1759" spans="1:13">
      <c r="A1759" s="1">
        <f>HYPERLINK("http://www.twitter.com/NathanBLawrence/status/992393620396310534", "992393620396310534")</f>
        <v/>
      </c>
      <c r="B1759" s="2" t="n">
        <v>43224.55614583333</v>
      </c>
      <c r="C1759" t="n">
        <v>0</v>
      </c>
      <c r="D1759" t="n">
        <v>21</v>
      </c>
      <c r="E1759" t="s">
        <v>1759</v>
      </c>
      <c r="F1759">
        <f>HYPERLINK("http://pbs.twimg.com/media/DcTPD5KUQAAmjeM.jpg", "http://pbs.twimg.com/media/DcTPD5KUQAAmjeM.jpg")</f>
        <v/>
      </c>
      <c r="G1759" t="s"/>
      <c r="H1759" t="s"/>
      <c r="I1759" t="s"/>
      <c r="J1759" t="n">
        <v>0</v>
      </c>
      <c r="K1759" t="n">
        <v>0</v>
      </c>
      <c r="L1759" t="n">
        <v>1</v>
      </c>
      <c r="M1759" t="n">
        <v>0</v>
      </c>
    </row>
    <row r="1760" spans="1:13">
      <c r="A1760" s="1">
        <f>HYPERLINK("http://www.twitter.com/NathanBLawrence/status/992393605087186946", "992393605087186946")</f>
        <v/>
      </c>
      <c r="B1760" s="2" t="n">
        <v>43224.55609953704</v>
      </c>
      <c r="C1760" t="n">
        <v>0</v>
      </c>
      <c r="D1760" t="n">
        <v>14</v>
      </c>
      <c r="E1760" t="s">
        <v>1760</v>
      </c>
      <c r="F1760">
        <f>HYPERLINK("http://pbs.twimg.com/media/DcT5RPLVQAAhMKQ.jpg", "http://pbs.twimg.com/media/DcT5RPLVQAAhMKQ.jpg")</f>
        <v/>
      </c>
      <c r="G1760" t="s"/>
      <c r="H1760" t="s"/>
      <c r="I1760" t="s"/>
      <c r="J1760" t="n">
        <v>0</v>
      </c>
      <c r="K1760" t="n">
        <v>0</v>
      </c>
      <c r="L1760" t="n">
        <v>1</v>
      </c>
      <c r="M1760" t="n">
        <v>0</v>
      </c>
    </row>
    <row r="1761" spans="1:13">
      <c r="A1761" s="1">
        <f>HYPERLINK("http://www.twitter.com/NathanBLawrence/status/992393580261068807", "992393580261068807")</f>
        <v/>
      </c>
      <c r="B1761" s="2" t="n">
        <v>43224.55603009259</v>
      </c>
      <c r="C1761" t="n">
        <v>0</v>
      </c>
      <c r="D1761" t="n">
        <v>34</v>
      </c>
      <c r="E1761" t="s">
        <v>1761</v>
      </c>
      <c r="F1761">
        <f>HYPERLINK("http://pbs.twimg.com/media/DcTOy1qVMAAAOy2.jpg", "http://pbs.twimg.com/media/DcTOy1qVMAAAOy2.jpg")</f>
        <v/>
      </c>
      <c r="G1761" t="s"/>
      <c r="H1761" t="s"/>
      <c r="I1761" t="s"/>
      <c r="J1761" t="n">
        <v>0</v>
      </c>
      <c r="K1761" t="n">
        <v>0</v>
      </c>
      <c r="L1761" t="n">
        <v>1</v>
      </c>
      <c r="M1761" t="n">
        <v>0</v>
      </c>
    </row>
    <row r="1762" spans="1:13">
      <c r="A1762" s="1">
        <f>HYPERLINK("http://www.twitter.com/NathanBLawrence/status/992393561630019584", "992393561630019584")</f>
        <v/>
      </c>
      <c r="B1762" s="2" t="n">
        <v>43224.55598379629</v>
      </c>
      <c r="C1762" t="n">
        <v>0</v>
      </c>
      <c r="D1762" t="n">
        <v>36</v>
      </c>
      <c r="E1762" t="s">
        <v>1762</v>
      </c>
      <c r="F1762">
        <f>HYPERLINK("http://pbs.twimg.com/media/DcTOn0_U0AA34u1.jpg", "http://pbs.twimg.com/media/DcTOn0_U0AA34u1.jpg")</f>
        <v/>
      </c>
      <c r="G1762" t="s"/>
      <c r="H1762" t="s"/>
      <c r="I1762" t="s"/>
      <c r="J1762" t="n">
        <v>0</v>
      </c>
      <c r="K1762" t="n">
        <v>0</v>
      </c>
      <c r="L1762" t="n">
        <v>1</v>
      </c>
      <c r="M1762" t="n">
        <v>0</v>
      </c>
    </row>
    <row r="1763" spans="1:13">
      <c r="A1763" s="1">
        <f>HYPERLINK("http://www.twitter.com/NathanBLawrence/status/992393541824413697", "992393541824413697")</f>
        <v/>
      </c>
      <c r="B1763" s="2" t="n">
        <v>43224.55592592592</v>
      </c>
      <c r="C1763" t="n">
        <v>0</v>
      </c>
      <c r="D1763" t="n">
        <v>22</v>
      </c>
      <c r="E1763" t="s">
        <v>1763</v>
      </c>
      <c r="F1763">
        <f>HYPERLINK("http://pbs.twimg.com/media/DcTOdVNUwAAypfG.jpg", "http://pbs.twimg.com/media/DcTOdVNUwAAypfG.jpg")</f>
        <v/>
      </c>
      <c r="G1763" t="s"/>
      <c r="H1763" t="s"/>
      <c r="I1763" t="s"/>
      <c r="J1763" t="n">
        <v>0</v>
      </c>
      <c r="K1763" t="n">
        <v>0</v>
      </c>
      <c r="L1763" t="n">
        <v>1</v>
      </c>
      <c r="M1763" t="n">
        <v>0</v>
      </c>
    </row>
    <row r="1764" spans="1:13">
      <c r="A1764" s="1">
        <f>HYPERLINK("http://www.twitter.com/NathanBLawrence/status/992393420860686336", "992393420860686336")</f>
        <v/>
      </c>
      <c r="B1764" s="2" t="n">
        <v>43224.55559027778</v>
      </c>
      <c r="C1764" t="n">
        <v>13</v>
      </c>
      <c r="D1764" t="n">
        <v>11</v>
      </c>
      <c r="E1764" t="s">
        <v>1764</v>
      </c>
      <c r="F1764" t="s"/>
      <c r="G1764" t="s"/>
      <c r="H1764" t="s"/>
      <c r="I1764" t="s"/>
      <c r="J1764" t="n">
        <v>0.8625</v>
      </c>
      <c r="K1764" t="n">
        <v>0.05</v>
      </c>
      <c r="L1764" t="n">
        <v>0.6820000000000001</v>
      </c>
      <c r="M1764" t="n">
        <v>0.268</v>
      </c>
    </row>
    <row r="1765" spans="1:13">
      <c r="A1765" s="1">
        <f>HYPERLINK("http://www.twitter.com/NathanBLawrence/status/992390385338081283", "992390385338081283")</f>
        <v/>
      </c>
      <c r="B1765" s="2" t="n">
        <v>43224.54722222222</v>
      </c>
      <c r="C1765" t="n">
        <v>0</v>
      </c>
      <c r="D1765" t="n">
        <v>45</v>
      </c>
      <c r="E1765" t="s">
        <v>1765</v>
      </c>
      <c r="F1765" t="s"/>
      <c r="G1765" t="s"/>
      <c r="H1765" t="s"/>
      <c r="I1765" t="s"/>
      <c r="J1765" t="n">
        <v>-0.6298</v>
      </c>
      <c r="K1765" t="n">
        <v>0.179</v>
      </c>
      <c r="L1765" t="n">
        <v>0.821</v>
      </c>
      <c r="M1765" t="n">
        <v>0</v>
      </c>
    </row>
    <row r="1766" spans="1:13">
      <c r="A1766" s="1">
        <f>HYPERLINK("http://www.twitter.com/NathanBLawrence/status/992390111865262081", "992390111865262081")</f>
        <v/>
      </c>
      <c r="B1766" s="2" t="n">
        <v>43224.54646990741</v>
      </c>
      <c r="C1766" t="n">
        <v>0</v>
      </c>
      <c r="D1766" t="n">
        <v>48</v>
      </c>
      <c r="E1766" t="s">
        <v>1766</v>
      </c>
      <c r="F1766">
        <f>HYPERLINK("http://pbs.twimg.com/media/DcU8fr6VQAMivot.jpg", "http://pbs.twimg.com/media/DcU8fr6VQAMivot.jpg")</f>
        <v/>
      </c>
      <c r="G1766" t="s"/>
      <c r="H1766" t="s"/>
      <c r="I1766" t="s"/>
      <c r="J1766" t="n">
        <v>0.5255</v>
      </c>
      <c r="K1766" t="n">
        <v>0.112</v>
      </c>
      <c r="L1766" t="n">
        <v>0.6889999999999999</v>
      </c>
      <c r="M1766" t="n">
        <v>0.199</v>
      </c>
    </row>
    <row r="1767" spans="1:13">
      <c r="A1767" s="1">
        <f>HYPERLINK("http://www.twitter.com/NathanBLawrence/status/992390034081935362", "992390034081935362")</f>
        <v/>
      </c>
      <c r="B1767" s="2" t="n">
        <v>43224.54625</v>
      </c>
      <c r="C1767" t="n">
        <v>0</v>
      </c>
      <c r="D1767" t="n">
        <v>104</v>
      </c>
      <c r="E1767" t="s">
        <v>1767</v>
      </c>
      <c r="F1767" t="s"/>
      <c r="G1767" t="s"/>
      <c r="H1767" t="s"/>
      <c r="I1767" t="s"/>
      <c r="J1767" t="n">
        <v>0.7712</v>
      </c>
      <c r="K1767" t="n">
        <v>0</v>
      </c>
      <c r="L1767" t="n">
        <v>0.718</v>
      </c>
      <c r="M1767" t="n">
        <v>0.282</v>
      </c>
    </row>
    <row r="1768" spans="1:13">
      <c r="A1768" s="1">
        <f>HYPERLINK("http://www.twitter.com/NathanBLawrence/status/992389959465295873", "992389959465295873")</f>
        <v/>
      </c>
      <c r="B1768" s="2" t="n">
        <v>43224.54604166667</v>
      </c>
      <c r="C1768" t="n">
        <v>0</v>
      </c>
      <c r="D1768" t="n">
        <v>38</v>
      </c>
      <c r="E1768" t="s">
        <v>1768</v>
      </c>
      <c r="F1768">
        <f>HYPERLINK("http://pbs.twimg.com/media/DcWW8fLVQAET4Bi.jpg", "http://pbs.twimg.com/media/DcWW8fLVQAET4Bi.jpg")</f>
        <v/>
      </c>
      <c r="G1768" t="s"/>
      <c r="H1768" t="s"/>
      <c r="I1768" t="s"/>
      <c r="J1768" t="n">
        <v>0</v>
      </c>
      <c r="K1768" t="n">
        <v>0</v>
      </c>
      <c r="L1768" t="n">
        <v>1</v>
      </c>
      <c r="M1768" t="n">
        <v>0</v>
      </c>
    </row>
    <row r="1769" spans="1:13">
      <c r="A1769" s="1">
        <f>HYPERLINK("http://www.twitter.com/NathanBLawrence/status/992389923943706624", "992389923943706624")</f>
        <v/>
      </c>
      <c r="B1769" s="2" t="n">
        <v>43224.54594907408</v>
      </c>
      <c r="C1769" t="n">
        <v>0</v>
      </c>
      <c r="D1769" t="n">
        <v>100</v>
      </c>
      <c r="E1769" t="s">
        <v>1769</v>
      </c>
      <c r="F1769">
        <f>HYPERLINK("http://pbs.twimg.com/media/DcWX4HMVwAIFitB.jpg", "http://pbs.twimg.com/media/DcWX4HMVwAIFitB.jpg")</f>
        <v/>
      </c>
      <c r="G1769" t="s"/>
      <c r="H1769" t="s"/>
      <c r="I1769" t="s"/>
      <c r="J1769" t="n">
        <v>0</v>
      </c>
      <c r="K1769" t="n">
        <v>0</v>
      </c>
      <c r="L1769" t="n">
        <v>1</v>
      </c>
      <c r="M1769" t="n">
        <v>0</v>
      </c>
    </row>
    <row r="1770" spans="1:13">
      <c r="A1770" s="1">
        <f>HYPERLINK("http://www.twitter.com/NathanBLawrence/status/992389876543877120", "992389876543877120")</f>
        <v/>
      </c>
      <c r="B1770" s="2" t="n">
        <v>43224.54581018518</v>
      </c>
      <c r="C1770" t="n">
        <v>0</v>
      </c>
      <c r="D1770" t="n">
        <v>89</v>
      </c>
      <c r="E1770" t="s">
        <v>1770</v>
      </c>
      <c r="F1770">
        <f>HYPERLINK("http://pbs.twimg.com/media/DcWae0ZVQAEL3tf.jpg", "http://pbs.twimg.com/media/DcWae0ZVQAEL3tf.jpg")</f>
        <v/>
      </c>
      <c r="G1770" t="s"/>
      <c r="H1770" t="s"/>
      <c r="I1770" t="s"/>
      <c r="J1770" t="n">
        <v>0.6597</v>
      </c>
      <c r="K1770" t="n">
        <v>0</v>
      </c>
      <c r="L1770" t="n">
        <v>0.787</v>
      </c>
      <c r="M1770" t="n">
        <v>0.213</v>
      </c>
    </row>
    <row r="1771" spans="1:13">
      <c r="A1771" s="1">
        <f>HYPERLINK("http://www.twitter.com/NathanBLawrence/status/992389665847218176", "992389665847218176")</f>
        <v/>
      </c>
      <c r="B1771" s="2" t="n">
        <v>43224.54523148148</v>
      </c>
      <c r="C1771" t="n">
        <v>0</v>
      </c>
      <c r="D1771" t="n">
        <v>34</v>
      </c>
      <c r="E1771" t="s">
        <v>1771</v>
      </c>
      <c r="F1771">
        <f>HYPERLINK("http://pbs.twimg.com/media/DcWblYLVwAA5SV4.jpg", "http://pbs.twimg.com/media/DcWblYLVwAA5SV4.jpg")</f>
        <v/>
      </c>
      <c r="G1771" t="s"/>
      <c r="H1771" t="s"/>
      <c r="I1771" t="s"/>
      <c r="J1771" t="n">
        <v>0</v>
      </c>
      <c r="K1771" t="n">
        <v>0</v>
      </c>
      <c r="L1771" t="n">
        <v>1</v>
      </c>
      <c r="M1771" t="n">
        <v>0</v>
      </c>
    </row>
    <row r="1772" spans="1:13">
      <c r="A1772" s="1">
        <f>HYPERLINK("http://www.twitter.com/NathanBLawrence/status/992389518841012224", "992389518841012224")</f>
        <v/>
      </c>
      <c r="B1772" s="2" t="n">
        <v>43224.54482638889</v>
      </c>
      <c r="C1772" t="n">
        <v>0</v>
      </c>
      <c r="D1772" t="n">
        <v>96</v>
      </c>
      <c r="E1772" t="s">
        <v>1772</v>
      </c>
      <c r="F1772" t="s"/>
      <c r="G1772" t="s"/>
      <c r="H1772" t="s"/>
      <c r="I1772" t="s"/>
      <c r="J1772" t="n">
        <v>-0.4404</v>
      </c>
      <c r="K1772" t="n">
        <v>0.139</v>
      </c>
      <c r="L1772" t="n">
        <v>0.861</v>
      </c>
      <c r="M1772" t="n">
        <v>0</v>
      </c>
    </row>
    <row r="1773" spans="1:13">
      <c r="A1773" s="1">
        <f>HYPERLINK("http://www.twitter.com/NathanBLawrence/status/992389455259537408", "992389455259537408")</f>
        <v/>
      </c>
      <c r="B1773" s="2" t="n">
        <v>43224.54465277777</v>
      </c>
      <c r="C1773" t="n">
        <v>0</v>
      </c>
      <c r="D1773" t="n">
        <v>202</v>
      </c>
      <c r="E1773" t="s">
        <v>1773</v>
      </c>
      <c r="F1773">
        <f>HYPERLINK("https://video.twimg.com/ext_tw_video/992365158138773505/pu/vid/636x360/yPuQVtb5-7Dat8KR.mp4?tag=3", "https://video.twimg.com/ext_tw_video/992365158138773505/pu/vid/636x360/yPuQVtb5-7Dat8KR.mp4?tag=3")</f>
        <v/>
      </c>
      <c r="G1773" t="s"/>
      <c r="H1773" t="s"/>
      <c r="I1773" t="s"/>
      <c r="J1773" t="n">
        <v>0</v>
      </c>
      <c r="K1773" t="n">
        <v>0</v>
      </c>
      <c r="L1773" t="n">
        <v>1</v>
      </c>
      <c r="M1773" t="n">
        <v>0</v>
      </c>
    </row>
    <row r="1774" spans="1:13">
      <c r="A1774" s="1">
        <f>HYPERLINK("http://www.twitter.com/NathanBLawrence/status/992389299814436865", "992389299814436865")</f>
        <v/>
      </c>
      <c r="B1774" s="2" t="n">
        <v>43224.54422453704</v>
      </c>
      <c r="C1774" t="n">
        <v>0</v>
      </c>
      <c r="D1774" t="n">
        <v>261</v>
      </c>
      <c r="E1774" t="s">
        <v>1774</v>
      </c>
      <c r="F1774">
        <f>HYPERLINK("https://video.twimg.com/ext_tw_video/992383412324458498/pu/vid/1280x720/rPkNVJmBcUECAEyl.mp4?tag=3", "https://video.twimg.com/ext_tw_video/992383412324458498/pu/vid/1280x720/rPkNVJmBcUECAEyl.mp4?tag=3")</f>
        <v/>
      </c>
      <c r="G1774" t="s"/>
      <c r="H1774" t="s"/>
      <c r="I1774" t="s"/>
      <c r="J1774" t="n">
        <v>-0.8313</v>
      </c>
      <c r="K1774" t="n">
        <v>0.302</v>
      </c>
      <c r="L1774" t="n">
        <v>0.698</v>
      </c>
      <c r="M1774" t="n">
        <v>0</v>
      </c>
    </row>
    <row r="1775" spans="1:13">
      <c r="A1775" s="1">
        <f>HYPERLINK("http://www.twitter.com/NathanBLawrence/status/992389150597959680", "992389150597959680")</f>
        <v/>
      </c>
      <c r="B1775" s="2" t="n">
        <v>43224.54380787037</v>
      </c>
      <c r="C1775" t="n">
        <v>0</v>
      </c>
      <c r="D1775" t="n">
        <v>229</v>
      </c>
      <c r="E1775" t="s">
        <v>1775</v>
      </c>
      <c r="F1775">
        <f>HYPERLINK("http://pbs.twimg.com/media/DcWqR7QUwAARMNa.jpg", "http://pbs.twimg.com/media/DcWqR7QUwAARMNa.jpg")</f>
        <v/>
      </c>
      <c r="G1775" t="s"/>
      <c r="H1775" t="s"/>
      <c r="I1775" t="s"/>
      <c r="J1775" t="n">
        <v>0</v>
      </c>
      <c r="K1775" t="n">
        <v>0</v>
      </c>
      <c r="L1775" t="n">
        <v>1</v>
      </c>
      <c r="M1775" t="n">
        <v>0</v>
      </c>
    </row>
    <row r="1776" spans="1:13">
      <c r="A1776" s="1">
        <f>HYPERLINK("http://www.twitter.com/NathanBLawrence/status/992387953015099392", "992387953015099392")</f>
        <v/>
      </c>
      <c r="B1776" s="2" t="n">
        <v>43224.54050925926</v>
      </c>
      <c r="C1776" t="n">
        <v>25</v>
      </c>
      <c r="D1776" t="n">
        <v>19</v>
      </c>
      <c r="E1776" t="s">
        <v>1776</v>
      </c>
      <c r="F1776" t="s"/>
      <c r="G1776" t="s"/>
      <c r="H1776" t="s"/>
      <c r="I1776" t="s"/>
      <c r="J1776" t="n">
        <v>0.8214</v>
      </c>
      <c r="K1776" t="n">
        <v>0</v>
      </c>
      <c r="L1776" t="n">
        <v>0.715</v>
      </c>
      <c r="M1776" t="n">
        <v>0.285</v>
      </c>
    </row>
    <row r="1777" spans="1:13">
      <c r="A1777" s="1">
        <f>HYPERLINK("http://www.twitter.com/NathanBLawrence/status/992386200882368512", "992386200882368512")</f>
        <v/>
      </c>
      <c r="B1777" s="2" t="n">
        <v>43224.5356712963</v>
      </c>
      <c r="C1777" t="n">
        <v>0</v>
      </c>
      <c r="D1777" t="n">
        <v>78</v>
      </c>
      <c r="E1777" t="s">
        <v>1777</v>
      </c>
      <c r="F1777">
        <f>HYPERLINK("http://pbs.twimg.com/media/DcWfKQaX0AAfR2C.jpg", "http://pbs.twimg.com/media/DcWfKQaX0AAfR2C.jpg")</f>
        <v/>
      </c>
      <c r="G1777" t="s"/>
      <c r="H1777" t="s"/>
      <c r="I1777" t="s"/>
      <c r="J1777" t="n">
        <v>0.9245</v>
      </c>
      <c r="K1777" t="n">
        <v>0</v>
      </c>
      <c r="L1777" t="n">
        <v>0.544</v>
      </c>
      <c r="M1777" t="n">
        <v>0.456</v>
      </c>
    </row>
    <row r="1778" spans="1:13">
      <c r="A1778" s="1">
        <f>HYPERLINK("http://www.twitter.com/NathanBLawrence/status/992386022171447296", "992386022171447296")</f>
        <v/>
      </c>
      <c r="B1778" s="2" t="n">
        <v>43224.53517361111</v>
      </c>
      <c r="C1778" t="n">
        <v>0</v>
      </c>
      <c r="D1778" t="n">
        <v>22656</v>
      </c>
      <c r="E1778" t="s">
        <v>1778</v>
      </c>
      <c r="F1778" t="s"/>
      <c r="G1778" t="s"/>
      <c r="H1778" t="s"/>
      <c r="I1778" t="s"/>
      <c r="J1778" t="n">
        <v>0.3886</v>
      </c>
      <c r="K1778" t="n">
        <v>0.186</v>
      </c>
      <c r="L1778" t="n">
        <v>0.574</v>
      </c>
      <c r="M1778" t="n">
        <v>0.241</v>
      </c>
    </row>
    <row r="1779" spans="1:13">
      <c r="A1779" s="1">
        <f>HYPERLINK("http://www.twitter.com/NathanBLawrence/status/992385981834760192", "992385981834760192")</f>
        <v/>
      </c>
      <c r="B1779" s="2" t="n">
        <v>43224.53506944444</v>
      </c>
      <c r="C1779" t="n">
        <v>0</v>
      </c>
      <c r="D1779" t="n">
        <v>94</v>
      </c>
      <c r="E1779" t="s">
        <v>1779</v>
      </c>
      <c r="F1779">
        <f>HYPERLINK("http://pbs.twimg.com/media/DcWdssiV4AAuRiX.jpg", "http://pbs.twimg.com/media/DcWdssiV4AAuRiX.jpg")</f>
        <v/>
      </c>
      <c r="G1779" t="s"/>
      <c r="H1779" t="s"/>
      <c r="I1779" t="s"/>
      <c r="J1779" t="n">
        <v>-0.296</v>
      </c>
      <c r="K1779" t="n">
        <v>0.128</v>
      </c>
      <c r="L1779" t="n">
        <v>0.872</v>
      </c>
      <c r="M1779" t="n">
        <v>0</v>
      </c>
    </row>
    <row r="1780" spans="1:13">
      <c r="A1780" s="1">
        <f>HYPERLINK("http://www.twitter.com/NathanBLawrence/status/992376541618298880", "992376541618298880")</f>
        <v/>
      </c>
      <c r="B1780" s="2" t="n">
        <v>43224.5090162037</v>
      </c>
      <c r="C1780" t="n">
        <v>0</v>
      </c>
      <c r="D1780" t="n">
        <v>0</v>
      </c>
      <c r="E1780" t="s">
        <v>1780</v>
      </c>
      <c r="F1780" t="s"/>
      <c r="G1780" t="s"/>
      <c r="H1780" t="s"/>
      <c r="I1780" t="s"/>
      <c r="J1780" t="n">
        <v>0.3612</v>
      </c>
      <c r="K1780" t="n">
        <v>0</v>
      </c>
      <c r="L1780" t="n">
        <v>0.667</v>
      </c>
      <c r="M1780" t="n">
        <v>0.333</v>
      </c>
    </row>
    <row r="1781" spans="1:13">
      <c r="A1781" s="1">
        <f>HYPERLINK("http://www.twitter.com/NathanBLawrence/status/992376145776701440", "992376145776701440")</f>
        <v/>
      </c>
      <c r="B1781" s="2" t="n">
        <v>43224.50792824074</v>
      </c>
      <c r="C1781" t="n">
        <v>4</v>
      </c>
      <c r="D1781" t="n">
        <v>1</v>
      </c>
      <c r="E1781" t="s">
        <v>1781</v>
      </c>
      <c r="F1781" t="s"/>
      <c r="G1781" t="s"/>
      <c r="H1781" t="s"/>
      <c r="I1781" t="s"/>
      <c r="J1781" t="n">
        <v>0</v>
      </c>
      <c r="K1781" t="n">
        <v>0</v>
      </c>
      <c r="L1781" t="n">
        <v>1</v>
      </c>
      <c r="M1781" t="n">
        <v>0</v>
      </c>
    </row>
    <row r="1782" spans="1:13">
      <c r="A1782" s="1">
        <f>HYPERLINK("http://www.twitter.com/NathanBLawrence/status/992373997441572864", "992373997441572864")</f>
        <v/>
      </c>
      <c r="B1782" s="2" t="n">
        <v>43224.50200231482</v>
      </c>
      <c r="C1782" t="n">
        <v>0</v>
      </c>
      <c r="D1782" t="n">
        <v>31</v>
      </c>
      <c r="E1782" t="s">
        <v>1782</v>
      </c>
      <c r="F1782">
        <f>HYPERLINK("http://pbs.twimg.com/media/DcWVW25X0AA-01E.jpg", "http://pbs.twimg.com/media/DcWVW25X0AA-01E.jpg")</f>
        <v/>
      </c>
      <c r="G1782" t="s"/>
      <c r="H1782" t="s"/>
      <c r="I1782" t="s"/>
      <c r="J1782" t="n">
        <v>0.4019</v>
      </c>
      <c r="K1782" t="n">
        <v>0</v>
      </c>
      <c r="L1782" t="n">
        <v>0.899</v>
      </c>
      <c r="M1782" t="n">
        <v>0.101</v>
      </c>
    </row>
    <row r="1783" spans="1:13">
      <c r="A1783" s="1">
        <f>HYPERLINK("http://www.twitter.com/NathanBLawrence/status/992373944517824518", "992373944517824518")</f>
        <v/>
      </c>
      <c r="B1783" s="2" t="n">
        <v>43224.50185185186</v>
      </c>
      <c r="C1783" t="n">
        <v>0</v>
      </c>
      <c r="D1783" t="n">
        <v>79</v>
      </c>
      <c r="E1783" t="s">
        <v>1783</v>
      </c>
      <c r="F1783" t="s"/>
      <c r="G1783" t="s"/>
      <c r="H1783" t="s"/>
      <c r="I1783" t="s"/>
      <c r="J1783" t="n">
        <v>0.6369</v>
      </c>
      <c r="K1783" t="n">
        <v>0</v>
      </c>
      <c r="L1783" t="n">
        <v>0.865</v>
      </c>
      <c r="M1783" t="n">
        <v>0.135</v>
      </c>
    </row>
    <row r="1784" spans="1:13">
      <c r="A1784" s="1">
        <f>HYPERLINK("http://www.twitter.com/NathanBLawrence/status/992373896564310016", "992373896564310016")</f>
        <v/>
      </c>
      <c r="B1784" s="2" t="n">
        <v>43224.50172453704</v>
      </c>
      <c r="C1784" t="n">
        <v>0</v>
      </c>
      <c r="D1784" t="n">
        <v>6888</v>
      </c>
      <c r="E1784" t="s">
        <v>1784</v>
      </c>
      <c r="F1784" t="s"/>
      <c r="G1784" t="s"/>
      <c r="H1784" t="s"/>
      <c r="I1784" t="s"/>
      <c r="J1784" t="n">
        <v>0.8304</v>
      </c>
      <c r="K1784" t="n">
        <v>0</v>
      </c>
      <c r="L1784" t="n">
        <v>0.6840000000000001</v>
      </c>
      <c r="M1784" t="n">
        <v>0.316</v>
      </c>
    </row>
    <row r="1785" spans="1:13">
      <c r="A1785" s="1">
        <f>HYPERLINK("http://www.twitter.com/NathanBLawrence/status/992373871109124096", "992373871109124096")</f>
        <v/>
      </c>
      <c r="B1785" s="2" t="n">
        <v>43224.50164351852</v>
      </c>
      <c r="C1785" t="n">
        <v>9</v>
      </c>
      <c r="D1785" t="n">
        <v>0</v>
      </c>
      <c r="E1785" t="s">
        <v>1785</v>
      </c>
      <c r="F1785" t="s"/>
      <c r="G1785" t="s"/>
      <c r="H1785" t="s"/>
      <c r="I1785" t="s"/>
      <c r="J1785" t="n">
        <v>0.4201</v>
      </c>
      <c r="K1785" t="n">
        <v>0</v>
      </c>
      <c r="L1785" t="n">
        <v>0.518</v>
      </c>
      <c r="M1785" t="n">
        <v>0.482</v>
      </c>
    </row>
    <row r="1786" spans="1:13">
      <c r="A1786" s="1">
        <f>HYPERLINK("http://www.twitter.com/NathanBLawrence/status/992373751483387904", "992373751483387904")</f>
        <v/>
      </c>
      <c r="B1786" s="2" t="n">
        <v>43224.50131944445</v>
      </c>
      <c r="C1786" t="n">
        <v>0</v>
      </c>
      <c r="D1786" t="n">
        <v>279</v>
      </c>
      <c r="E1786" t="s">
        <v>1786</v>
      </c>
      <c r="F1786" t="s"/>
      <c r="G1786" t="s"/>
      <c r="H1786" t="s"/>
      <c r="I1786" t="s"/>
      <c r="J1786" t="n">
        <v>0.6956</v>
      </c>
      <c r="K1786" t="n">
        <v>0</v>
      </c>
      <c r="L1786" t="n">
        <v>0.8070000000000001</v>
      </c>
      <c r="M1786" t="n">
        <v>0.193</v>
      </c>
    </row>
    <row r="1787" spans="1:13">
      <c r="A1787" s="1">
        <f>HYPERLINK("http://www.twitter.com/NathanBLawrence/status/992373708944748544", "992373708944748544")</f>
        <v/>
      </c>
      <c r="B1787" s="2" t="n">
        <v>43224.5012037037</v>
      </c>
      <c r="C1787" t="n">
        <v>0</v>
      </c>
      <c r="D1787" t="n">
        <v>4925</v>
      </c>
      <c r="E1787" t="s">
        <v>1787</v>
      </c>
      <c r="F1787" t="s"/>
      <c r="G1787" t="s"/>
      <c r="H1787" t="s"/>
      <c r="I1787" t="s"/>
      <c r="J1787" t="n">
        <v>0</v>
      </c>
      <c r="K1787" t="n">
        <v>0</v>
      </c>
      <c r="L1787" t="n">
        <v>1</v>
      </c>
      <c r="M1787" t="n">
        <v>0</v>
      </c>
    </row>
    <row r="1788" spans="1:13">
      <c r="A1788" s="1">
        <f>HYPERLINK("http://www.twitter.com/NathanBLawrence/status/992249058348552193", "992249058348552193")</f>
        <v/>
      </c>
      <c r="B1788" s="2" t="n">
        <v>43224.15723379629</v>
      </c>
      <c r="C1788" t="n">
        <v>0</v>
      </c>
      <c r="D1788" t="n">
        <v>2</v>
      </c>
      <c r="E1788" t="s">
        <v>1788</v>
      </c>
      <c r="F1788">
        <f>HYPERLINK("http://pbs.twimg.com/media/DcT7MsaV4AAYnzO.jpg", "http://pbs.twimg.com/media/DcT7MsaV4AAYnzO.jpg")</f>
        <v/>
      </c>
      <c r="G1788" t="s"/>
      <c r="H1788" t="s"/>
      <c r="I1788" t="s"/>
      <c r="J1788" t="n">
        <v>0.4215</v>
      </c>
      <c r="K1788" t="n">
        <v>0</v>
      </c>
      <c r="L1788" t="n">
        <v>0.843</v>
      </c>
      <c r="M1788" t="n">
        <v>0.157</v>
      </c>
    </row>
    <row r="1789" spans="1:13">
      <c r="A1789" s="1">
        <f>HYPERLINK("http://www.twitter.com/NathanBLawrence/status/992249044587106304", "992249044587106304")</f>
        <v/>
      </c>
      <c r="B1789" s="2" t="n">
        <v>43224.1571875</v>
      </c>
      <c r="C1789" t="n">
        <v>0</v>
      </c>
      <c r="D1789" t="n">
        <v>5</v>
      </c>
      <c r="E1789" t="s">
        <v>1789</v>
      </c>
      <c r="F1789">
        <f>HYPERLINK("http://pbs.twimg.com/media/DcT1rsEV0AAHYx6.jpg", "http://pbs.twimg.com/media/DcT1rsEV0AAHYx6.jpg")</f>
        <v/>
      </c>
      <c r="G1789" t="s"/>
      <c r="H1789" t="s"/>
      <c r="I1789" t="s"/>
      <c r="J1789" t="n">
        <v>0.4995</v>
      </c>
      <c r="K1789" t="n">
        <v>0</v>
      </c>
      <c r="L1789" t="n">
        <v>0.8120000000000001</v>
      </c>
      <c r="M1789" t="n">
        <v>0.188</v>
      </c>
    </row>
    <row r="1790" spans="1:13">
      <c r="A1790" s="1">
        <f>HYPERLINK("http://www.twitter.com/NathanBLawrence/status/992249026513780737", "992249026513780737")</f>
        <v/>
      </c>
      <c r="B1790" s="2" t="n">
        <v>43224.1571412037</v>
      </c>
      <c r="C1790" t="n">
        <v>0</v>
      </c>
      <c r="D1790" t="n">
        <v>5</v>
      </c>
      <c r="E1790" t="s">
        <v>1790</v>
      </c>
      <c r="F1790" t="s"/>
      <c r="G1790" t="s"/>
      <c r="H1790" t="s"/>
      <c r="I1790" t="s"/>
      <c r="J1790" t="n">
        <v>0</v>
      </c>
      <c r="K1790" t="n">
        <v>0</v>
      </c>
      <c r="L1790" t="n">
        <v>1</v>
      </c>
      <c r="M1790" t="n">
        <v>0</v>
      </c>
    </row>
    <row r="1791" spans="1:13">
      <c r="A1791" s="1">
        <f>HYPERLINK("http://www.twitter.com/NathanBLawrence/status/992248972398870528", "992248972398870528")</f>
        <v/>
      </c>
      <c r="B1791" s="2" t="n">
        <v>43224.15699074074</v>
      </c>
      <c r="C1791" t="n">
        <v>0</v>
      </c>
      <c r="D1791" t="n">
        <v>43</v>
      </c>
      <c r="E1791" t="s">
        <v>1791</v>
      </c>
      <c r="F1791" t="s"/>
      <c r="G1791" t="s"/>
      <c r="H1791" t="s"/>
      <c r="I1791" t="s"/>
      <c r="J1791" t="n">
        <v>0.7579</v>
      </c>
      <c r="K1791" t="n">
        <v>0</v>
      </c>
      <c r="L1791" t="n">
        <v>0.698</v>
      </c>
      <c r="M1791" t="n">
        <v>0.302</v>
      </c>
    </row>
    <row r="1792" spans="1:13">
      <c r="A1792" s="1">
        <f>HYPERLINK("http://www.twitter.com/NathanBLawrence/status/992248875573329926", "992248875573329926")</f>
        <v/>
      </c>
      <c r="B1792" s="2" t="n">
        <v>43224.15672453704</v>
      </c>
      <c r="C1792" t="n">
        <v>0</v>
      </c>
      <c r="D1792" t="n">
        <v>13</v>
      </c>
      <c r="E1792" t="s">
        <v>14</v>
      </c>
      <c r="F1792">
        <f>HYPERLINK("http://pbs.twimg.com/media/DcUJXOEXUAAuXKn.jpg", "http://pbs.twimg.com/media/DcUJXOEXUAAuXKn.jpg")</f>
        <v/>
      </c>
      <c r="G1792" t="s"/>
      <c r="H1792" t="s"/>
      <c r="I1792" t="s"/>
      <c r="J1792" t="n">
        <v>-0.7371</v>
      </c>
      <c r="K1792" t="n">
        <v>0.258</v>
      </c>
      <c r="L1792" t="n">
        <v>0.742</v>
      </c>
      <c r="M1792" t="n">
        <v>0</v>
      </c>
    </row>
    <row r="1793" spans="1:13">
      <c r="A1793" s="1">
        <f>HYPERLINK("http://www.twitter.com/NathanBLawrence/status/992248742223921152", "992248742223921152")</f>
        <v/>
      </c>
      <c r="B1793" s="2" t="n">
        <v>43224.15635416667</v>
      </c>
      <c r="C1793" t="n">
        <v>0</v>
      </c>
      <c r="D1793" t="n">
        <v>46</v>
      </c>
      <c r="E1793" t="s">
        <v>1792</v>
      </c>
      <c r="F1793">
        <f>HYPERLINK("http://pbs.twimg.com/media/DcT1233XUAEvbnQ.jpg", "http://pbs.twimg.com/media/DcT1233XUAEvbnQ.jpg")</f>
        <v/>
      </c>
      <c r="G1793" t="s"/>
      <c r="H1793" t="s"/>
      <c r="I1793" t="s"/>
      <c r="J1793" t="n">
        <v>0.7783</v>
      </c>
      <c r="K1793" t="n">
        <v>0</v>
      </c>
      <c r="L1793" t="n">
        <v>0.673</v>
      </c>
      <c r="M1793" t="n">
        <v>0.327</v>
      </c>
    </row>
    <row r="1794" spans="1:13">
      <c r="A1794" s="1">
        <f>HYPERLINK("http://www.twitter.com/NathanBLawrence/status/992248594613731328", "992248594613731328")</f>
        <v/>
      </c>
      <c r="B1794" s="2" t="n">
        <v>43224.15594907408</v>
      </c>
      <c r="C1794" t="n">
        <v>0</v>
      </c>
      <c r="D1794" t="n">
        <v>49</v>
      </c>
      <c r="E1794" t="s">
        <v>1793</v>
      </c>
      <c r="F1794" t="s"/>
      <c r="G1794" t="s"/>
      <c r="H1794" t="s"/>
      <c r="I1794" t="s"/>
      <c r="J1794" t="n">
        <v>0</v>
      </c>
      <c r="K1794" t="n">
        <v>0</v>
      </c>
      <c r="L1794" t="n">
        <v>1</v>
      </c>
      <c r="M1794" t="n">
        <v>0</v>
      </c>
    </row>
    <row r="1795" spans="1:13">
      <c r="A1795" s="1">
        <f>HYPERLINK("http://www.twitter.com/NathanBLawrence/status/992248427953045506", "992248427953045506")</f>
        <v/>
      </c>
      <c r="B1795" s="2" t="n">
        <v>43224.15548611111</v>
      </c>
      <c r="C1795" t="n">
        <v>0</v>
      </c>
      <c r="D1795" t="n">
        <v>765</v>
      </c>
      <c r="E1795" t="s">
        <v>1794</v>
      </c>
      <c r="F1795">
        <f>HYPERLINK("http://pbs.twimg.com/media/DcTzhjcXkAAWHOT.jpg", "http://pbs.twimg.com/media/DcTzhjcXkAAWHOT.jpg")</f>
        <v/>
      </c>
      <c r="G1795" t="s"/>
      <c r="H1795" t="s"/>
      <c r="I1795" t="s"/>
      <c r="J1795" t="n">
        <v>0</v>
      </c>
      <c r="K1795" t="n">
        <v>0</v>
      </c>
      <c r="L1795" t="n">
        <v>1</v>
      </c>
      <c r="M1795" t="n">
        <v>0</v>
      </c>
    </row>
    <row r="1796" spans="1:13">
      <c r="A1796" s="1">
        <f>HYPERLINK("http://www.twitter.com/NathanBLawrence/status/992248360563179521", "992248360563179521")</f>
        <v/>
      </c>
      <c r="B1796" s="2" t="n">
        <v>43224.15530092592</v>
      </c>
      <c r="C1796" t="n">
        <v>0</v>
      </c>
      <c r="D1796" t="n">
        <v>9</v>
      </c>
      <c r="E1796" t="s">
        <v>1795</v>
      </c>
      <c r="F1796">
        <f>HYPERLINK("http://pbs.twimg.com/media/DcUbeAaWsAA1xnS.jpg", "http://pbs.twimg.com/media/DcUbeAaWsAA1xnS.jpg")</f>
        <v/>
      </c>
      <c r="G1796" t="s"/>
      <c r="H1796" t="s"/>
      <c r="I1796" t="s"/>
      <c r="J1796" t="n">
        <v>0.6908</v>
      </c>
      <c r="K1796" t="n">
        <v>0</v>
      </c>
      <c r="L1796" t="n">
        <v>0.778</v>
      </c>
      <c r="M1796" t="n">
        <v>0.222</v>
      </c>
    </row>
    <row r="1797" spans="1:13">
      <c r="A1797" s="1">
        <f>HYPERLINK("http://www.twitter.com/NathanBLawrence/status/992248251301511169", "992248251301511169")</f>
        <v/>
      </c>
      <c r="B1797" s="2" t="n">
        <v>43224.155</v>
      </c>
      <c r="C1797" t="n">
        <v>0</v>
      </c>
      <c r="D1797" t="n">
        <v>849</v>
      </c>
      <c r="E1797" t="s">
        <v>1796</v>
      </c>
      <c r="F1797" t="s"/>
      <c r="G1797" t="s"/>
      <c r="H1797" t="s"/>
      <c r="I1797" t="s"/>
      <c r="J1797" t="n">
        <v>-0.296</v>
      </c>
      <c r="K1797" t="n">
        <v>0.099</v>
      </c>
      <c r="L1797" t="n">
        <v>0.901</v>
      </c>
      <c r="M1797" t="n">
        <v>0</v>
      </c>
    </row>
    <row r="1798" spans="1:13">
      <c r="A1798" s="1">
        <f>HYPERLINK("http://www.twitter.com/NathanBLawrence/status/992248135907819521", "992248135907819521")</f>
        <v/>
      </c>
      <c r="B1798" s="2" t="n">
        <v>43224.1546875</v>
      </c>
      <c r="C1798" t="n">
        <v>0</v>
      </c>
      <c r="D1798" t="n">
        <v>7905</v>
      </c>
      <c r="E1798" t="s">
        <v>1797</v>
      </c>
      <c r="F1798" t="s"/>
      <c r="G1798" t="s"/>
      <c r="H1798" t="s"/>
      <c r="I1798" t="s"/>
      <c r="J1798" t="n">
        <v>-0.3182</v>
      </c>
      <c r="K1798" t="n">
        <v>0.091</v>
      </c>
      <c r="L1798" t="n">
        <v>0.909</v>
      </c>
      <c r="M1798" t="n">
        <v>0</v>
      </c>
    </row>
    <row r="1799" spans="1:13">
      <c r="A1799" s="1">
        <f>HYPERLINK("http://www.twitter.com/NathanBLawrence/status/992247951618490374", "992247951618490374")</f>
        <v/>
      </c>
      <c r="B1799" s="2" t="n">
        <v>43224.15417824074</v>
      </c>
      <c r="C1799" t="n">
        <v>0</v>
      </c>
      <c r="D1799" t="n">
        <v>2</v>
      </c>
      <c r="E1799" t="s">
        <v>1798</v>
      </c>
      <c r="F1799" t="s"/>
      <c r="G1799" t="s"/>
      <c r="H1799" t="s"/>
      <c r="I1799" t="s"/>
      <c r="J1799" t="n">
        <v>0.4019</v>
      </c>
      <c r="K1799" t="n">
        <v>0</v>
      </c>
      <c r="L1799" t="n">
        <v>0.856</v>
      </c>
      <c r="M1799" t="n">
        <v>0.144</v>
      </c>
    </row>
    <row r="1800" spans="1:13">
      <c r="A1800" s="1">
        <f>HYPERLINK("http://www.twitter.com/NathanBLawrence/status/992247886652977153", "992247886652977153")</f>
        <v/>
      </c>
      <c r="B1800" s="2" t="n">
        <v>43224.15399305556</v>
      </c>
      <c r="C1800" t="n">
        <v>0</v>
      </c>
      <c r="D1800" t="n">
        <v>2</v>
      </c>
      <c r="E1800" t="s">
        <v>1799</v>
      </c>
      <c r="F1800" t="s"/>
      <c r="G1800" t="s"/>
      <c r="H1800" t="s"/>
      <c r="I1800" t="s"/>
      <c r="J1800" t="n">
        <v>0.25</v>
      </c>
      <c r="K1800" t="n">
        <v>0</v>
      </c>
      <c r="L1800" t="n">
        <v>0.913</v>
      </c>
      <c r="M1800" t="n">
        <v>0.08699999999999999</v>
      </c>
    </row>
    <row r="1801" spans="1:13">
      <c r="A1801" s="1">
        <f>HYPERLINK("http://www.twitter.com/NathanBLawrence/status/992247856932122625", "992247856932122625")</f>
        <v/>
      </c>
      <c r="B1801" s="2" t="n">
        <v>43224.15391203704</v>
      </c>
      <c r="C1801" t="n">
        <v>0</v>
      </c>
      <c r="D1801" t="n">
        <v>4</v>
      </c>
      <c r="E1801" t="s">
        <v>1800</v>
      </c>
      <c r="F1801">
        <f>HYPERLINK("http://pbs.twimg.com/media/DcTvQVmV0AM147T.jpg", "http://pbs.twimg.com/media/DcTvQVmV0AM147T.jpg")</f>
        <v/>
      </c>
      <c r="G1801" t="s"/>
      <c r="H1801" t="s"/>
      <c r="I1801" t="s"/>
      <c r="J1801" t="n">
        <v>0</v>
      </c>
      <c r="K1801" t="n">
        <v>0</v>
      </c>
      <c r="L1801" t="n">
        <v>1</v>
      </c>
      <c r="M1801" t="n">
        <v>0</v>
      </c>
    </row>
    <row r="1802" spans="1:13">
      <c r="A1802" s="1">
        <f>HYPERLINK("http://www.twitter.com/NathanBLawrence/status/992247816260018176", "992247816260018176")</f>
        <v/>
      </c>
      <c r="B1802" s="2" t="n">
        <v>43224.15380787037</v>
      </c>
      <c r="C1802" t="n">
        <v>0</v>
      </c>
      <c r="D1802" t="n">
        <v>5</v>
      </c>
      <c r="E1802" t="s">
        <v>1801</v>
      </c>
      <c r="F1802" t="s"/>
      <c r="G1802" t="s"/>
      <c r="H1802" t="s"/>
      <c r="I1802" t="s"/>
      <c r="J1802" t="n">
        <v>0</v>
      </c>
      <c r="K1802" t="n">
        <v>0</v>
      </c>
      <c r="L1802" t="n">
        <v>1</v>
      </c>
      <c r="M1802" t="n">
        <v>0</v>
      </c>
    </row>
    <row r="1803" spans="1:13">
      <c r="A1803" s="1">
        <f>HYPERLINK("http://www.twitter.com/NathanBLawrence/status/992247792927035392", "992247792927035392")</f>
        <v/>
      </c>
      <c r="B1803" s="2" t="n">
        <v>43224.15373842593</v>
      </c>
      <c r="C1803" t="n">
        <v>0</v>
      </c>
      <c r="D1803" t="n">
        <v>258</v>
      </c>
      <c r="E1803" t="s">
        <v>1802</v>
      </c>
      <c r="F1803" t="s"/>
      <c r="G1803" t="s"/>
      <c r="H1803" t="s"/>
      <c r="I1803" t="s"/>
      <c r="J1803" t="n">
        <v>0.0258</v>
      </c>
      <c r="K1803" t="n">
        <v>0.173</v>
      </c>
      <c r="L1803" t="n">
        <v>0.703</v>
      </c>
      <c r="M1803" t="n">
        <v>0.124</v>
      </c>
    </row>
    <row r="1804" spans="1:13">
      <c r="A1804" s="1">
        <f>HYPERLINK("http://www.twitter.com/NathanBLawrence/status/992247503641763840", "992247503641763840")</f>
        <v/>
      </c>
      <c r="B1804" s="2" t="n">
        <v>43224.15293981481</v>
      </c>
      <c r="C1804" t="n">
        <v>0</v>
      </c>
      <c r="D1804" t="n">
        <v>8</v>
      </c>
      <c r="E1804" t="s">
        <v>1803</v>
      </c>
      <c r="F1804" t="s"/>
      <c r="G1804" t="s"/>
      <c r="H1804" t="s"/>
      <c r="I1804" t="s"/>
      <c r="J1804" t="n">
        <v>0</v>
      </c>
      <c r="K1804" t="n">
        <v>0</v>
      </c>
      <c r="L1804" t="n">
        <v>1</v>
      </c>
      <c r="M1804" t="n">
        <v>0</v>
      </c>
    </row>
    <row r="1805" spans="1:13">
      <c r="A1805" s="1">
        <f>HYPERLINK("http://www.twitter.com/NathanBLawrence/status/992247435291512832", "992247435291512832")</f>
        <v/>
      </c>
      <c r="B1805" s="2" t="n">
        <v>43224.15275462963</v>
      </c>
      <c r="C1805" t="n">
        <v>19</v>
      </c>
      <c r="D1805" t="n">
        <v>11</v>
      </c>
      <c r="E1805" t="s">
        <v>1804</v>
      </c>
      <c r="F1805" t="s"/>
      <c r="G1805" t="s"/>
      <c r="H1805" t="s"/>
      <c r="I1805" t="s"/>
      <c r="J1805" t="n">
        <v>0</v>
      </c>
      <c r="K1805" t="n">
        <v>0</v>
      </c>
      <c r="L1805" t="n">
        <v>1</v>
      </c>
      <c r="M1805" t="n">
        <v>0</v>
      </c>
    </row>
    <row r="1806" spans="1:13">
      <c r="A1806" s="1">
        <f>HYPERLINK("http://www.twitter.com/NathanBLawrence/status/992245225102901248", "992245225102901248")</f>
        <v/>
      </c>
      <c r="B1806" s="2" t="n">
        <v>43224.14665509259</v>
      </c>
      <c r="C1806" t="n">
        <v>0</v>
      </c>
      <c r="D1806" t="n">
        <v>8</v>
      </c>
      <c r="E1806" t="s">
        <v>1805</v>
      </c>
      <c r="F1806">
        <f>HYPERLINK("http://pbs.twimg.com/media/DcUnejPVMAAeQWQ.jpg", "http://pbs.twimg.com/media/DcUnejPVMAAeQWQ.jpg")</f>
        <v/>
      </c>
      <c r="G1806">
        <f>HYPERLINK("http://pbs.twimg.com/media/DcUnejUVQAElcaC.jpg", "http://pbs.twimg.com/media/DcUnejUVQAElcaC.jpg")</f>
        <v/>
      </c>
      <c r="H1806" t="s"/>
      <c r="I1806" t="s"/>
      <c r="J1806" t="n">
        <v>0</v>
      </c>
      <c r="K1806" t="n">
        <v>0</v>
      </c>
      <c r="L1806" t="n">
        <v>1</v>
      </c>
      <c r="M1806" t="n">
        <v>0</v>
      </c>
    </row>
    <row r="1807" spans="1:13">
      <c r="A1807" s="1">
        <f>HYPERLINK("http://www.twitter.com/NathanBLawrence/status/992230847582490631", "992230847582490631")</f>
        <v/>
      </c>
      <c r="B1807" s="2" t="n">
        <v>43224.10697916667</v>
      </c>
      <c r="C1807" t="n">
        <v>2</v>
      </c>
      <c r="D1807" t="n">
        <v>0</v>
      </c>
      <c r="E1807" t="s">
        <v>1806</v>
      </c>
      <c r="F1807" t="s"/>
      <c r="G1807" t="s"/>
      <c r="H1807" t="s"/>
      <c r="I1807" t="s"/>
      <c r="J1807" t="n">
        <v>0</v>
      </c>
      <c r="K1807" t="n">
        <v>0</v>
      </c>
      <c r="L1807" t="n">
        <v>1</v>
      </c>
      <c r="M1807" t="n">
        <v>0</v>
      </c>
    </row>
    <row r="1808" spans="1:13">
      <c r="A1808" s="1">
        <f>HYPERLINK("http://www.twitter.com/NathanBLawrence/status/992230772621893632", "992230772621893632")</f>
        <v/>
      </c>
      <c r="B1808" s="2" t="n">
        <v>43224.10677083334</v>
      </c>
      <c r="C1808" t="n">
        <v>0</v>
      </c>
      <c r="D1808" t="n">
        <v>422</v>
      </c>
      <c r="E1808" t="s">
        <v>1807</v>
      </c>
      <c r="F1808" t="s"/>
      <c r="G1808" t="s"/>
      <c r="H1808" t="s"/>
      <c r="I1808" t="s"/>
      <c r="J1808" t="n">
        <v>-0.4391</v>
      </c>
      <c r="K1808" t="n">
        <v>0.186</v>
      </c>
      <c r="L1808" t="n">
        <v>0.8139999999999999</v>
      </c>
      <c r="M1808" t="n">
        <v>0</v>
      </c>
    </row>
    <row r="1809" spans="1:13">
      <c r="A1809" s="1">
        <f>HYPERLINK("http://www.twitter.com/NathanBLawrence/status/992230200690855936", "992230200690855936")</f>
        <v/>
      </c>
      <c r="B1809" s="2" t="n">
        <v>43224.10519675926</v>
      </c>
      <c r="C1809" t="n">
        <v>0</v>
      </c>
      <c r="D1809" t="n">
        <v>7</v>
      </c>
      <c r="E1809" t="s">
        <v>1808</v>
      </c>
      <c r="F1809" t="s"/>
      <c r="G1809" t="s"/>
      <c r="H1809" t="s"/>
      <c r="I1809" t="s"/>
      <c r="J1809" t="n">
        <v>0.4404</v>
      </c>
      <c r="K1809" t="n">
        <v>0</v>
      </c>
      <c r="L1809" t="n">
        <v>0.775</v>
      </c>
      <c r="M1809" t="n">
        <v>0.225</v>
      </c>
    </row>
    <row r="1810" spans="1:13">
      <c r="A1810" s="1">
        <f>HYPERLINK("http://www.twitter.com/NathanBLawrence/status/992230039029772288", "992230039029772288")</f>
        <v/>
      </c>
      <c r="B1810" s="2" t="n">
        <v>43224.10474537037</v>
      </c>
      <c r="C1810" t="n">
        <v>0</v>
      </c>
      <c r="D1810" t="n">
        <v>2305</v>
      </c>
      <c r="E1810" t="s">
        <v>1809</v>
      </c>
      <c r="F1810" t="s"/>
      <c r="G1810" t="s"/>
      <c r="H1810" t="s"/>
      <c r="I1810" t="s"/>
      <c r="J1810" t="n">
        <v>0.8091</v>
      </c>
      <c r="K1810" t="n">
        <v>0</v>
      </c>
      <c r="L1810" t="n">
        <v>0.706</v>
      </c>
      <c r="M1810" t="n">
        <v>0.294</v>
      </c>
    </row>
    <row r="1811" spans="1:13">
      <c r="A1811" s="1">
        <f>HYPERLINK("http://www.twitter.com/NathanBLawrence/status/992229986324148224", "992229986324148224")</f>
        <v/>
      </c>
      <c r="B1811" s="2" t="n">
        <v>43224.10460648148</v>
      </c>
      <c r="C1811" t="n">
        <v>0</v>
      </c>
      <c r="D1811" t="n">
        <v>401</v>
      </c>
      <c r="E1811" t="s">
        <v>1810</v>
      </c>
      <c r="F1811">
        <f>HYPERLINK("http://pbs.twimg.com/media/DcPRa5XVQAAc5yK.jpg", "http://pbs.twimg.com/media/DcPRa5XVQAAc5yK.jpg")</f>
        <v/>
      </c>
      <c r="G1811" t="s"/>
      <c r="H1811" t="s"/>
      <c r="I1811" t="s"/>
      <c r="J1811" t="n">
        <v>0.5423</v>
      </c>
      <c r="K1811" t="n">
        <v>0</v>
      </c>
      <c r="L1811" t="n">
        <v>0.863</v>
      </c>
      <c r="M1811" t="n">
        <v>0.137</v>
      </c>
    </row>
    <row r="1812" spans="1:13">
      <c r="A1812" s="1">
        <f>HYPERLINK("http://www.twitter.com/NathanBLawrence/status/992229903906037765", "992229903906037765")</f>
        <v/>
      </c>
      <c r="B1812" s="2" t="n">
        <v>43224.104375</v>
      </c>
      <c r="C1812" t="n">
        <v>0</v>
      </c>
      <c r="D1812" t="n">
        <v>405</v>
      </c>
      <c r="E1812" t="s">
        <v>1811</v>
      </c>
      <c r="F1812">
        <f>HYPERLINK("https://video.twimg.com/amplify_video/854331782203719680/vid/720x720/P3hNjoKJaFa8jyBO.mp4", "https://video.twimg.com/amplify_video/854331782203719680/vid/720x720/P3hNjoKJaFa8jyBO.mp4")</f>
        <v/>
      </c>
      <c r="G1812" t="s"/>
      <c r="H1812" t="s"/>
      <c r="I1812" t="s"/>
      <c r="J1812" t="n">
        <v>0</v>
      </c>
      <c r="K1812" t="n">
        <v>0</v>
      </c>
      <c r="L1812" t="n">
        <v>1</v>
      </c>
      <c r="M1812" t="n">
        <v>0</v>
      </c>
    </row>
    <row r="1813" spans="1:13">
      <c r="A1813" s="1">
        <f>HYPERLINK("http://www.twitter.com/NathanBLawrence/status/992208901616652288", "992208901616652288")</f>
        <v/>
      </c>
      <c r="B1813" s="2" t="n">
        <v>43224.04642361111</v>
      </c>
      <c r="C1813" t="n">
        <v>0</v>
      </c>
      <c r="D1813" t="n">
        <v>5</v>
      </c>
      <c r="E1813" t="s">
        <v>1812</v>
      </c>
      <c r="F1813" t="s"/>
      <c r="G1813" t="s"/>
      <c r="H1813" t="s"/>
      <c r="I1813" t="s"/>
      <c r="J1813" t="n">
        <v>-0.4215</v>
      </c>
      <c r="K1813" t="n">
        <v>0.177</v>
      </c>
      <c r="L1813" t="n">
        <v>0.823</v>
      </c>
      <c r="M1813" t="n">
        <v>0</v>
      </c>
    </row>
    <row r="1814" spans="1:13">
      <c r="A1814" s="1">
        <f>HYPERLINK("http://www.twitter.com/NathanBLawrence/status/992208756665733122", "992208756665733122")</f>
        <v/>
      </c>
      <c r="B1814" s="2" t="n">
        <v>43224.04601851852</v>
      </c>
      <c r="C1814" t="n">
        <v>0</v>
      </c>
      <c r="D1814" t="n">
        <v>2</v>
      </c>
      <c r="E1814" t="s">
        <v>1813</v>
      </c>
      <c r="F1814" t="s"/>
      <c r="G1814" t="s"/>
      <c r="H1814" t="s"/>
      <c r="I1814" t="s"/>
      <c r="J1814" t="n">
        <v>0</v>
      </c>
      <c r="K1814" t="n">
        <v>0</v>
      </c>
      <c r="L1814" t="n">
        <v>1</v>
      </c>
      <c r="M1814" t="n">
        <v>0</v>
      </c>
    </row>
    <row r="1815" spans="1:13">
      <c r="A1815" s="1">
        <f>HYPERLINK("http://www.twitter.com/NathanBLawrence/status/992208731432734720", "992208731432734720")</f>
        <v/>
      </c>
      <c r="B1815" s="2" t="n">
        <v>43224.04594907408</v>
      </c>
      <c r="C1815" t="n">
        <v>0</v>
      </c>
      <c r="D1815" t="n">
        <v>6</v>
      </c>
      <c r="E1815" t="s">
        <v>1814</v>
      </c>
      <c r="F1815" t="s"/>
      <c r="G1815" t="s"/>
      <c r="H1815" t="s"/>
      <c r="I1815" t="s"/>
      <c r="J1815" t="n">
        <v>0</v>
      </c>
      <c r="K1815" t="n">
        <v>0</v>
      </c>
      <c r="L1815" t="n">
        <v>1</v>
      </c>
      <c r="M1815" t="n">
        <v>0</v>
      </c>
    </row>
    <row r="1816" spans="1:13">
      <c r="A1816" s="1">
        <f>HYPERLINK("http://www.twitter.com/NathanBLawrence/status/992208574695821312", "992208574695821312")</f>
        <v/>
      </c>
      <c r="B1816" s="2" t="n">
        <v>43224.04552083334</v>
      </c>
      <c r="C1816" t="n">
        <v>0</v>
      </c>
      <c r="D1816" t="n">
        <v>52</v>
      </c>
      <c r="E1816" t="s">
        <v>1815</v>
      </c>
      <c r="F1816" t="s"/>
      <c r="G1816" t="s"/>
      <c r="H1816" t="s"/>
      <c r="I1816" t="s"/>
      <c r="J1816" t="n">
        <v>-0.4019</v>
      </c>
      <c r="K1816" t="n">
        <v>0.119</v>
      </c>
      <c r="L1816" t="n">
        <v>0.881</v>
      </c>
      <c r="M1816" t="n">
        <v>0</v>
      </c>
    </row>
    <row r="1817" spans="1:13">
      <c r="A1817" s="1">
        <f>HYPERLINK("http://www.twitter.com/NathanBLawrence/status/992208255907704832", "992208255907704832")</f>
        <v/>
      </c>
      <c r="B1817" s="2" t="n">
        <v>43224.04464120371</v>
      </c>
      <c r="C1817" t="n">
        <v>1</v>
      </c>
      <c r="D1817" t="n">
        <v>0</v>
      </c>
      <c r="E1817" t="s">
        <v>1816</v>
      </c>
      <c r="F1817" t="s"/>
      <c r="G1817" t="s"/>
      <c r="H1817" t="s"/>
      <c r="I1817" t="s"/>
      <c r="J1817" t="n">
        <v>-0.0516</v>
      </c>
      <c r="K1817" t="n">
        <v>0.1</v>
      </c>
      <c r="L1817" t="n">
        <v>0.803</v>
      </c>
      <c r="M1817" t="n">
        <v>0.097</v>
      </c>
    </row>
    <row r="1818" spans="1:13">
      <c r="A1818" s="1">
        <f>HYPERLINK("http://www.twitter.com/NathanBLawrence/status/992207672094134274", "992207672094134274")</f>
        <v/>
      </c>
      <c r="B1818" s="2" t="n">
        <v>43224.0430324074</v>
      </c>
      <c r="C1818" t="n">
        <v>0</v>
      </c>
      <c r="D1818" t="n">
        <v>1</v>
      </c>
      <c r="E1818" t="s">
        <v>1817</v>
      </c>
      <c r="F1818" t="s"/>
      <c r="G1818" t="s"/>
      <c r="H1818" t="s"/>
      <c r="I1818" t="s"/>
      <c r="J1818" t="n">
        <v>0</v>
      </c>
      <c r="K1818" t="n">
        <v>0</v>
      </c>
      <c r="L1818" t="n">
        <v>1</v>
      </c>
      <c r="M1818" t="n">
        <v>0</v>
      </c>
    </row>
    <row r="1819" spans="1:13">
      <c r="A1819" s="1">
        <f>HYPERLINK("http://www.twitter.com/NathanBLawrence/status/992207342782550016", "992207342782550016")</f>
        <v/>
      </c>
      <c r="B1819" s="2" t="n">
        <v>43224.04211805556</v>
      </c>
      <c r="C1819" t="n">
        <v>1</v>
      </c>
      <c r="D1819" t="n">
        <v>1</v>
      </c>
      <c r="E1819" t="s">
        <v>1818</v>
      </c>
      <c r="F1819" t="s"/>
      <c r="G1819" t="s"/>
      <c r="H1819" t="s"/>
      <c r="I1819" t="s"/>
      <c r="J1819" t="n">
        <v>0.5483</v>
      </c>
      <c r="K1819" t="n">
        <v>0</v>
      </c>
      <c r="L1819" t="n">
        <v>0.915</v>
      </c>
      <c r="M1819" t="n">
        <v>0.08500000000000001</v>
      </c>
    </row>
    <row r="1820" spans="1:13">
      <c r="A1820" s="1">
        <f>HYPERLINK("http://www.twitter.com/NathanBLawrence/status/992206368043094016", "992206368043094016")</f>
        <v/>
      </c>
      <c r="B1820" s="2" t="n">
        <v>43224.03943287037</v>
      </c>
      <c r="C1820" t="n">
        <v>0</v>
      </c>
      <c r="D1820" t="n">
        <v>1</v>
      </c>
      <c r="E1820" t="s">
        <v>1819</v>
      </c>
      <c r="F1820" t="s"/>
      <c r="G1820" t="s"/>
      <c r="H1820" t="s"/>
      <c r="I1820" t="s"/>
      <c r="J1820" t="n">
        <v>0</v>
      </c>
      <c r="K1820" t="n">
        <v>0</v>
      </c>
      <c r="L1820" t="n">
        <v>1</v>
      </c>
      <c r="M1820" t="n">
        <v>0</v>
      </c>
    </row>
    <row r="1821" spans="1:13">
      <c r="A1821" s="1">
        <f>HYPERLINK("http://www.twitter.com/NathanBLawrence/status/992173278335815680", "992173278335815680")</f>
        <v/>
      </c>
      <c r="B1821" s="2" t="n">
        <v>43223.94811342593</v>
      </c>
      <c r="C1821" t="n">
        <v>0</v>
      </c>
      <c r="D1821" t="n">
        <v>3</v>
      </c>
      <c r="E1821" t="s">
        <v>1820</v>
      </c>
      <c r="F1821" t="s"/>
      <c r="G1821" t="s"/>
      <c r="H1821" t="s"/>
      <c r="I1821" t="s"/>
      <c r="J1821" t="n">
        <v>0.7885</v>
      </c>
      <c r="K1821" t="n">
        <v>0</v>
      </c>
      <c r="L1821" t="n">
        <v>0.709</v>
      </c>
      <c r="M1821" t="n">
        <v>0.291</v>
      </c>
    </row>
    <row r="1822" spans="1:13">
      <c r="A1822" s="1">
        <f>HYPERLINK("http://www.twitter.com/NathanBLawrence/status/992172793721737217", "992172793721737217")</f>
        <v/>
      </c>
      <c r="B1822" s="2" t="n">
        <v>43223.94678240741</v>
      </c>
      <c r="C1822" t="n">
        <v>0</v>
      </c>
      <c r="D1822" t="n">
        <v>2</v>
      </c>
      <c r="E1822" t="s">
        <v>1821</v>
      </c>
      <c r="F1822" t="s"/>
      <c r="G1822" t="s"/>
      <c r="H1822" t="s"/>
      <c r="I1822" t="s"/>
      <c r="J1822" t="n">
        <v>-0.3818</v>
      </c>
      <c r="K1822" t="n">
        <v>0.18</v>
      </c>
      <c r="L1822" t="n">
        <v>0.747</v>
      </c>
      <c r="M1822" t="n">
        <v>0.073</v>
      </c>
    </row>
    <row r="1823" spans="1:13">
      <c r="A1823" s="1">
        <f>HYPERLINK("http://www.twitter.com/NathanBLawrence/status/992172600146178048", "992172600146178048")</f>
        <v/>
      </c>
      <c r="B1823" s="2" t="n">
        <v>43223.94625</v>
      </c>
      <c r="C1823" t="n">
        <v>14</v>
      </c>
      <c r="D1823" t="n">
        <v>14</v>
      </c>
      <c r="E1823" t="s">
        <v>1822</v>
      </c>
      <c r="F1823">
        <f>HYPERLINK("http://pbs.twimg.com/media/DcTnuJLVAAA2KnF.jpg", "http://pbs.twimg.com/media/DcTnuJLVAAA2KnF.jpg")</f>
        <v/>
      </c>
      <c r="G1823" t="s"/>
      <c r="H1823" t="s"/>
      <c r="I1823" t="s"/>
      <c r="J1823" t="n">
        <v>-0.3818</v>
      </c>
      <c r="K1823" t="n">
        <v>0.14</v>
      </c>
      <c r="L1823" t="n">
        <v>0.86</v>
      </c>
      <c r="M1823" t="n">
        <v>0</v>
      </c>
    </row>
    <row r="1824" spans="1:13">
      <c r="A1824" s="1">
        <f>HYPERLINK("http://www.twitter.com/NathanBLawrence/status/992172069805789187", "992172069805789187")</f>
        <v/>
      </c>
      <c r="B1824" s="2" t="n">
        <v>43223.94478009259</v>
      </c>
      <c r="C1824" t="n">
        <v>0</v>
      </c>
      <c r="D1824" t="n">
        <v>267</v>
      </c>
      <c r="E1824" t="s">
        <v>1823</v>
      </c>
      <c r="F1824" t="s"/>
      <c r="G1824" t="s"/>
      <c r="H1824" t="s"/>
      <c r="I1824" t="s"/>
      <c r="J1824" t="n">
        <v>0</v>
      </c>
      <c r="K1824" t="n">
        <v>0</v>
      </c>
      <c r="L1824" t="n">
        <v>1</v>
      </c>
      <c r="M1824" t="n">
        <v>0</v>
      </c>
    </row>
    <row r="1825" spans="1:13">
      <c r="A1825" s="1">
        <f>HYPERLINK("http://www.twitter.com/NathanBLawrence/status/992172005347811328", "992172005347811328")</f>
        <v/>
      </c>
      <c r="B1825" s="2" t="n">
        <v>43223.94460648148</v>
      </c>
      <c r="C1825" t="n">
        <v>0</v>
      </c>
      <c r="D1825" t="n">
        <v>0</v>
      </c>
      <c r="E1825" t="s">
        <v>1824</v>
      </c>
      <c r="F1825" t="s"/>
      <c r="G1825" t="s"/>
      <c r="H1825" t="s"/>
      <c r="I1825" t="s"/>
      <c r="J1825" t="n">
        <v>0.6124000000000001</v>
      </c>
      <c r="K1825" t="n">
        <v>0</v>
      </c>
      <c r="L1825" t="n">
        <v>0.583</v>
      </c>
      <c r="M1825" t="n">
        <v>0.417</v>
      </c>
    </row>
    <row r="1826" spans="1:13">
      <c r="A1826" s="1">
        <f>HYPERLINK("http://www.twitter.com/NathanBLawrence/status/992171881297076229", "992171881297076229")</f>
        <v/>
      </c>
      <c r="B1826" s="2" t="n">
        <v>43223.94425925926</v>
      </c>
      <c r="C1826" t="n">
        <v>0</v>
      </c>
      <c r="D1826" t="n">
        <v>33</v>
      </c>
      <c r="E1826" t="s">
        <v>1825</v>
      </c>
      <c r="F1826" t="s"/>
      <c r="G1826" t="s"/>
      <c r="H1826" t="s"/>
      <c r="I1826" t="s"/>
      <c r="J1826" t="n">
        <v>-0.6124000000000001</v>
      </c>
      <c r="K1826" t="n">
        <v>0.222</v>
      </c>
      <c r="L1826" t="n">
        <v>0.778</v>
      </c>
      <c r="M1826" t="n">
        <v>0</v>
      </c>
    </row>
    <row r="1827" spans="1:13">
      <c r="A1827" s="1">
        <f>HYPERLINK("http://www.twitter.com/NathanBLawrence/status/992171589298020354", "992171589298020354")</f>
        <v/>
      </c>
      <c r="B1827" s="2" t="n">
        <v>43223.94346064814</v>
      </c>
      <c r="C1827" t="n">
        <v>0</v>
      </c>
      <c r="D1827" t="n">
        <v>10</v>
      </c>
      <c r="E1827" t="s">
        <v>1826</v>
      </c>
      <c r="F1827">
        <f>HYPERLINK("http://pbs.twimg.com/media/DcTkVXRW0AArl88.jpg", "http://pbs.twimg.com/media/DcTkVXRW0AArl88.jpg")</f>
        <v/>
      </c>
      <c r="G1827" t="s"/>
      <c r="H1827" t="s"/>
      <c r="I1827" t="s"/>
      <c r="J1827" t="n">
        <v>-0.9317</v>
      </c>
      <c r="K1827" t="n">
        <v>0.48</v>
      </c>
      <c r="L1827" t="n">
        <v>0.52</v>
      </c>
      <c r="M1827" t="n">
        <v>0</v>
      </c>
    </row>
    <row r="1828" spans="1:13">
      <c r="A1828" s="1">
        <f>HYPERLINK("http://www.twitter.com/NathanBLawrence/status/992162859533651968", "992162859533651968")</f>
        <v/>
      </c>
      <c r="B1828" s="2" t="n">
        <v>43223.91936342593</v>
      </c>
      <c r="C1828" t="n">
        <v>6</v>
      </c>
      <c r="D1828" t="n">
        <v>0</v>
      </c>
      <c r="E1828" t="s">
        <v>1827</v>
      </c>
      <c r="F1828" t="s"/>
      <c r="G1828" t="s"/>
      <c r="H1828" t="s"/>
      <c r="I1828" t="s"/>
      <c r="J1828" t="n">
        <v>0.6369</v>
      </c>
      <c r="K1828" t="n">
        <v>0</v>
      </c>
      <c r="L1828" t="n">
        <v>0.323</v>
      </c>
      <c r="M1828" t="n">
        <v>0.677</v>
      </c>
    </row>
    <row r="1829" spans="1:13">
      <c r="A1829" s="1">
        <f>HYPERLINK("http://www.twitter.com/NathanBLawrence/status/992162770597679108", "992162770597679108")</f>
        <v/>
      </c>
      <c r="B1829" s="2" t="n">
        <v>43223.91912037037</v>
      </c>
      <c r="C1829" t="n">
        <v>0</v>
      </c>
      <c r="D1829" t="n">
        <v>452</v>
      </c>
      <c r="E1829" t="s">
        <v>1828</v>
      </c>
      <c r="F1829" t="s"/>
      <c r="G1829" t="s"/>
      <c r="H1829" t="s"/>
      <c r="I1829" t="s"/>
      <c r="J1829" t="n">
        <v>-0.5266999999999999</v>
      </c>
      <c r="K1829" t="n">
        <v>0.134</v>
      </c>
      <c r="L1829" t="n">
        <v>0.866</v>
      </c>
      <c r="M1829" t="n">
        <v>0</v>
      </c>
    </row>
    <row r="1830" spans="1:13">
      <c r="A1830" s="1">
        <f>HYPERLINK("http://www.twitter.com/NathanBLawrence/status/992145057720434688", "992145057720434688")</f>
        <v/>
      </c>
      <c r="B1830" s="2" t="n">
        <v>43223.87024305556</v>
      </c>
      <c r="C1830" t="n">
        <v>0</v>
      </c>
      <c r="D1830" t="n">
        <v>10</v>
      </c>
      <c r="E1830" t="s">
        <v>1829</v>
      </c>
      <c r="F1830">
        <f>HYPERLINK("http://pbs.twimg.com/media/DcTN22UWsAAts4s.jpg", "http://pbs.twimg.com/media/DcTN22UWsAAts4s.jpg")</f>
        <v/>
      </c>
      <c r="G1830" t="s"/>
      <c r="H1830" t="s"/>
      <c r="I1830" t="s"/>
      <c r="J1830" t="n">
        <v>0</v>
      </c>
      <c r="K1830" t="n">
        <v>0</v>
      </c>
      <c r="L1830" t="n">
        <v>1</v>
      </c>
      <c r="M1830" t="n">
        <v>0</v>
      </c>
    </row>
    <row r="1831" spans="1:13">
      <c r="A1831" s="1">
        <f>HYPERLINK("http://www.twitter.com/NathanBLawrence/status/992144729826643969", "992144729826643969")</f>
        <v/>
      </c>
      <c r="B1831" s="2" t="n">
        <v>43223.86934027778</v>
      </c>
      <c r="C1831" t="n">
        <v>0</v>
      </c>
      <c r="D1831" t="n">
        <v>4</v>
      </c>
      <c r="E1831" t="s">
        <v>1830</v>
      </c>
      <c r="F1831" t="s"/>
      <c r="G1831" t="s"/>
      <c r="H1831" t="s"/>
      <c r="I1831" t="s"/>
      <c r="J1831" t="n">
        <v>0</v>
      </c>
      <c r="K1831" t="n">
        <v>0</v>
      </c>
      <c r="L1831" t="n">
        <v>1</v>
      </c>
      <c r="M1831" t="n">
        <v>0</v>
      </c>
    </row>
    <row r="1832" spans="1:13">
      <c r="A1832" s="1">
        <f>HYPERLINK("http://www.twitter.com/NathanBLawrence/status/992144623270350850", "992144623270350850")</f>
        <v/>
      </c>
      <c r="B1832" s="2" t="n">
        <v>43223.86905092592</v>
      </c>
      <c r="C1832" t="n">
        <v>0</v>
      </c>
      <c r="D1832" t="n">
        <v>9</v>
      </c>
      <c r="E1832" t="s">
        <v>1831</v>
      </c>
      <c r="F1832">
        <f>HYPERLINK("https://video.twimg.com/ext_tw_video/992116450361069568/pu/vid/668x360/wE_VeAjfXubPCM4M.mp4?tag=3", "https://video.twimg.com/ext_tw_video/992116450361069568/pu/vid/668x360/wE_VeAjfXubPCM4M.mp4?tag=3")</f>
        <v/>
      </c>
      <c r="G1832" t="s"/>
      <c r="H1832" t="s"/>
      <c r="I1832" t="s"/>
      <c r="J1832" t="n">
        <v>0</v>
      </c>
      <c r="K1832" t="n">
        <v>0</v>
      </c>
      <c r="L1832" t="n">
        <v>1</v>
      </c>
      <c r="M1832" t="n">
        <v>0</v>
      </c>
    </row>
    <row r="1833" spans="1:13">
      <c r="A1833" s="1">
        <f>HYPERLINK("http://www.twitter.com/NathanBLawrence/status/992141364631568385", "992141364631568385")</f>
        <v/>
      </c>
      <c r="B1833" s="2" t="n">
        <v>43223.86005787037</v>
      </c>
      <c r="C1833" t="n">
        <v>0</v>
      </c>
      <c r="D1833" t="n">
        <v>17</v>
      </c>
      <c r="E1833" t="s">
        <v>1832</v>
      </c>
      <c r="F1833" t="s"/>
      <c r="G1833" t="s"/>
      <c r="H1833" t="s"/>
      <c r="I1833" t="s"/>
      <c r="J1833" t="n">
        <v>0.5448</v>
      </c>
      <c r="K1833" t="n">
        <v>0</v>
      </c>
      <c r="L1833" t="n">
        <v>0.837</v>
      </c>
      <c r="M1833" t="n">
        <v>0.163</v>
      </c>
    </row>
    <row r="1834" spans="1:13">
      <c r="A1834" s="1">
        <f>HYPERLINK("http://www.twitter.com/NathanBLawrence/status/992141189599113217", "992141189599113217")</f>
        <v/>
      </c>
      <c r="B1834" s="2" t="n">
        <v>43223.85957175926</v>
      </c>
      <c r="C1834" t="n">
        <v>21</v>
      </c>
      <c r="D1834" t="n">
        <v>17</v>
      </c>
      <c r="E1834" t="s">
        <v>1833</v>
      </c>
      <c r="F1834" t="s"/>
      <c r="G1834" t="s"/>
      <c r="H1834" t="s"/>
      <c r="I1834" t="s"/>
      <c r="J1834" t="n">
        <v>0.5448</v>
      </c>
      <c r="K1834" t="n">
        <v>0</v>
      </c>
      <c r="L1834" t="n">
        <v>0.901</v>
      </c>
      <c r="M1834" t="n">
        <v>0.099</v>
      </c>
    </row>
    <row r="1835" spans="1:13">
      <c r="A1835" s="1">
        <f>HYPERLINK("http://www.twitter.com/NathanBLawrence/status/992138241166991362", "992138241166991362")</f>
        <v/>
      </c>
      <c r="B1835" s="2" t="n">
        <v>43223.85143518518</v>
      </c>
      <c r="C1835" t="n">
        <v>0</v>
      </c>
      <c r="D1835" t="n">
        <v>7</v>
      </c>
      <c r="E1835" t="s">
        <v>1834</v>
      </c>
      <c r="F1835">
        <f>HYPERLINK("http://pbs.twimg.com/media/DQtqj56UIAATETg.jpg", "http://pbs.twimg.com/media/DQtqj56UIAATETg.jpg")</f>
        <v/>
      </c>
      <c r="G1835" t="s"/>
      <c r="H1835" t="s"/>
      <c r="I1835" t="s"/>
      <c r="J1835" t="n">
        <v>0</v>
      </c>
      <c r="K1835" t="n">
        <v>0</v>
      </c>
      <c r="L1835" t="n">
        <v>1</v>
      </c>
      <c r="M1835" t="n">
        <v>0</v>
      </c>
    </row>
    <row r="1836" spans="1:13">
      <c r="A1836" s="1">
        <f>HYPERLINK("http://www.twitter.com/NathanBLawrence/status/992138228995117062", "992138228995117062")</f>
        <v/>
      </c>
      <c r="B1836" s="2" t="n">
        <v>43223.85140046296</v>
      </c>
      <c r="C1836" t="n">
        <v>0</v>
      </c>
      <c r="D1836" t="n">
        <v>13</v>
      </c>
      <c r="E1836" t="s">
        <v>1835</v>
      </c>
      <c r="F1836">
        <f>HYPERLINK("http://pbs.twimg.com/media/DPzu-wbVoAAelQO.jpg", "http://pbs.twimg.com/media/DPzu-wbVoAAelQO.jpg")</f>
        <v/>
      </c>
      <c r="G1836" t="s"/>
      <c r="H1836" t="s"/>
      <c r="I1836" t="s"/>
      <c r="J1836" t="n">
        <v>0</v>
      </c>
      <c r="K1836" t="n">
        <v>0</v>
      </c>
      <c r="L1836" t="n">
        <v>1</v>
      </c>
      <c r="M1836" t="n">
        <v>0</v>
      </c>
    </row>
    <row r="1837" spans="1:13">
      <c r="A1837" s="1">
        <f>HYPERLINK("http://www.twitter.com/NathanBLawrence/status/992138186540371968", "992138186540371968")</f>
        <v/>
      </c>
      <c r="B1837" s="2" t="n">
        <v>43223.85128472222</v>
      </c>
      <c r="C1837" t="n">
        <v>0</v>
      </c>
      <c r="D1837" t="n">
        <v>17</v>
      </c>
      <c r="E1837" t="s">
        <v>1836</v>
      </c>
      <c r="F1837">
        <f>HYPERLINK("http://pbs.twimg.com/media/DQt6pXDXUAAKq4S.jpg", "http://pbs.twimg.com/media/DQt6pXDXUAAKq4S.jpg")</f>
        <v/>
      </c>
      <c r="G1837" t="s"/>
      <c r="H1837" t="s"/>
      <c r="I1837" t="s"/>
      <c r="J1837" t="n">
        <v>0</v>
      </c>
      <c r="K1837" t="n">
        <v>0</v>
      </c>
      <c r="L1837" t="n">
        <v>1</v>
      </c>
      <c r="M1837" t="n">
        <v>0</v>
      </c>
    </row>
    <row r="1838" spans="1:13">
      <c r="A1838" s="1">
        <f>HYPERLINK("http://www.twitter.com/NathanBLawrence/status/992138167582187522", "992138167582187522")</f>
        <v/>
      </c>
      <c r="B1838" s="2" t="n">
        <v>43223.85122685185</v>
      </c>
      <c r="C1838" t="n">
        <v>0</v>
      </c>
      <c r="D1838" t="n">
        <v>1</v>
      </c>
      <c r="E1838" t="s">
        <v>1837</v>
      </c>
      <c r="F1838" t="s"/>
      <c r="G1838" t="s"/>
      <c r="H1838" t="s"/>
      <c r="I1838" t="s"/>
      <c r="J1838" t="n">
        <v>0.2732</v>
      </c>
      <c r="K1838" t="n">
        <v>0</v>
      </c>
      <c r="L1838" t="n">
        <v>0.87</v>
      </c>
      <c r="M1838" t="n">
        <v>0.13</v>
      </c>
    </row>
    <row r="1839" spans="1:13">
      <c r="A1839" s="1">
        <f>HYPERLINK("http://www.twitter.com/NathanBLawrence/status/992138149244612608", "992138149244612608")</f>
        <v/>
      </c>
      <c r="B1839" s="2" t="n">
        <v>43223.85118055555</v>
      </c>
      <c r="C1839" t="n">
        <v>0</v>
      </c>
      <c r="D1839" t="n">
        <v>4</v>
      </c>
      <c r="E1839" t="s">
        <v>1838</v>
      </c>
      <c r="F1839">
        <f>HYPERLINK("http://pbs.twimg.com/media/DW6gHJ0X0AAWx0g.jpg", "http://pbs.twimg.com/media/DW6gHJ0X0AAWx0g.jpg")</f>
        <v/>
      </c>
      <c r="G1839" t="s"/>
      <c r="H1839" t="s"/>
      <c r="I1839" t="s"/>
      <c r="J1839" t="n">
        <v>0.836</v>
      </c>
      <c r="K1839" t="n">
        <v>0</v>
      </c>
      <c r="L1839" t="n">
        <v>0.611</v>
      </c>
      <c r="M1839" t="n">
        <v>0.389</v>
      </c>
    </row>
    <row r="1840" spans="1:13">
      <c r="A1840" s="1">
        <f>HYPERLINK("http://www.twitter.com/NathanBLawrence/status/992137336791150593", "992137336791150593")</f>
        <v/>
      </c>
      <c r="B1840" s="2" t="n">
        <v>43223.84893518518</v>
      </c>
      <c r="C1840" t="n">
        <v>0</v>
      </c>
      <c r="D1840" t="n">
        <v>8</v>
      </c>
      <c r="E1840" t="s">
        <v>1839</v>
      </c>
      <c r="F1840" t="s"/>
      <c r="G1840" t="s"/>
      <c r="H1840" t="s"/>
      <c r="I1840" t="s"/>
      <c r="J1840" t="n">
        <v>0</v>
      </c>
      <c r="K1840" t="n">
        <v>0</v>
      </c>
      <c r="L1840" t="n">
        <v>1</v>
      </c>
      <c r="M1840" t="n">
        <v>0</v>
      </c>
    </row>
    <row r="1841" spans="1:13">
      <c r="A1841" s="1">
        <f>HYPERLINK("http://www.twitter.com/NathanBLawrence/status/992136840474972160", "992136840474972160")</f>
        <v/>
      </c>
      <c r="B1841" s="2" t="n">
        <v>43223.84756944444</v>
      </c>
      <c r="C1841" t="n">
        <v>8</v>
      </c>
      <c r="D1841" t="n">
        <v>8</v>
      </c>
      <c r="E1841" t="s">
        <v>1840</v>
      </c>
      <c r="F1841" t="s"/>
      <c r="G1841" t="s"/>
      <c r="H1841" t="s"/>
      <c r="I1841" t="s"/>
      <c r="J1841" t="n">
        <v>0</v>
      </c>
      <c r="K1841" t="n">
        <v>0</v>
      </c>
      <c r="L1841" t="n">
        <v>1</v>
      </c>
      <c r="M1841" t="n">
        <v>0</v>
      </c>
    </row>
    <row r="1842" spans="1:13">
      <c r="A1842" s="1">
        <f>HYPERLINK("http://www.twitter.com/NathanBLawrence/status/992136065657069568", "992136065657069568")</f>
        <v/>
      </c>
      <c r="B1842" s="2" t="n">
        <v>43223.84542824074</v>
      </c>
      <c r="C1842" t="n">
        <v>0</v>
      </c>
      <c r="D1842" t="n">
        <v>23</v>
      </c>
      <c r="E1842" t="s">
        <v>1841</v>
      </c>
      <c r="F1842">
        <f>HYPERLINK("http://pbs.twimg.com/media/DcTEm-AWsAENFOi.jpg", "http://pbs.twimg.com/media/DcTEm-AWsAENFOi.jpg")</f>
        <v/>
      </c>
      <c r="G1842" t="s"/>
      <c r="H1842" t="s"/>
      <c r="I1842" t="s"/>
      <c r="J1842" t="n">
        <v>0</v>
      </c>
      <c r="K1842" t="n">
        <v>0</v>
      </c>
      <c r="L1842" t="n">
        <v>1</v>
      </c>
      <c r="M1842" t="n">
        <v>0</v>
      </c>
    </row>
    <row r="1843" spans="1:13">
      <c r="A1843" s="1">
        <f>HYPERLINK("http://www.twitter.com/NathanBLawrence/status/992135062740176896", "992135062740176896")</f>
        <v/>
      </c>
      <c r="B1843" s="2" t="n">
        <v>43223.84266203704</v>
      </c>
      <c r="C1843" t="n">
        <v>6</v>
      </c>
      <c r="D1843" t="n">
        <v>6</v>
      </c>
      <c r="E1843" t="s">
        <v>1842</v>
      </c>
      <c r="F1843" t="s"/>
      <c r="G1843" t="s"/>
      <c r="H1843" t="s"/>
      <c r="I1843" t="s"/>
      <c r="J1843" t="n">
        <v>-0.2152</v>
      </c>
      <c r="K1843" t="n">
        <v>0.06</v>
      </c>
      <c r="L1843" t="n">
        <v>0.9</v>
      </c>
      <c r="M1843" t="n">
        <v>0.04</v>
      </c>
    </row>
    <row r="1844" spans="1:13">
      <c r="A1844" s="1">
        <f>HYPERLINK("http://www.twitter.com/NathanBLawrence/status/992133320606650369", "992133320606650369")</f>
        <v/>
      </c>
      <c r="B1844" s="2" t="n">
        <v>43223.83785879629</v>
      </c>
      <c r="C1844" t="n">
        <v>0</v>
      </c>
      <c r="D1844" t="n">
        <v>5</v>
      </c>
      <c r="E1844" t="s">
        <v>1843</v>
      </c>
      <c r="F1844" t="s"/>
      <c r="G1844" t="s"/>
      <c r="H1844" t="s"/>
      <c r="I1844" t="s"/>
      <c r="J1844" t="n">
        <v>0</v>
      </c>
      <c r="K1844" t="n">
        <v>0</v>
      </c>
      <c r="L1844" t="n">
        <v>1</v>
      </c>
      <c r="M1844" t="n">
        <v>0</v>
      </c>
    </row>
    <row r="1845" spans="1:13">
      <c r="A1845" s="1">
        <f>HYPERLINK("http://www.twitter.com/NathanBLawrence/status/992133298670403584", "992133298670403584")</f>
        <v/>
      </c>
      <c r="B1845" s="2" t="n">
        <v>43223.83780092592</v>
      </c>
      <c r="C1845" t="n">
        <v>0</v>
      </c>
      <c r="D1845" t="n">
        <v>4</v>
      </c>
      <c r="E1845" t="s">
        <v>1844</v>
      </c>
      <c r="F1845" t="s"/>
      <c r="G1845" t="s"/>
      <c r="H1845" t="s"/>
      <c r="I1845" t="s"/>
      <c r="J1845" t="n">
        <v>0</v>
      </c>
      <c r="K1845" t="n">
        <v>0</v>
      </c>
      <c r="L1845" t="n">
        <v>1</v>
      </c>
      <c r="M1845" t="n">
        <v>0</v>
      </c>
    </row>
    <row r="1846" spans="1:13">
      <c r="A1846" s="1">
        <f>HYPERLINK("http://www.twitter.com/NathanBLawrence/status/992133271529148418", "992133271529148418")</f>
        <v/>
      </c>
      <c r="B1846" s="2" t="n">
        <v>43223.83771990741</v>
      </c>
      <c r="C1846" t="n">
        <v>0</v>
      </c>
      <c r="D1846" t="n">
        <v>1</v>
      </c>
      <c r="E1846" t="s">
        <v>1845</v>
      </c>
      <c r="F1846" t="s"/>
      <c r="G1846" t="s"/>
      <c r="H1846" t="s"/>
      <c r="I1846" t="s"/>
      <c r="J1846" t="n">
        <v>0</v>
      </c>
      <c r="K1846" t="n">
        <v>0</v>
      </c>
      <c r="L1846" t="n">
        <v>1</v>
      </c>
      <c r="M1846" t="n">
        <v>0</v>
      </c>
    </row>
    <row r="1847" spans="1:13">
      <c r="A1847" s="1">
        <f>HYPERLINK("http://www.twitter.com/NathanBLawrence/status/992133251119697923", "992133251119697923")</f>
        <v/>
      </c>
      <c r="B1847" s="2" t="n">
        <v>43223.83766203704</v>
      </c>
      <c r="C1847" t="n">
        <v>0</v>
      </c>
      <c r="D1847" t="n">
        <v>1</v>
      </c>
      <c r="E1847" t="s">
        <v>1846</v>
      </c>
      <c r="F1847" t="s"/>
      <c r="G1847" t="s"/>
      <c r="H1847" t="s"/>
      <c r="I1847" t="s"/>
      <c r="J1847" t="n">
        <v>0</v>
      </c>
      <c r="K1847" t="n">
        <v>0</v>
      </c>
      <c r="L1847" t="n">
        <v>1</v>
      </c>
      <c r="M1847" t="n">
        <v>0</v>
      </c>
    </row>
    <row r="1848" spans="1:13">
      <c r="A1848" s="1">
        <f>HYPERLINK("http://www.twitter.com/NathanBLawrence/status/992133231624556544", "992133231624556544")</f>
        <v/>
      </c>
      <c r="B1848" s="2" t="n">
        <v>43223.83761574074</v>
      </c>
      <c r="C1848" t="n">
        <v>0</v>
      </c>
      <c r="D1848" t="n">
        <v>1</v>
      </c>
      <c r="E1848" t="s">
        <v>1847</v>
      </c>
      <c r="F1848" t="s"/>
      <c r="G1848" t="s"/>
      <c r="H1848" t="s"/>
      <c r="I1848" t="s"/>
      <c r="J1848" t="n">
        <v>0</v>
      </c>
      <c r="K1848" t="n">
        <v>0</v>
      </c>
      <c r="L1848" t="n">
        <v>1</v>
      </c>
      <c r="M1848" t="n">
        <v>0</v>
      </c>
    </row>
    <row r="1849" spans="1:13">
      <c r="A1849" s="1">
        <f>HYPERLINK("http://www.twitter.com/NathanBLawrence/status/992133209096941569", "992133209096941569")</f>
        <v/>
      </c>
      <c r="B1849" s="2" t="n">
        <v>43223.83754629629</v>
      </c>
      <c r="C1849" t="n">
        <v>0</v>
      </c>
      <c r="D1849" t="n">
        <v>1</v>
      </c>
      <c r="E1849" t="s">
        <v>1848</v>
      </c>
      <c r="F1849" t="s"/>
      <c r="G1849" t="s"/>
      <c r="H1849" t="s"/>
      <c r="I1849" t="s"/>
      <c r="J1849" t="n">
        <v>0</v>
      </c>
      <c r="K1849" t="n">
        <v>0</v>
      </c>
      <c r="L1849" t="n">
        <v>1</v>
      </c>
      <c r="M1849" t="n">
        <v>0</v>
      </c>
    </row>
    <row r="1850" spans="1:13">
      <c r="A1850" s="1">
        <f>HYPERLINK("http://www.twitter.com/NathanBLawrence/status/992133185579503618", "992133185579503618")</f>
        <v/>
      </c>
      <c r="B1850" s="2" t="n">
        <v>43223.83748842592</v>
      </c>
      <c r="C1850" t="n">
        <v>0</v>
      </c>
      <c r="D1850" t="n">
        <v>8</v>
      </c>
      <c r="E1850" t="s">
        <v>1849</v>
      </c>
      <c r="F1850">
        <f>HYPERLINK("http://pbs.twimg.com/media/DcTDI0YW4AATiaF.jpg", "http://pbs.twimg.com/media/DcTDI0YW4AATiaF.jpg")</f>
        <v/>
      </c>
      <c r="G1850" t="s"/>
      <c r="H1850" t="s"/>
      <c r="I1850" t="s"/>
      <c r="J1850" t="n">
        <v>0</v>
      </c>
      <c r="K1850" t="n">
        <v>0</v>
      </c>
      <c r="L1850" t="n">
        <v>1</v>
      </c>
      <c r="M1850" t="n">
        <v>0</v>
      </c>
    </row>
    <row r="1851" spans="1:13">
      <c r="A1851" s="1">
        <f>HYPERLINK("http://www.twitter.com/NathanBLawrence/status/992132440574644224", "992132440574644224")</f>
        <v/>
      </c>
      <c r="B1851" s="2" t="n">
        <v>43223.83542824074</v>
      </c>
      <c r="C1851" t="n">
        <v>0</v>
      </c>
      <c r="D1851" t="n">
        <v>46</v>
      </c>
      <c r="E1851" t="s">
        <v>1850</v>
      </c>
      <c r="F1851">
        <f>HYPERLINK("http://pbs.twimg.com/media/DcSUES6VMAEI2aW.jpg", "http://pbs.twimg.com/media/DcSUES6VMAEI2aW.jpg")</f>
        <v/>
      </c>
      <c r="G1851" t="s"/>
      <c r="H1851" t="s"/>
      <c r="I1851" t="s"/>
      <c r="J1851" t="n">
        <v>0</v>
      </c>
      <c r="K1851" t="n">
        <v>0</v>
      </c>
      <c r="L1851" t="n">
        <v>1</v>
      </c>
      <c r="M1851" t="n">
        <v>0</v>
      </c>
    </row>
    <row r="1852" spans="1:13">
      <c r="A1852" s="1">
        <f>HYPERLINK("http://www.twitter.com/NathanBLawrence/status/992132260085321729", "992132260085321729")</f>
        <v/>
      </c>
      <c r="B1852" s="2" t="n">
        <v>43223.83493055555</v>
      </c>
      <c r="C1852" t="n">
        <v>0</v>
      </c>
      <c r="D1852" t="n">
        <v>111</v>
      </c>
      <c r="E1852" t="s">
        <v>1851</v>
      </c>
      <c r="F1852">
        <f>HYPERLINK("http://pbs.twimg.com/media/DcSWOgtV4AAiZLZ.jpg", "http://pbs.twimg.com/media/DcSWOgtV4AAiZLZ.jpg")</f>
        <v/>
      </c>
      <c r="G1852" t="s"/>
      <c r="H1852" t="s"/>
      <c r="I1852" t="s"/>
      <c r="J1852" t="n">
        <v>-0.6908</v>
      </c>
      <c r="K1852" t="n">
        <v>0.213</v>
      </c>
      <c r="L1852" t="n">
        <v>0.787</v>
      </c>
      <c r="M1852" t="n">
        <v>0</v>
      </c>
    </row>
    <row r="1853" spans="1:13">
      <c r="A1853" s="1">
        <f>HYPERLINK("http://www.twitter.com/NathanBLawrence/status/992132209204228096", "992132209204228096")</f>
        <v/>
      </c>
      <c r="B1853" s="2" t="n">
        <v>43223.83479166667</v>
      </c>
      <c r="C1853" t="n">
        <v>0</v>
      </c>
      <c r="D1853" t="n">
        <v>31</v>
      </c>
      <c r="E1853" t="s">
        <v>1852</v>
      </c>
      <c r="F1853" t="s"/>
      <c r="G1853" t="s"/>
      <c r="H1853" t="s"/>
      <c r="I1853" t="s"/>
      <c r="J1853" t="n">
        <v>0.7964</v>
      </c>
      <c r="K1853" t="n">
        <v>0</v>
      </c>
      <c r="L1853" t="n">
        <v>0.649</v>
      </c>
      <c r="M1853" t="n">
        <v>0.351</v>
      </c>
    </row>
    <row r="1854" spans="1:13">
      <c r="A1854" s="1">
        <f>HYPERLINK("http://www.twitter.com/NathanBLawrence/status/992132138463121412", "992132138463121412")</f>
        <v/>
      </c>
      <c r="B1854" s="2" t="n">
        <v>43223.83459490741</v>
      </c>
      <c r="C1854" t="n">
        <v>0</v>
      </c>
      <c r="D1854" t="n">
        <v>89</v>
      </c>
      <c r="E1854" t="s">
        <v>1853</v>
      </c>
      <c r="F1854">
        <f>HYPERLINK("http://pbs.twimg.com/media/DcSfA1xW0AAQ3TK.jpg", "http://pbs.twimg.com/media/DcSfA1xW0AAQ3TK.jpg")</f>
        <v/>
      </c>
      <c r="G1854" t="s"/>
      <c r="H1854" t="s"/>
      <c r="I1854" t="s"/>
      <c r="J1854" t="n">
        <v>-0.915</v>
      </c>
      <c r="K1854" t="n">
        <v>0.429</v>
      </c>
      <c r="L1854" t="n">
        <v>0.571</v>
      </c>
      <c r="M1854" t="n">
        <v>0</v>
      </c>
    </row>
    <row r="1855" spans="1:13">
      <c r="A1855" s="1">
        <f>HYPERLINK("http://www.twitter.com/NathanBLawrence/status/992132077226209281", "992132077226209281")</f>
        <v/>
      </c>
      <c r="B1855" s="2" t="n">
        <v>43223.8344212963</v>
      </c>
      <c r="C1855" t="n">
        <v>0</v>
      </c>
      <c r="D1855" t="n">
        <v>100</v>
      </c>
      <c r="E1855" t="s">
        <v>1854</v>
      </c>
      <c r="F1855" t="s"/>
      <c r="G1855" t="s"/>
      <c r="H1855" t="s"/>
      <c r="I1855" t="s"/>
      <c r="J1855" t="n">
        <v>0.2023</v>
      </c>
      <c r="K1855" t="n">
        <v>0</v>
      </c>
      <c r="L1855" t="n">
        <v>0.878</v>
      </c>
      <c r="M1855" t="n">
        <v>0.122</v>
      </c>
    </row>
    <row r="1856" spans="1:13">
      <c r="A1856" s="1">
        <f>HYPERLINK("http://www.twitter.com/NathanBLawrence/status/992131935093886977", "992131935093886977")</f>
        <v/>
      </c>
      <c r="B1856" s="2" t="n">
        <v>43223.83402777778</v>
      </c>
      <c r="C1856" t="n">
        <v>1</v>
      </c>
      <c r="D1856" t="n">
        <v>1</v>
      </c>
      <c r="E1856" t="s">
        <v>1855</v>
      </c>
      <c r="F1856" t="s"/>
      <c r="G1856" t="s"/>
      <c r="H1856" t="s"/>
      <c r="I1856" t="s"/>
      <c r="J1856" t="n">
        <v>-0.4019</v>
      </c>
      <c r="K1856" t="n">
        <v>0.278</v>
      </c>
      <c r="L1856" t="n">
        <v>0.722</v>
      </c>
      <c r="M1856" t="n">
        <v>0</v>
      </c>
    </row>
    <row r="1857" spans="1:13">
      <c r="A1857" s="1">
        <f>HYPERLINK("http://www.twitter.com/NathanBLawrence/status/992131502262636546", "992131502262636546")</f>
        <v/>
      </c>
      <c r="B1857" s="2" t="n">
        <v>43223.83283564815</v>
      </c>
      <c r="C1857" t="n">
        <v>0</v>
      </c>
      <c r="D1857" t="n">
        <v>88</v>
      </c>
      <c r="E1857" t="s">
        <v>1856</v>
      </c>
      <c r="F1857">
        <f>HYPERLINK("http://pbs.twimg.com/media/DcSiyqwU8AE0bnK.jpg", "http://pbs.twimg.com/media/DcSiyqwU8AE0bnK.jpg")</f>
        <v/>
      </c>
      <c r="G1857" t="s"/>
      <c r="H1857" t="s"/>
      <c r="I1857" t="s"/>
      <c r="J1857" t="n">
        <v>0.7423999999999999</v>
      </c>
      <c r="K1857" t="n">
        <v>0</v>
      </c>
      <c r="L1857" t="n">
        <v>0.761</v>
      </c>
      <c r="M1857" t="n">
        <v>0.239</v>
      </c>
    </row>
    <row r="1858" spans="1:13">
      <c r="A1858" s="1">
        <f>HYPERLINK("http://www.twitter.com/NathanBLawrence/status/992131419764862988", "992131419764862988")</f>
        <v/>
      </c>
      <c r="B1858" s="2" t="n">
        <v>43223.83261574074</v>
      </c>
      <c r="C1858" t="n">
        <v>0</v>
      </c>
      <c r="D1858" t="n">
        <v>18</v>
      </c>
      <c r="E1858" t="s">
        <v>1857</v>
      </c>
      <c r="F1858" t="s"/>
      <c r="G1858" t="s"/>
      <c r="H1858" t="s"/>
      <c r="I1858" t="s"/>
      <c r="J1858" t="n">
        <v>-0.7712</v>
      </c>
      <c r="K1858" t="n">
        <v>0.242</v>
      </c>
      <c r="L1858" t="n">
        <v>0.758</v>
      </c>
      <c r="M1858" t="n">
        <v>0</v>
      </c>
    </row>
    <row r="1859" spans="1:13">
      <c r="A1859" s="1">
        <f>HYPERLINK("http://www.twitter.com/NathanBLawrence/status/992131283949154306", "992131283949154306")</f>
        <v/>
      </c>
      <c r="B1859" s="2" t="n">
        <v>43223.8322337963</v>
      </c>
      <c r="C1859" t="n">
        <v>0</v>
      </c>
      <c r="D1859" t="n">
        <v>65</v>
      </c>
      <c r="E1859" t="s">
        <v>1858</v>
      </c>
      <c r="F1859" t="s"/>
      <c r="G1859" t="s"/>
      <c r="H1859" t="s"/>
      <c r="I1859" t="s"/>
      <c r="J1859" t="n">
        <v>0</v>
      </c>
      <c r="K1859" t="n">
        <v>0</v>
      </c>
      <c r="L1859" t="n">
        <v>1</v>
      </c>
      <c r="M1859" t="n">
        <v>0</v>
      </c>
    </row>
    <row r="1860" spans="1:13">
      <c r="A1860" s="1">
        <f>HYPERLINK("http://www.twitter.com/NathanBLawrence/status/992131219956658176", "992131219956658176")</f>
        <v/>
      </c>
      <c r="B1860" s="2" t="n">
        <v>43223.83206018519</v>
      </c>
      <c r="C1860" t="n">
        <v>0</v>
      </c>
      <c r="D1860" t="n">
        <v>29</v>
      </c>
      <c r="E1860" t="s">
        <v>1859</v>
      </c>
      <c r="F1860" t="s"/>
      <c r="G1860" t="s"/>
      <c r="H1860" t="s"/>
      <c r="I1860" t="s"/>
      <c r="J1860" t="n">
        <v>-0.4871</v>
      </c>
      <c r="K1860" t="n">
        <v>0.149</v>
      </c>
      <c r="L1860" t="n">
        <v>0.851</v>
      </c>
      <c r="M1860" t="n">
        <v>0</v>
      </c>
    </row>
    <row r="1861" spans="1:13">
      <c r="A1861" s="1">
        <f>HYPERLINK("http://www.twitter.com/NathanBLawrence/status/992131125979041800", "992131125979041800")</f>
        <v/>
      </c>
      <c r="B1861" s="2" t="n">
        <v>43223.83179398148</v>
      </c>
      <c r="C1861" t="n">
        <v>0</v>
      </c>
      <c r="D1861" t="n">
        <v>11</v>
      </c>
      <c r="E1861" t="s">
        <v>1860</v>
      </c>
      <c r="F1861" t="s"/>
      <c r="G1861" t="s"/>
      <c r="H1861" t="s"/>
      <c r="I1861" t="s"/>
      <c r="J1861" t="n">
        <v>0</v>
      </c>
      <c r="K1861" t="n">
        <v>0</v>
      </c>
      <c r="L1861" t="n">
        <v>1</v>
      </c>
      <c r="M1861" t="n">
        <v>0</v>
      </c>
    </row>
    <row r="1862" spans="1:13">
      <c r="A1862" s="1">
        <f>HYPERLINK("http://www.twitter.com/NathanBLawrence/status/992131084350578688", "992131084350578688")</f>
        <v/>
      </c>
      <c r="B1862" s="2" t="n">
        <v>43223.83168981481</v>
      </c>
      <c r="C1862" t="n">
        <v>0</v>
      </c>
      <c r="D1862" t="n">
        <v>10</v>
      </c>
      <c r="E1862" t="s">
        <v>1861</v>
      </c>
      <c r="F1862" t="s"/>
      <c r="G1862" t="s"/>
      <c r="H1862" t="s"/>
      <c r="I1862" t="s"/>
      <c r="J1862" t="n">
        <v>0.5423</v>
      </c>
      <c r="K1862" t="n">
        <v>0</v>
      </c>
      <c r="L1862" t="n">
        <v>0.769</v>
      </c>
      <c r="M1862" t="n">
        <v>0.231</v>
      </c>
    </row>
    <row r="1863" spans="1:13">
      <c r="A1863" s="1">
        <f>HYPERLINK("http://www.twitter.com/NathanBLawrence/status/992130970907181056", "992130970907181056")</f>
        <v/>
      </c>
      <c r="B1863" s="2" t="n">
        <v>43223.83137731482</v>
      </c>
      <c r="C1863" t="n">
        <v>0</v>
      </c>
      <c r="D1863" t="n">
        <v>58</v>
      </c>
      <c r="E1863" t="s">
        <v>1862</v>
      </c>
      <c r="F1863" t="s"/>
      <c r="G1863" t="s"/>
      <c r="H1863" t="s"/>
      <c r="I1863" t="s"/>
      <c r="J1863" t="n">
        <v>0.2732</v>
      </c>
      <c r="K1863" t="n">
        <v>0.106</v>
      </c>
      <c r="L1863" t="n">
        <v>0.717</v>
      </c>
      <c r="M1863" t="n">
        <v>0.177</v>
      </c>
    </row>
    <row r="1864" spans="1:13">
      <c r="A1864" s="1">
        <f>HYPERLINK("http://www.twitter.com/NathanBLawrence/status/992130921653469184", "992130921653469184")</f>
        <v/>
      </c>
      <c r="B1864" s="2" t="n">
        <v>43223.83123842593</v>
      </c>
      <c r="C1864" t="n">
        <v>0</v>
      </c>
      <c r="D1864" t="n">
        <v>29</v>
      </c>
      <c r="E1864" t="s">
        <v>1863</v>
      </c>
      <c r="F1864" t="s"/>
      <c r="G1864" t="s"/>
      <c r="H1864" t="s"/>
      <c r="I1864" t="s"/>
      <c r="J1864" t="n">
        <v>-0.6124000000000001</v>
      </c>
      <c r="K1864" t="n">
        <v>0.182</v>
      </c>
      <c r="L1864" t="n">
        <v>0.8179999999999999</v>
      </c>
      <c r="M1864" t="n">
        <v>0</v>
      </c>
    </row>
    <row r="1865" spans="1:13">
      <c r="A1865" s="1">
        <f>HYPERLINK("http://www.twitter.com/NathanBLawrence/status/992130505360502784", "992130505360502784")</f>
        <v/>
      </c>
      <c r="B1865" s="2" t="n">
        <v>43223.83009259259</v>
      </c>
      <c r="C1865" t="n">
        <v>0</v>
      </c>
      <c r="D1865" t="n">
        <v>6</v>
      </c>
      <c r="E1865" t="s">
        <v>1864</v>
      </c>
      <c r="F1865" t="s"/>
      <c r="G1865" t="s"/>
      <c r="H1865" t="s"/>
      <c r="I1865" t="s"/>
      <c r="J1865" t="n">
        <v>0</v>
      </c>
      <c r="K1865" t="n">
        <v>0</v>
      </c>
      <c r="L1865" t="n">
        <v>1</v>
      </c>
      <c r="M1865" t="n">
        <v>0</v>
      </c>
    </row>
    <row r="1866" spans="1:13">
      <c r="A1866" s="1">
        <f>HYPERLINK("http://www.twitter.com/NathanBLawrence/status/992129566566158336", "992129566566158336")</f>
        <v/>
      </c>
      <c r="B1866" s="2" t="n">
        <v>43223.8275</v>
      </c>
      <c r="C1866" t="n">
        <v>35</v>
      </c>
      <c r="D1866" t="n">
        <v>33</v>
      </c>
      <c r="E1866" t="s">
        <v>1865</v>
      </c>
      <c r="F1866">
        <f>HYPERLINK("http://pbs.twimg.com/media/DcTAlELUQAAPzPS.jpg", "http://pbs.twimg.com/media/DcTAlELUQAAPzPS.jpg")</f>
        <v/>
      </c>
      <c r="G1866" t="s"/>
      <c r="H1866" t="s"/>
      <c r="I1866" t="s"/>
      <c r="J1866" t="n">
        <v>0</v>
      </c>
      <c r="K1866" t="n">
        <v>0</v>
      </c>
      <c r="L1866" t="n">
        <v>1</v>
      </c>
      <c r="M1866" t="n">
        <v>0</v>
      </c>
    </row>
    <row r="1867" spans="1:13">
      <c r="A1867" s="1">
        <f>HYPERLINK("http://www.twitter.com/NathanBLawrence/status/992129544072155137", "992129544072155137")</f>
        <v/>
      </c>
      <c r="B1867" s="2" t="n">
        <v>43223.82743055555</v>
      </c>
      <c r="C1867" t="n">
        <v>8</v>
      </c>
      <c r="D1867" t="n">
        <v>12</v>
      </c>
      <c r="E1867" t="s">
        <v>1866</v>
      </c>
      <c r="F1867">
        <f>HYPERLINK("https://video.twimg.com/ext_tw_video/992129468666822656/pu/vid/1280x720/7M-4fua7RxD2GFqS.mp4?tag=3", "https://video.twimg.com/ext_tw_video/992129468666822656/pu/vid/1280x720/7M-4fua7RxD2GFqS.mp4?tag=3")</f>
        <v/>
      </c>
      <c r="G1867" t="s"/>
      <c r="H1867" t="s"/>
      <c r="I1867" t="s"/>
      <c r="J1867" t="n">
        <v>0</v>
      </c>
      <c r="K1867" t="n">
        <v>0</v>
      </c>
      <c r="L1867" t="n">
        <v>1</v>
      </c>
      <c r="M1867" t="n">
        <v>0</v>
      </c>
    </row>
    <row r="1868" spans="1:13">
      <c r="A1868" s="1">
        <f>HYPERLINK("http://www.twitter.com/NathanBLawrence/status/992129410605244416", "992129410605244416")</f>
        <v/>
      </c>
      <c r="B1868" s="2" t="n">
        <v>43223.82707175926</v>
      </c>
      <c r="C1868" t="n">
        <v>20</v>
      </c>
      <c r="D1868" t="n">
        <v>26</v>
      </c>
      <c r="E1868" t="s">
        <v>1867</v>
      </c>
      <c r="F1868">
        <f>HYPERLINK("https://video.twimg.com/ext_tw_video/992129158154108928/pu/vid/1280x720/aBT-aNM4PfLTaLp-.mp4?tag=3", "https://video.twimg.com/ext_tw_video/992129158154108928/pu/vid/1280x720/aBT-aNM4PfLTaLp-.mp4?tag=3")</f>
        <v/>
      </c>
      <c r="G1868" t="s"/>
      <c r="H1868" t="s"/>
      <c r="I1868" t="s"/>
      <c r="J1868" t="n">
        <v>0</v>
      </c>
      <c r="K1868" t="n">
        <v>0</v>
      </c>
      <c r="L1868" t="n">
        <v>1</v>
      </c>
      <c r="M1868" t="n">
        <v>0</v>
      </c>
    </row>
    <row r="1869" spans="1:13">
      <c r="A1869" s="1">
        <f>HYPERLINK("http://www.twitter.com/NathanBLawrence/status/992123230864465921", "992123230864465921")</f>
        <v/>
      </c>
      <c r="B1869" s="2" t="n">
        <v>43223.81001157407</v>
      </c>
      <c r="C1869" t="n">
        <v>0</v>
      </c>
      <c r="D1869" t="n">
        <v>4</v>
      </c>
      <c r="E1869" t="s">
        <v>1868</v>
      </c>
      <c r="F1869" t="s"/>
      <c r="G1869" t="s"/>
      <c r="H1869" t="s"/>
      <c r="I1869" t="s"/>
      <c r="J1869" t="n">
        <v>0</v>
      </c>
      <c r="K1869" t="n">
        <v>0</v>
      </c>
      <c r="L1869" t="n">
        <v>1</v>
      </c>
      <c r="M1869" t="n">
        <v>0</v>
      </c>
    </row>
    <row r="1870" spans="1:13">
      <c r="A1870" s="1">
        <f>HYPERLINK("http://www.twitter.com/NathanBLawrence/status/992122442490568705", "992122442490568705")</f>
        <v/>
      </c>
      <c r="B1870" s="2" t="n">
        <v>43223.80783564815</v>
      </c>
      <c r="C1870" t="n">
        <v>1</v>
      </c>
      <c r="D1870" t="n">
        <v>0</v>
      </c>
      <c r="E1870" t="s">
        <v>1869</v>
      </c>
      <c r="F1870" t="s"/>
      <c r="G1870" t="s"/>
      <c r="H1870" t="s"/>
      <c r="I1870" t="s"/>
      <c r="J1870" t="n">
        <v>0.5837</v>
      </c>
      <c r="K1870" t="n">
        <v>0</v>
      </c>
      <c r="L1870" t="n">
        <v>0.858</v>
      </c>
      <c r="M1870" t="n">
        <v>0.142</v>
      </c>
    </row>
    <row r="1871" spans="1:13">
      <c r="A1871" s="1">
        <f>HYPERLINK("http://www.twitter.com/NathanBLawrence/status/992121934228967424", "992121934228967424")</f>
        <v/>
      </c>
      <c r="B1871" s="2" t="n">
        <v>43223.80643518519</v>
      </c>
      <c r="C1871" t="n">
        <v>0</v>
      </c>
      <c r="D1871" t="n">
        <v>0</v>
      </c>
      <c r="E1871" t="s">
        <v>1870</v>
      </c>
      <c r="F1871" t="s"/>
      <c r="G1871" t="s"/>
      <c r="H1871" t="s"/>
      <c r="I1871" t="s"/>
      <c r="J1871" t="n">
        <v>0.4215</v>
      </c>
      <c r="K1871" t="n">
        <v>0</v>
      </c>
      <c r="L1871" t="n">
        <v>0.865</v>
      </c>
      <c r="M1871" t="n">
        <v>0.135</v>
      </c>
    </row>
    <row r="1872" spans="1:13">
      <c r="A1872" s="1">
        <f>HYPERLINK("http://www.twitter.com/NathanBLawrence/status/992121143116156928", "992121143116156928")</f>
        <v/>
      </c>
      <c r="B1872" s="2" t="n">
        <v>43223.80424768518</v>
      </c>
      <c r="C1872" t="n">
        <v>0</v>
      </c>
      <c r="D1872" t="n">
        <v>1</v>
      </c>
      <c r="E1872" t="s">
        <v>1871</v>
      </c>
      <c r="F1872" t="s"/>
      <c r="G1872" t="s"/>
      <c r="H1872" t="s"/>
      <c r="I1872" t="s"/>
      <c r="J1872" t="n">
        <v>0</v>
      </c>
      <c r="K1872" t="n">
        <v>0</v>
      </c>
      <c r="L1872" t="n">
        <v>1</v>
      </c>
      <c r="M1872" t="n">
        <v>0</v>
      </c>
    </row>
    <row r="1873" spans="1:13">
      <c r="A1873" s="1">
        <f>HYPERLINK("http://www.twitter.com/NathanBLawrence/status/992115562074591232", "992115562074591232")</f>
        <v/>
      </c>
      <c r="B1873" s="2" t="n">
        <v>43223.78885416667</v>
      </c>
      <c r="C1873" t="n">
        <v>11</v>
      </c>
      <c r="D1873" t="n">
        <v>11</v>
      </c>
      <c r="E1873" t="s">
        <v>1872</v>
      </c>
      <c r="F1873" t="s"/>
      <c r="G1873" t="s"/>
      <c r="H1873" t="s"/>
      <c r="I1873" t="s"/>
      <c r="J1873" t="n">
        <v>0</v>
      </c>
      <c r="K1873" t="n">
        <v>0</v>
      </c>
      <c r="L1873" t="n">
        <v>1</v>
      </c>
      <c r="M1873" t="n">
        <v>0</v>
      </c>
    </row>
    <row r="1874" spans="1:13">
      <c r="A1874" s="1">
        <f>HYPERLINK("http://www.twitter.com/NathanBLawrence/status/992114234371792896", "992114234371792896")</f>
        <v/>
      </c>
      <c r="B1874" s="2" t="n">
        <v>43223.78518518519</v>
      </c>
      <c r="C1874" t="n">
        <v>0</v>
      </c>
      <c r="D1874" t="n">
        <v>0</v>
      </c>
      <c r="E1874" t="s">
        <v>1873</v>
      </c>
      <c r="F1874" t="s"/>
      <c r="G1874" t="s"/>
      <c r="H1874" t="s"/>
      <c r="I1874" t="s"/>
      <c r="J1874" t="n">
        <v>0.7764</v>
      </c>
      <c r="K1874" t="n">
        <v>0</v>
      </c>
      <c r="L1874" t="n">
        <v>0.715</v>
      </c>
      <c r="M1874" t="n">
        <v>0.285</v>
      </c>
    </row>
    <row r="1875" spans="1:13">
      <c r="A1875" s="1">
        <f>HYPERLINK("http://www.twitter.com/NathanBLawrence/status/992113875154800642", "992113875154800642")</f>
        <v/>
      </c>
      <c r="B1875" s="2" t="n">
        <v>43223.78420138889</v>
      </c>
      <c r="C1875" t="n">
        <v>0</v>
      </c>
      <c r="D1875" t="n">
        <v>1</v>
      </c>
      <c r="E1875" t="s">
        <v>1874</v>
      </c>
      <c r="F1875" t="s"/>
      <c r="G1875" t="s"/>
      <c r="H1875" t="s"/>
      <c r="I1875" t="s"/>
      <c r="J1875" t="n">
        <v>0</v>
      </c>
      <c r="K1875" t="n">
        <v>0</v>
      </c>
      <c r="L1875" t="n">
        <v>1</v>
      </c>
      <c r="M1875" t="n">
        <v>0</v>
      </c>
    </row>
    <row r="1876" spans="1:13">
      <c r="A1876" s="1">
        <f>HYPERLINK("http://www.twitter.com/NathanBLawrence/status/992113734184308737", "992113734184308737")</f>
        <v/>
      </c>
      <c r="B1876" s="2" t="n">
        <v>43223.78380787037</v>
      </c>
      <c r="C1876" t="n">
        <v>1</v>
      </c>
      <c r="D1876" t="n">
        <v>0</v>
      </c>
      <c r="E1876" t="s">
        <v>1875</v>
      </c>
      <c r="F1876" t="s"/>
      <c r="G1876" t="s"/>
      <c r="H1876" t="s"/>
      <c r="I1876" t="s"/>
      <c r="J1876" t="n">
        <v>0</v>
      </c>
      <c r="K1876" t="n">
        <v>0</v>
      </c>
      <c r="L1876" t="n">
        <v>1</v>
      </c>
      <c r="M1876" t="n">
        <v>0</v>
      </c>
    </row>
    <row r="1877" spans="1:13">
      <c r="A1877" s="1">
        <f>HYPERLINK("http://www.twitter.com/NathanBLawrence/status/992113486267322369", "992113486267322369")</f>
        <v/>
      </c>
      <c r="B1877" s="2" t="n">
        <v>43223.783125</v>
      </c>
      <c r="C1877" t="n">
        <v>1</v>
      </c>
      <c r="D1877" t="n">
        <v>0</v>
      </c>
      <c r="E1877" t="s">
        <v>1876</v>
      </c>
      <c r="F1877" t="s"/>
      <c r="G1877" t="s"/>
      <c r="H1877" t="s"/>
      <c r="I1877" t="s"/>
      <c r="J1877" t="n">
        <v>0.1027</v>
      </c>
      <c r="K1877" t="n">
        <v>0.219</v>
      </c>
      <c r="L1877" t="n">
        <v>0.521</v>
      </c>
      <c r="M1877" t="n">
        <v>0.26</v>
      </c>
    </row>
    <row r="1878" spans="1:13">
      <c r="A1878" s="1">
        <f>HYPERLINK("http://www.twitter.com/NathanBLawrence/status/992113268104802304", "992113268104802304")</f>
        <v/>
      </c>
      <c r="B1878" s="2" t="n">
        <v>43223.78252314815</v>
      </c>
      <c r="C1878" t="n">
        <v>30</v>
      </c>
      <c r="D1878" t="n">
        <v>18</v>
      </c>
      <c r="E1878" t="s">
        <v>1877</v>
      </c>
      <c r="F1878" t="s"/>
      <c r="G1878" t="s"/>
      <c r="H1878" t="s"/>
      <c r="I1878" t="s"/>
      <c r="J1878" t="n">
        <v>0.4073</v>
      </c>
      <c r="K1878" t="n">
        <v>0</v>
      </c>
      <c r="L1878" t="n">
        <v>0.861</v>
      </c>
      <c r="M1878" t="n">
        <v>0.139</v>
      </c>
    </row>
    <row r="1879" spans="1:13">
      <c r="A1879" s="1">
        <f>HYPERLINK("http://www.twitter.com/NathanBLawrence/status/992112371257704448", "992112371257704448")</f>
        <v/>
      </c>
      <c r="B1879" s="2" t="n">
        <v>43223.7800462963</v>
      </c>
      <c r="C1879" t="n">
        <v>0</v>
      </c>
      <c r="D1879" t="n">
        <v>0</v>
      </c>
      <c r="E1879" t="s">
        <v>1878</v>
      </c>
      <c r="F1879" t="s"/>
      <c r="G1879" t="s"/>
      <c r="H1879" t="s"/>
      <c r="I1879" t="s"/>
      <c r="J1879" t="n">
        <v>-0.4019</v>
      </c>
      <c r="K1879" t="n">
        <v>0.351</v>
      </c>
      <c r="L1879" t="n">
        <v>0.649</v>
      </c>
      <c r="M1879" t="n">
        <v>0</v>
      </c>
    </row>
    <row r="1880" spans="1:13">
      <c r="A1880" s="1">
        <f>HYPERLINK("http://www.twitter.com/NathanBLawrence/status/992111713830031360", "992111713830031360")</f>
        <v/>
      </c>
      <c r="B1880" s="2" t="n">
        <v>43223.77822916667</v>
      </c>
      <c r="C1880" t="n">
        <v>0</v>
      </c>
      <c r="D1880" t="n">
        <v>12</v>
      </c>
      <c r="E1880" t="s">
        <v>1879</v>
      </c>
      <c r="F1880">
        <f>HYPERLINK("http://pbs.twimg.com/media/DaanIsdVwAAQp-i.jpg", "http://pbs.twimg.com/media/DaanIsdVwAAQp-i.jpg")</f>
        <v/>
      </c>
      <c r="G1880" t="s"/>
      <c r="H1880" t="s"/>
      <c r="I1880" t="s"/>
      <c r="J1880" t="n">
        <v>0</v>
      </c>
      <c r="K1880" t="n">
        <v>0</v>
      </c>
      <c r="L1880" t="n">
        <v>1</v>
      </c>
      <c r="M1880" t="n">
        <v>0</v>
      </c>
    </row>
    <row r="1881" spans="1:13">
      <c r="A1881" s="1">
        <f>HYPERLINK("http://www.twitter.com/NathanBLawrence/status/992111615934914566", "992111615934914566")</f>
        <v/>
      </c>
      <c r="B1881" s="2" t="n">
        <v>43223.77796296297</v>
      </c>
      <c r="C1881" t="n">
        <v>1</v>
      </c>
      <c r="D1881" t="n">
        <v>0</v>
      </c>
      <c r="E1881" t="s">
        <v>1880</v>
      </c>
      <c r="F1881" t="s"/>
      <c r="G1881" t="s"/>
      <c r="H1881" t="s"/>
      <c r="I1881" t="s"/>
      <c r="J1881" t="n">
        <v>0.2589</v>
      </c>
      <c r="K1881" t="n">
        <v>0.098</v>
      </c>
      <c r="L1881" t="n">
        <v>0.751</v>
      </c>
      <c r="M1881" t="n">
        <v>0.15</v>
      </c>
    </row>
    <row r="1882" spans="1:13">
      <c r="A1882" s="1">
        <f>HYPERLINK("http://www.twitter.com/NathanBLawrence/status/992111363135885314", "992111363135885314")</f>
        <v/>
      </c>
      <c r="B1882" s="2" t="n">
        <v>43223.77726851852</v>
      </c>
      <c r="C1882" t="n">
        <v>0</v>
      </c>
      <c r="D1882" t="n">
        <v>1</v>
      </c>
      <c r="E1882" t="s">
        <v>1881</v>
      </c>
      <c r="F1882" t="s"/>
      <c r="G1882" t="s"/>
      <c r="H1882" t="s"/>
      <c r="I1882" t="s"/>
      <c r="J1882" t="n">
        <v>0.4588</v>
      </c>
      <c r="K1882" t="n">
        <v>0</v>
      </c>
      <c r="L1882" t="n">
        <v>0.769</v>
      </c>
      <c r="M1882" t="n">
        <v>0.231</v>
      </c>
    </row>
    <row r="1883" spans="1:13">
      <c r="A1883" s="1">
        <f>HYPERLINK("http://www.twitter.com/NathanBLawrence/status/992111327106732034", "992111327106732034")</f>
        <v/>
      </c>
      <c r="B1883" s="2" t="n">
        <v>43223.77716435185</v>
      </c>
      <c r="C1883" t="n">
        <v>2</v>
      </c>
      <c r="D1883" t="n">
        <v>0</v>
      </c>
      <c r="E1883" t="s">
        <v>1882</v>
      </c>
      <c r="F1883" t="s"/>
      <c r="G1883" t="s"/>
      <c r="H1883" t="s"/>
      <c r="I1883" t="s"/>
      <c r="J1883" t="n">
        <v>0</v>
      </c>
      <c r="K1883" t="n">
        <v>0</v>
      </c>
      <c r="L1883" t="n">
        <v>1</v>
      </c>
      <c r="M1883" t="n">
        <v>0</v>
      </c>
    </row>
    <row r="1884" spans="1:13">
      <c r="A1884" s="1">
        <f>HYPERLINK("http://www.twitter.com/NathanBLawrence/status/992110898302078977", "992110898302078977")</f>
        <v/>
      </c>
      <c r="B1884" s="2" t="n">
        <v>43223.77598379629</v>
      </c>
      <c r="C1884" t="n">
        <v>1</v>
      </c>
      <c r="D1884" t="n">
        <v>0</v>
      </c>
      <c r="E1884" t="s">
        <v>1883</v>
      </c>
      <c r="F1884" t="s"/>
      <c r="G1884" t="s"/>
      <c r="H1884" t="s"/>
      <c r="I1884" t="s"/>
      <c r="J1884" t="n">
        <v>0.7351</v>
      </c>
      <c r="K1884" t="n">
        <v>0</v>
      </c>
      <c r="L1884" t="n">
        <v>0.244</v>
      </c>
      <c r="M1884" t="n">
        <v>0.756</v>
      </c>
    </row>
    <row r="1885" spans="1:13">
      <c r="A1885" s="1">
        <f>HYPERLINK("http://www.twitter.com/NathanBLawrence/status/992110732610224128", "992110732610224128")</f>
        <v/>
      </c>
      <c r="B1885" s="2" t="n">
        <v>43223.77552083333</v>
      </c>
      <c r="C1885" t="n">
        <v>0</v>
      </c>
      <c r="D1885" t="n">
        <v>1</v>
      </c>
      <c r="E1885" t="s">
        <v>1884</v>
      </c>
      <c r="F1885">
        <f>HYPERLINK("http://pbs.twimg.com/media/DcSu20uWAAAvVsb.jpg", "http://pbs.twimg.com/media/DcSu20uWAAAvVsb.jpg")</f>
        <v/>
      </c>
      <c r="G1885" t="s"/>
      <c r="H1885" t="s"/>
      <c r="I1885" t="s"/>
      <c r="J1885" t="n">
        <v>0</v>
      </c>
      <c r="K1885" t="n">
        <v>0</v>
      </c>
      <c r="L1885" t="n">
        <v>1</v>
      </c>
      <c r="M1885" t="n">
        <v>0</v>
      </c>
    </row>
    <row r="1886" spans="1:13">
      <c r="A1886" s="1">
        <f>HYPERLINK("http://www.twitter.com/NathanBLawrence/status/992110404011745281", "992110404011745281")</f>
        <v/>
      </c>
      <c r="B1886" s="2" t="n">
        <v>43223.77461805556</v>
      </c>
      <c r="C1886" t="n">
        <v>4</v>
      </c>
      <c r="D1886" t="n">
        <v>3</v>
      </c>
      <c r="E1886" t="s">
        <v>1885</v>
      </c>
      <c r="F1886" t="s"/>
      <c r="G1886" t="s"/>
      <c r="H1886" t="s"/>
      <c r="I1886" t="s"/>
      <c r="J1886" t="n">
        <v>0.3612</v>
      </c>
      <c r="K1886" t="n">
        <v>0</v>
      </c>
      <c r="L1886" t="n">
        <v>0.894</v>
      </c>
      <c r="M1886" t="n">
        <v>0.106</v>
      </c>
    </row>
    <row r="1887" spans="1:13">
      <c r="A1887" s="1">
        <f>HYPERLINK("http://www.twitter.com/NathanBLawrence/status/992109571429863426", "992109571429863426")</f>
        <v/>
      </c>
      <c r="B1887" s="2" t="n">
        <v>43223.77231481481</v>
      </c>
      <c r="C1887" t="n">
        <v>0</v>
      </c>
      <c r="D1887" t="n">
        <v>9</v>
      </c>
      <c r="E1887" t="s">
        <v>1886</v>
      </c>
      <c r="F1887" t="s"/>
      <c r="G1887" t="s"/>
      <c r="H1887" t="s"/>
      <c r="I1887" t="s"/>
      <c r="J1887" t="n">
        <v>0</v>
      </c>
      <c r="K1887" t="n">
        <v>0</v>
      </c>
      <c r="L1887" t="n">
        <v>1</v>
      </c>
      <c r="M1887" t="n">
        <v>0</v>
      </c>
    </row>
    <row r="1888" spans="1:13">
      <c r="A1888" s="1">
        <f>HYPERLINK("http://www.twitter.com/NathanBLawrence/status/992109529939791872", "992109529939791872")</f>
        <v/>
      </c>
      <c r="B1888" s="2" t="n">
        <v>43223.77221064815</v>
      </c>
      <c r="C1888" t="n">
        <v>0</v>
      </c>
      <c r="D1888" t="n">
        <v>7</v>
      </c>
      <c r="E1888" t="s">
        <v>1887</v>
      </c>
      <c r="F1888" t="s"/>
      <c r="G1888" t="s"/>
      <c r="H1888" t="s"/>
      <c r="I1888" t="s"/>
      <c r="J1888" t="n">
        <v>0.5732</v>
      </c>
      <c r="K1888" t="n">
        <v>0</v>
      </c>
      <c r="L1888" t="n">
        <v>0.778</v>
      </c>
      <c r="M1888" t="n">
        <v>0.222</v>
      </c>
    </row>
    <row r="1889" spans="1:13">
      <c r="A1889" s="1">
        <f>HYPERLINK("http://www.twitter.com/NathanBLawrence/status/992109102359896065", "992109102359896065")</f>
        <v/>
      </c>
      <c r="B1889" s="2" t="n">
        <v>43223.77103009259</v>
      </c>
      <c r="C1889" t="n">
        <v>0</v>
      </c>
      <c r="D1889" t="n">
        <v>0</v>
      </c>
      <c r="E1889" t="s">
        <v>1888</v>
      </c>
      <c r="F1889" t="s"/>
      <c r="G1889" t="s"/>
      <c r="H1889" t="s"/>
      <c r="I1889" t="s"/>
      <c r="J1889" t="n">
        <v>0.2023</v>
      </c>
      <c r="K1889" t="n">
        <v>0.124</v>
      </c>
      <c r="L1889" t="n">
        <v>0.706</v>
      </c>
      <c r="M1889" t="n">
        <v>0.171</v>
      </c>
    </row>
    <row r="1890" spans="1:13">
      <c r="A1890" s="1">
        <f>HYPERLINK("http://www.twitter.com/NathanBLawrence/status/992108638755049473", "992108638755049473")</f>
        <v/>
      </c>
      <c r="B1890" s="2" t="n">
        <v>43223.76974537037</v>
      </c>
      <c r="C1890" t="n">
        <v>0</v>
      </c>
      <c r="D1890" t="n">
        <v>0</v>
      </c>
      <c r="E1890" t="s">
        <v>1889</v>
      </c>
      <c r="F1890" t="s"/>
      <c r="G1890" t="s"/>
      <c r="H1890" t="s"/>
      <c r="I1890" t="s"/>
      <c r="J1890" t="n">
        <v>-0.1921</v>
      </c>
      <c r="K1890" t="n">
        <v>0.143</v>
      </c>
      <c r="L1890" t="n">
        <v>0.762</v>
      </c>
      <c r="M1890" t="n">
        <v>0.095</v>
      </c>
    </row>
    <row r="1891" spans="1:13">
      <c r="A1891" s="1">
        <f>HYPERLINK("http://www.twitter.com/NathanBLawrence/status/992107480103702528", "992107480103702528")</f>
        <v/>
      </c>
      <c r="B1891" s="2" t="n">
        <v>43223.76655092592</v>
      </c>
      <c r="C1891" t="n">
        <v>0</v>
      </c>
      <c r="D1891" t="n">
        <v>5</v>
      </c>
      <c r="E1891" t="s">
        <v>1890</v>
      </c>
      <c r="F1891">
        <f>HYPERLINK("https://video.twimg.com/ext_tw_video/992106500868005888/pu/vid/688x360/OyX-OGU0iPMcxRar.mp4?tag=3", "https://video.twimg.com/ext_tw_video/992106500868005888/pu/vid/688x360/OyX-OGU0iPMcxRar.mp4?tag=3")</f>
        <v/>
      </c>
      <c r="G1891" t="s"/>
      <c r="H1891" t="s"/>
      <c r="I1891" t="s"/>
      <c r="J1891" t="n">
        <v>-0.0772</v>
      </c>
      <c r="K1891" t="n">
        <v>0.167</v>
      </c>
      <c r="L1891" t="n">
        <v>0.6830000000000001</v>
      </c>
      <c r="M1891" t="n">
        <v>0.15</v>
      </c>
    </row>
    <row r="1892" spans="1:13">
      <c r="A1892" s="1">
        <f>HYPERLINK("http://www.twitter.com/NathanBLawrence/status/992104198442487810", "992104198442487810")</f>
        <v/>
      </c>
      <c r="B1892" s="2" t="n">
        <v>43223.75748842592</v>
      </c>
      <c r="C1892" t="n">
        <v>5</v>
      </c>
      <c r="D1892" t="n">
        <v>5</v>
      </c>
      <c r="E1892" t="s">
        <v>1891</v>
      </c>
      <c r="F1892">
        <f>HYPERLINK("http://pbs.twimg.com/media/DcSpgPNVQAAcoxT.jpg", "http://pbs.twimg.com/media/DcSpgPNVQAAcoxT.jpg")</f>
        <v/>
      </c>
      <c r="G1892" t="s"/>
      <c r="H1892" t="s"/>
      <c r="I1892" t="s"/>
      <c r="J1892" t="n">
        <v>0</v>
      </c>
      <c r="K1892" t="n">
        <v>0</v>
      </c>
      <c r="L1892" t="n">
        <v>1</v>
      </c>
      <c r="M1892" t="n">
        <v>0</v>
      </c>
    </row>
    <row r="1893" spans="1:13">
      <c r="A1893" s="1">
        <f>HYPERLINK("http://www.twitter.com/NathanBLawrence/status/992103984293990400", "992103984293990400")</f>
        <v/>
      </c>
      <c r="B1893" s="2" t="n">
        <v>43223.75689814815</v>
      </c>
      <c r="C1893" t="n">
        <v>0</v>
      </c>
      <c r="D1893" t="n">
        <v>12</v>
      </c>
      <c r="E1893" t="s">
        <v>1892</v>
      </c>
      <c r="F1893">
        <f>HYPERLINK("https://video.twimg.com/ext_tw_video/992103758938095616/pu/vid/240x180/mtx81LwtkF0kVe3E.mp4?tag=3", "https://video.twimg.com/ext_tw_video/992103758938095616/pu/vid/240x180/mtx81LwtkF0kVe3E.mp4?tag=3")</f>
        <v/>
      </c>
      <c r="G1893" t="s"/>
      <c r="H1893" t="s"/>
      <c r="I1893" t="s"/>
      <c r="J1893" t="n">
        <v>0.2263</v>
      </c>
      <c r="K1893" t="n">
        <v>0</v>
      </c>
      <c r="L1893" t="n">
        <v>0.872</v>
      </c>
      <c r="M1893" t="n">
        <v>0.128</v>
      </c>
    </row>
    <row r="1894" spans="1:13">
      <c r="A1894" s="1">
        <f>HYPERLINK("http://www.twitter.com/NathanBLawrence/status/992103788973576193", "992103788973576193")</f>
        <v/>
      </c>
      <c r="B1894" s="2" t="n">
        <v>43223.75636574074</v>
      </c>
      <c r="C1894" t="n">
        <v>12</v>
      </c>
      <c r="D1894" t="n">
        <v>12</v>
      </c>
      <c r="E1894" t="s">
        <v>1893</v>
      </c>
      <c r="F1894">
        <f>HYPERLINK("https://video.twimg.com/ext_tw_video/992103758938095616/pu/vid/240x180/mtx81LwtkF0kVe3E.mp4?tag=3", "https://video.twimg.com/ext_tw_video/992103758938095616/pu/vid/240x180/mtx81LwtkF0kVe3E.mp4?tag=3")</f>
        <v/>
      </c>
      <c r="G1894" t="s"/>
      <c r="H1894" t="s"/>
      <c r="I1894" t="s"/>
      <c r="J1894" t="n">
        <v>0.4404</v>
      </c>
      <c r="K1894" t="n">
        <v>0.076</v>
      </c>
      <c r="L1894" t="n">
        <v>0.764</v>
      </c>
      <c r="M1894" t="n">
        <v>0.159</v>
      </c>
    </row>
    <row r="1895" spans="1:13">
      <c r="A1895" s="1">
        <f>HYPERLINK("http://www.twitter.com/NathanBLawrence/status/992095951715123200", "992095951715123200")</f>
        <v/>
      </c>
      <c r="B1895" s="2" t="n">
        <v>43223.73473379629</v>
      </c>
      <c r="C1895" t="n">
        <v>0</v>
      </c>
      <c r="D1895" t="n">
        <v>2</v>
      </c>
      <c r="E1895" t="s">
        <v>1894</v>
      </c>
      <c r="F1895" t="s"/>
      <c r="G1895" t="s"/>
      <c r="H1895" t="s"/>
      <c r="I1895" t="s"/>
      <c r="J1895" t="n">
        <v>0</v>
      </c>
      <c r="K1895" t="n">
        <v>0</v>
      </c>
      <c r="L1895" t="n">
        <v>1</v>
      </c>
      <c r="M1895" t="n">
        <v>0</v>
      </c>
    </row>
    <row r="1896" spans="1:13">
      <c r="A1896" s="1">
        <f>HYPERLINK("http://www.twitter.com/NathanBLawrence/status/992095920828235777", "992095920828235777")</f>
        <v/>
      </c>
      <c r="B1896" s="2" t="n">
        <v>43223.73465277778</v>
      </c>
      <c r="C1896" t="n">
        <v>0</v>
      </c>
      <c r="D1896" t="n">
        <v>5</v>
      </c>
      <c r="E1896" t="s">
        <v>1895</v>
      </c>
      <c r="F1896" t="s"/>
      <c r="G1896" t="s"/>
      <c r="H1896" t="s"/>
      <c r="I1896" t="s"/>
      <c r="J1896" t="n">
        <v>0</v>
      </c>
      <c r="K1896" t="n">
        <v>0</v>
      </c>
      <c r="L1896" t="n">
        <v>1</v>
      </c>
      <c r="M1896" t="n">
        <v>0</v>
      </c>
    </row>
    <row r="1897" spans="1:13">
      <c r="A1897" s="1">
        <f>HYPERLINK("http://www.twitter.com/NathanBLawrence/status/992095895381422080", "992095895381422080")</f>
        <v/>
      </c>
      <c r="B1897" s="2" t="n">
        <v>43223.73458333333</v>
      </c>
      <c r="C1897" t="n">
        <v>0</v>
      </c>
      <c r="D1897" t="n">
        <v>3</v>
      </c>
      <c r="E1897" t="s">
        <v>1896</v>
      </c>
      <c r="F1897" t="s"/>
      <c r="G1897" t="s"/>
      <c r="H1897" t="s"/>
      <c r="I1897" t="s"/>
      <c r="J1897" t="n">
        <v>0</v>
      </c>
      <c r="K1897" t="n">
        <v>0</v>
      </c>
      <c r="L1897" t="n">
        <v>1</v>
      </c>
      <c r="M1897" t="n">
        <v>0</v>
      </c>
    </row>
    <row r="1898" spans="1:13">
      <c r="A1898" s="1">
        <f>HYPERLINK("http://www.twitter.com/NathanBLawrence/status/992095787281608705", "992095787281608705")</f>
        <v/>
      </c>
      <c r="B1898" s="2" t="n">
        <v>43223.73428240741</v>
      </c>
      <c r="C1898" t="n">
        <v>0</v>
      </c>
      <c r="D1898" t="n">
        <v>3</v>
      </c>
      <c r="E1898" t="s">
        <v>1897</v>
      </c>
      <c r="F1898" t="s"/>
      <c r="G1898" t="s"/>
      <c r="H1898" t="s"/>
      <c r="I1898" t="s"/>
      <c r="J1898" t="n">
        <v>-0.34</v>
      </c>
      <c r="K1898" t="n">
        <v>0.179</v>
      </c>
      <c r="L1898" t="n">
        <v>0.821</v>
      </c>
      <c r="M1898" t="n">
        <v>0</v>
      </c>
    </row>
    <row r="1899" spans="1:13">
      <c r="A1899" s="1">
        <f>HYPERLINK("http://www.twitter.com/NathanBLawrence/status/992095729240887296", "992095729240887296")</f>
        <v/>
      </c>
      <c r="B1899" s="2" t="n">
        <v>43223.73412037037</v>
      </c>
      <c r="C1899" t="n">
        <v>0</v>
      </c>
      <c r="D1899" t="n">
        <v>8674</v>
      </c>
      <c r="E1899" t="s">
        <v>1898</v>
      </c>
      <c r="F1899" t="s"/>
      <c r="G1899" t="s"/>
      <c r="H1899" t="s"/>
      <c r="I1899" t="s"/>
      <c r="J1899" t="n">
        <v>0</v>
      </c>
      <c r="K1899" t="n">
        <v>0</v>
      </c>
      <c r="L1899" t="n">
        <v>1</v>
      </c>
      <c r="M1899" t="n">
        <v>0</v>
      </c>
    </row>
    <row r="1900" spans="1:13">
      <c r="A1900" s="1">
        <f>HYPERLINK("http://www.twitter.com/NathanBLawrence/status/992095126884241408", "992095126884241408")</f>
        <v/>
      </c>
      <c r="B1900" s="2" t="n">
        <v>43223.73246527778</v>
      </c>
      <c r="C1900" t="n">
        <v>2</v>
      </c>
      <c r="D1900" t="n">
        <v>3</v>
      </c>
      <c r="E1900" t="s">
        <v>1899</v>
      </c>
      <c r="F1900" t="s"/>
      <c r="G1900" t="s"/>
      <c r="H1900" t="s"/>
      <c r="I1900" t="s"/>
      <c r="J1900" t="n">
        <v>-0.34</v>
      </c>
      <c r="K1900" t="n">
        <v>0.211</v>
      </c>
      <c r="L1900" t="n">
        <v>0.789</v>
      </c>
      <c r="M1900" t="n">
        <v>0</v>
      </c>
    </row>
    <row r="1901" spans="1:13">
      <c r="A1901" s="1">
        <f>HYPERLINK("http://www.twitter.com/NathanBLawrence/status/992094222948810753", "992094222948810753")</f>
        <v/>
      </c>
      <c r="B1901" s="2" t="n">
        <v>43223.72996527778</v>
      </c>
      <c r="C1901" t="n">
        <v>0</v>
      </c>
      <c r="D1901" t="n">
        <v>5</v>
      </c>
      <c r="E1901" t="s">
        <v>1900</v>
      </c>
      <c r="F1901">
        <f>HYPERLINK("http://pbs.twimg.com/media/DcSgIPWV4AInUTH.jpg", "http://pbs.twimg.com/media/DcSgIPWV4AInUTH.jpg")</f>
        <v/>
      </c>
      <c r="G1901" t="s"/>
      <c r="H1901" t="s"/>
      <c r="I1901" t="s"/>
      <c r="J1901" t="n">
        <v>0</v>
      </c>
      <c r="K1901" t="n">
        <v>0</v>
      </c>
      <c r="L1901" t="n">
        <v>1</v>
      </c>
      <c r="M1901" t="n">
        <v>0</v>
      </c>
    </row>
    <row r="1902" spans="1:13">
      <c r="A1902" s="1">
        <f>HYPERLINK("http://www.twitter.com/NathanBLawrence/status/992093712531402752", "992093712531402752")</f>
        <v/>
      </c>
      <c r="B1902" s="2" t="n">
        <v>43223.72855324074</v>
      </c>
      <c r="C1902" t="n">
        <v>0</v>
      </c>
      <c r="D1902" t="n">
        <v>2</v>
      </c>
      <c r="E1902" t="s">
        <v>1901</v>
      </c>
      <c r="F1902" t="s"/>
      <c r="G1902" t="s"/>
      <c r="H1902" t="s"/>
      <c r="I1902" t="s"/>
      <c r="J1902" t="n">
        <v>0</v>
      </c>
      <c r="K1902" t="n">
        <v>0</v>
      </c>
      <c r="L1902" t="n">
        <v>1</v>
      </c>
      <c r="M1902" t="n">
        <v>0</v>
      </c>
    </row>
    <row r="1903" spans="1:13">
      <c r="A1903" s="1">
        <f>HYPERLINK("http://www.twitter.com/NathanBLawrence/status/992093617308057601", "992093617308057601")</f>
        <v/>
      </c>
      <c r="B1903" s="2" t="n">
        <v>43223.72829861111</v>
      </c>
      <c r="C1903" t="n">
        <v>5</v>
      </c>
      <c r="D1903" t="n">
        <v>2</v>
      </c>
      <c r="E1903" t="s">
        <v>1902</v>
      </c>
      <c r="F1903" t="s"/>
      <c r="G1903" t="s"/>
      <c r="H1903" t="s"/>
      <c r="I1903" t="s"/>
      <c r="J1903" t="n">
        <v>0</v>
      </c>
      <c r="K1903" t="n">
        <v>0</v>
      </c>
      <c r="L1903" t="n">
        <v>1</v>
      </c>
      <c r="M1903" t="n">
        <v>0</v>
      </c>
    </row>
    <row r="1904" spans="1:13">
      <c r="A1904" s="1">
        <f>HYPERLINK("http://www.twitter.com/NathanBLawrence/status/992093381621788672", "992093381621788672")</f>
        <v/>
      </c>
      <c r="B1904" s="2" t="n">
        <v>43223.72765046296</v>
      </c>
      <c r="C1904" t="n">
        <v>0</v>
      </c>
      <c r="D1904" t="n">
        <v>244</v>
      </c>
      <c r="E1904" t="s">
        <v>1903</v>
      </c>
      <c r="F1904" t="s"/>
      <c r="G1904" t="s"/>
      <c r="H1904" t="s"/>
      <c r="I1904" t="s"/>
      <c r="J1904" t="n">
        <v>0</v>
      </c>
      <c r="K1904" t="n">
        <v>0</v>
      </c>
      <c r="L1904" t="n">
        <v>1</v>
      </c>
      <c r="M1904" t="n">
        <v>0</v>
      </c>
    </row>
    <row r="1905" spans="1:13">
      <c r="A1905" s="1">
        <f>HYPERLINK("http://www.twitter.com/NathanBLawrence/status/992093204546637824", "992093204546637824")</f>
        <v/>
      </c>
      <c r="B1905" s="2" t="n">
        <v>43223.72715277778</v>
      </c>
      <c r="C1905" t="n">
        <v>1</v>
      </c>
      <c r="D1905" t="n">
        <v>1</v>
      </c>
      <c r="E1905" t="s">
        <v>1904</v>
      </c>
      <c r="F1905" t="s"/>
      <c r="G1905" t="s"/>
      <c r="H1905" t="s"/>
      <c r="I1905" t="s"/>
      <c r="J1905" t="n">
        <v>-0.5423</v>
      </c>
      <c r="K1905" t="n">
        <v>0.304</v>
      </c>
      <c r="L1905" t="n">
        <v>0.696</v>
      </c>
      <c r="M1905" t="n">
        <v>0</v>
      </c>
    </row>
    <row r="1906" spans="1:13">
      <c r="A1906" s="1">
        <f>HYPERLINK("http://www.twitter.com/NathanBLawrence/status/992093050548568064", "992093050548568064")</f>
        <v/>
      </c>
      <c r="B1906" s="2" t="n">
        <v>43223.72673611111</v>
      </c>
      <c r="C1906" t="n">
        <v>0</v>
      </c>
      <c r="D1906" t="n">
        <v>57</v>
      </c>
      <c r="E1906" t="s">
        <v>1905</v>
      </c>
      <c r="F1906">
        <f>HYPERLINK("http://pbs.twimg.com/media/DcSdE2nU0AA_az5.jpg", "http://pbs.twimg.com/media/DcSdE2nU0AA_az5.jpg")</f>
        <v/>
      </c>
      <c r="G1906" t="s"/>
      <c r="H1906" t="s"/>
      <c r="I1906" t="s"/>
      <c r="J1906" t="n">
        <v>0</v>
      </c>
      <c r="K1906" t="n">
        <v>0</v>
      </c>
      <c r="L1906" t="n">
        <v>1</v>
      </c>
      <c r="M1906" t="n">
        <v>0</v>
      </c>
    </row>
    <row r="1907" spans="1:13">
      <c r="A1907" s="1">
        <f>HYPERLINK("http://www.twitter.com/NathanBLawrence/status/992092824874057729", "992092824874057729")</f>
        <v/>
      </c>
      <c r="B1907" s="2" t="n">
        <v>43223.72611111111</v>
      </c>
      <c r="C1907" t="n">
        <v>0</v>
      </c>
      <c r="D1907" t="n">
        <v>1</v>
      </c>
      <c r="E1907" t="s">
        <v>1906</v>
      </c>
      <c r="F1907" t="s"/>
      <c r="G1907" t="s"/>
      <c r="H1907" t="s"/>
      <c r="I1907" t="s"/>
      <c r="J1907" t="n">
        <v>0</v>
      </c>
      <c r="K1907" t="n">
        <v>0</v>
      </c>
      <c r="L1907" t="n">
        <v>1</v>
      </c>
      <c r="M1907" t="n">
        <v>0</v>
      </c>
    </row>
    <row r="1908" spans="1:13">
      <c r="A1908" s="1">
        <f>HYPERLINK("http://www.twitter.com/NathanBLawrence/status/992092719601209351", "992092719601209351")</f>
        <v/>
      </c>
      <c r="B1908" s="2" t="n">
        <v>43223.72582175926</v>
      </c>
      <c r="C1908" t="n">
        <v>0</v>
      </c>
      <c r="D1908" t="n">
        <v>242</v>
      </c>
      <c r="E1908" t="s">
        <v>1907</v>
      </c>
      <c r="F1908">
        <f>HYPERLINK("http://pbs.twimg.com/media/DcSAVfyX0AApRwX.jpg", "http://pbs.twimg.com/media/DcSAVfyX0AApRwX.jpg")</f>
        <v/>
      </c>
      <c r="G1908" t="s"/>
      <c r="H1908" t="s"/>
      <c r="I1908" t="s"/>
      <c r="J1908" t="n">
        <v>0.3818</v>
      </c>
      <c r="K1908" t="n">
        <v>0</v>
      </c>
      <c r="L1908" t="n">
        <v>0.89</v>
      </c>
      <c r="M1908" t="n">
        <v>0.11</v>
      </c>
    </row>
    <row r="1909" spans="1:13">
      <c r="A1909" s="1">
        <f>HYPERLINK("http://www.twitter.com/NathanBLawrence/status/992092628115075080", "992092628115075080")</f>
        <v/>
      </c>
      <c r="B1909" s="2" t="n">
        <v>43223.72556712963</v>
      </c>
      <c r="C1909" t="n">
        <v>0</v>
      </c>
      <c r="D1909" t="n">
        <v>1</v>
      </c>
      <c r="E1909" t="s">
        <v>1908</v>
      </c>
      <c r="F1909" t="s"/>
      <c r="G1909" t="s"/>
      <c r="H1909" t="s"/>
      <c r="I1909" t="s"/>
      <c r="J1909" t="n">
        <v>0.3612</v>
      </c>
      <c r="K1909" t="n">
        <v>0</v>
      </c>
      <c r="L1909" t="n">
        <v>0.894</v>
      </c>
      <c r="M1909" t="n">
        <v>0.106</v>
      </c>
    </row>
    <row r="1910" spans="1:13">
      <c r="A1910" s="1">
        <f>HYPERLINK("http://www.twitter.com/NathanBLawrence/status/992092570149797888", "992092570149797888")</f>
        <v/>
      </c>
      <c r="B1910" s="2" t="n">
        <v>43223.72540509259</v>
      </c>
      <c r="C1910" t="n">
        <v>2</v>
      </c>
      <c r="D1910" t="n">
        <v>1</v>
      </c>
      <c r="E1910" t="s">
        <v>1909</v>
      </c>
      <c r="F1910" t="s"/>
      <c r="G1910" t="s"/>
      <c r="H1910" t="s"/>
      <c r="I1910" t="s"/>
      <c r="J1910" t="n">
        <v>0</v>
      </c>
      <c r="K1910" t="n">
        <v>0</v>
      </c>
      <c r="L1910" t="n">
        <v>1</v>
      </c>
      <c r="M1910" t="n">
        <v>0</v>
      </c>
    </row>
    <row r="1911" spans="1:13">
      <c r="A1911" s="1">
        <f>HYPERLINK("http://www.twitter.com/NathanBLawrence/status/992092373755703296", "992092373755703296")</f>
        <v/>
      </c>
      <c r="B1911" s="2" t="n">
        <v>43223.72486111111</v>
      </c>
      <c r="C1911" t="n">
        <v>0</v>
      </c>
      <c r="D1911" t="n">
        <v>1</v>
      </c>
      <c r="E1911" t="s">
        <v>1910</v>
      </c>
      <c r="F1911" t="s"/>
      <c r="G1911" t="s"/>
      <c r="H1911" t="s"/>
      <c r="I1911" t="s"/>
      <c r="J1911" t="n">
        <v>-0.1217</v>
      </c>
      <c r="K1911" t="n">
        <v>0.139</v>
      </c>
      <c r="L1911" t="n">
        <v>0.742</v>
      </c>
      <c r="M1911" t="n">
        <v>0.119</v>
      </c>
    </row>
    <row r="1912" spans="1:13">
      <c r="A1912" s="1">
        <f>HYPERLINK("http://www.twitter.com/NathanBLawrence/status/992092282491879424", "992092282491879424")</f>
        <v/>
      </c>
      <c r="B1912" s="2" t="n">
        <v>43223.72460648148</v>
      </c>
      <c r="C1912" t="n">
        <v>0</v>
      </c>
      <c r="D1912" t="n">
        <v>3</v>
      </c>
      <c r="E1912" t="s">
        <v>1911</v>
      </c>
      <c r="F1912" t="s"/>
      <c r="G1912" t="s"/>
      <c r="H1912" t="s"/>
      <c r="I1912" t="s"/>
      <c r="J1912" t="n">
        <v>0</v>
      </c>
      <c r="K1912" t="n">
        <v>0</v>
      </c>
      <c r="L1912" t="n">
        <v>1</v>
      </c>
      <c r="M1912" t="n">
        <v>0</v>
      </c>
    </row>
    <row r="1913" spans="1:13">
      <c r="A1913" s="1">
        <f>HYPERLINK("http://www.twitter.com/NathanBLawrence/status/992092243564511233", "992092243564511233")</f>
        <v/>
      </c>
      <c r="B1913" s="2" t="n">
        <v>43223.72450231481</v>
      </c>
      <c r="C1913" t="n">
        <v>1</v>
      </c>
      <c r="D1913" t="n">
        <v>0</v>
      </c>
      <c r="E1913" t="s">
        <v>1912</v>
      </c>
      <c r="F1913" t="s"/>
      <c r="G1913" t="s"/>
      <c r="H1913" t="s"/>
      <c r="I1913" t="s"/>
      <c r="J1913" t="n">
        <v>0</v>
      </c>
      <c r="K1913" t="n">
        <v>0</v>
      </c>
      <c r="L1913" t="n">
        <v>1</v>
      </c>
      <c r="M1913" t="n">
        <v>0</v>
      </c>
    </row>
    <row r="1914" spans="1:13">
      <c r="A1914" s="1">
        <f>HYPERLINK("http://www.twitter.com/NathanBLawrence/status/992091900944441344", "992091900944441344")</f>
        <v/>
      </c>
      <c r="B1914" s="2" t="n">
        <v>43223.72356481481</v>
      </c>
      <c r="C1914" t="n">
        <v>2</v>
      </c>
      <c r="D1914" t="n">
        <v>2</v>
      </c>
      <c r="E1914" t="s">
        <v>1913</v>
      </c>
      <c r="F1914" t="s"/>
      <c r="G1914" t="s"/>
      <c r="H1914" t="s"/>
      <c r="I1914" t="s"/>
      <c r="J1914" t="n">
        <v>0</v>
      </c>
      <c r="K1914" t="n">
        <v>0</v>
      </c>
      <c r="L1914" t="n">
        <v>1</v>
      </c>
      <c r="M1914" t="n">
        <v>0</v>
      </c>
    </row>
    <row r="1915" spans="1:13">
      <c r="A1915" s="1">
        <f>HYPERLINK("http://www.twitter.com/NathanBLawrence/status/992091526275649536", "992091526275649536")</f>
        <v/>
      </c>
      <c r="B1915" s="2" t="n">
        <v>43223.72252314815</v>
      </c>
      <c r="C1915" t="n">
        <v>0</v>
      </c>
      <c r="D1915" t="n">
        <v>5</v>
      </c>
      <c r="E1915" t="s">
        <v>1914</v>
      </c>
      <c r="F1915" t="s"/>
      <c r="G1915" t="s"/>
      <c r="H1915" t="s"/>
      <c r="I1915" t="s"/>
      <c r="J1915" t="n">
        <v>0</v>
      </c>
      <c r="K1915" t="n">
        <v>0</v>
      </c>
      <c r="L1915" t="n">
        <v>1</v>
      </c>
      <c r="M1915" t="n">
        <v>0</v>
      </c>
    </row>
    <row r="1916" spans="1:13">
      <c r="A1916" s="1">
        <f>HYPERLINK("http://www.twitter.com/NathanBLawrence/status/992091342346989568", "992091342346989568")</f>
        <v/>
      </c>
      <c r="B1916" s="2" t="n">
        <v>43223.72201388889</v>
      </c>
      <c r="C1916" t="n">
        <v>1</v>
      </c>
      <c r="D1916" t="n">
        <v>0</v>
      </c>
      <c r="E1916" t="s">
        <v>1915</v>
      </c>
      <c r="F1916" t="s"/>
      <c r="G1916" t="s"/>
      <c r="H1916" t="s"/>
      <c r="I1916" t="s"/>
      <c r="J1916" t="n">
        <v>0</v>
      </c>
      <c r="K1916" t="n">
        <v>0</v>
      </c>
      <c r="L1916" t="n">
        <v>1</v>
      </c>
      <c r="M1916" t="n">
        <v>0</v>
      </c>
    </row>
    <row r="1917" spans="1:13">
      <c r="A1917" s="1">
        <f>HYPERLINK("http://www.twitter.com/NathanBLawrence/status/992090486004318208", "992090486004318208")</f>
        <v/>
      </c>
      <c r="B1917" s="2" t="n">
        <v>43223.71965277778</v>
      </c>
      <c r="C1917" t="n">
        <v>1</v>
      </c>
      <c r="D1917" t="n">
        <v>0</v>
      </c>
      <c r="E1917" t="s">
        <v>1916</v>
      </c>
      <c r="F1917" t="s"/>
      <c r="G1917" t="s"/>
      <c r="H1917" t="s"/>
      <c r="I1917" t="s"/>
      <c r="J1917" t="n">
        <v>0</v>
      </c>
      <c r="K1917" t="n">
        <v>0</v>
      </c>
      <c r="L1917" t="n">
        <v>1</v>
      </c>
      <c r="M1917" t="n">
        <v>0</v>
      </c>
    </row>
    <row r="1918" spans="1:13">
      <c r="A1918" s="1">
        <f>HYPERLINK("http://www.twitter.com/NathanBLawrence/status/992089183421251584", "992089183421251584")</f>
        <v/>
      </c>
      <c r="B1918" s="2" t="n">
        <v>43223.71606481481</v>
      </c>
      <c r="C1918" t="n">
        <v>0</v>
      </c>
      <c r="D1918" t="n">
        <v>1</v>
      </c>
      <c r="E1918" t="s">
        <v>1917</v>
      </c>
      <c r="F1918" t="s"/>
      <c r="G1918" t="s"/>
      <c r="H1918" t="s"/>
      <c r="I1918" t="s"/>
      <c r="J1918" t="n">
        <v>0.8622</v>
      </c>
      <c r="K1918" t="n">
        <v>0</v>
      </c>
      <c r="L1918" t="n">
        <v>0.676</v>
      </c>
      <c r="M1918" t="n">
        <v>0.324</v>
      </c>
    </row>
    <row r="1919" spans="1:13">
      <c r="A1919" s="1">
        <f>HYPERLINK("http://www.twitter.com/NathanBLawrence/status/992089117310660608", "992089117310660608")</f>
        <v/>
      </c>
      <c r="B1919" s="2" t="n">
        <v>43223.71587962963</v>
      </c>
      <c r="C1919" t="n">
        <v>2</v>
      </c>
      <c r="D1919" t="n">
        <v>0</v>
      </c>
      <c r="E1919" t="s">
        <v>1918</v>
      </c>
      <c r="F1919" t="s"/>
      <c r="G1919" t="s"/>
      <c r="H1919" t="s"/>
      <c r="I1919" t="s"/>
      <c r="J1919" t="n">
        <v>0</v>
      </c>
      <c r="K1919" t="n">
        <v>0</v>
      </c>
      <c r="L1919" t="n">
        <v>1</v>
      </c>
      <c r="M1919" t="n">
        <v>0</v>
      </c>
    </row>
    <row r="1920" spans="1:13">
      <c r="A1920" s="1">
        <f>HYPERLINK("http://www.twitter.com/NathanBLawrence/status/992088222250385410", "992088222250385410")</f>
        <v/>
      </c>
      <c r="B1920" s="2" t="n">
        <v>43223.71340277778</v>
      </c>
      <c r="C1920" t="n">
        <v>1</v>
      </c>
      <c r="D1920" t="n">
        <v>0</v>
      </c>
      <c r="E1920" t="s">
        <v>1919</v>
      </c>
      <c r="F1920" t="s"/>
      <c r="G1920" t="s"/>
      <c r="H1920" t="s"/>
      <c r="I1920" t="s"/>
      <c r="J1920" t="n">
        <v>-0.1027</v>
      </c>
      <c r="K1920" t="n">
        <v>0.167</v>
      </c>
      <c r="L1920" t="n">
        <v>0.833</v>
      </c>
      <c r="M1920" t="n">
        <v>0</v>
      </c>
    </row>
    <row r="1921" spans="1:13">
      <c r="A1921" s="1">
        <f>HYPERLINK("http://www.twitter.com/NathanBLawrence/status/992087690643324928", "992087690643324928")</f>
        <v/>
      </c>
      <c r="B1921" s="2" t="n">
        <v>43223.71194444445</v>
      </c>
      <c r="C1921" t="n">
        <v>0</v>
      </c>
      <c r="D1921" t="n">
        <v>0</v>
      </c>
      <c r="E1921" t="s">
        <v>1920</v>
      </c>
      <c r="F1921" t="s"/>
      <c r="G1921" t="s"/>
      <c r="H1921" t="s"/>
      <c r="I1921" t="s"/>
      <c r="J1921" t="n">
        <v>0</v>
      </c>
      <c r="K1921" t="n">
        <v>0</v>
      </c>
      <c r="L1921" t="n">
        <v>1</v>
      </c>
      <c r="M1921" t="n">
        <v>0</v>
      </c>
    </row>
    <row r="1922" spans="1:13">
      <c r="A1922" s="1">
        <f>HYPERLINK("http://www.twitter.com/NathanBLawrence/status/992087098927845376", "992087098927845376")</f>
        <v/>
      </c>
      <c r="B1922" s="2" t="n">
        <v>43223.7103125</v>
      </c>
      <c r="C1922" t="n">
        <v>1</v>
      </c>
      <c r="D1922" t="n">
        <v>1</v>
      </c>
      <c r="E1922" t="s">
        <v>1921</v>
      </c>
      <c r="F1922" t="s"/>
      <c r="G1922" t="s"/>
      <c r="H1922" t="s"/>
      <c r="I1922" t="s"/>
      <c r="J1922" t="n">
        <v>0.4404</v>
      </c>
      <c r="K1922" t="n">
        <v>0</v>
      </c>
      <c r="L1922" t="n">
        <v>0.791</v>
      </c>
      <c r="M1922" t="n">
        <v>0.209</v>
      </c>
    </row>
    <row r="1923" spans="1:13">
      <c r="A1923" s="1">
        <f>HYPERLINK("http://www.twitter.com/NathanBLawrence/status/992086278500855808", "992086278500855808")</f>
        <v/>
      </c>
      <c r="B1923" s="2" t="n">
        <v>43223.70804398148</v>
      </c>
      <c r="C1923" t="n">
        <v>13</v>
      </c>
      <c r="D1923" t="n">
        <v>12</v>
      </c>
      <c r="E1923" t="s">
        <v>1922</v>
      </c>
      <c r="F1923" t="s"/>
      <c r="G1923" t="s"/>
      <c r="H1923" t="s"/>
      <c r="I1923" t="s"/>
      <c r="J1923" t="n">
        <v>-0.2732</v>
      </c>
      <c r="K1923" t="n">
        <v>0.116</v>
      </c>
      <c r="L1923" t="n">
        <v>0.884</v>
      </c>
      <c r="M1923" t="n">
        <v>0</v>
      </c>
    </row>
    <row r="1924" spans="1:13">
      <c r="A1924" s="1">
        <f>HYPERLINK("http://www.twitter.com/NathanBLawrence/status/992084145022136320", "992084145022136320")</f>
        <v/>
      </c>
      <c r="B1924" s="2" t="n">
        <v>43223.70215277778</v>
      </c>
      <c r="C1924" t="n">
        <v>0</v>
      </c>
      <c r="D1924" t="n">
        <v>52</v>
      </c>
      <c r="E1924" t="s">
        <v>1923</v>
      </c>
      <c r="F1924">
        <f>HYPERLINK("http://pbs.twimg.com/media/DcSWNl6WAAEzCnm.jpg", "http://pbs.twimg.com/media/DcSWNl6WAAEzCnm.jpg")</f>
        <v/>
      </c>
      <c r="G1924" t="s"/>
      <c r="H1924" t="s"/>
      <c r="I1924" t="s"/>
      <c r="J1924" t="n">
        <v>0.6597</v>
      </c>
      <c r="K1924" t="n">
        <v>0</v>
      </c>
      <c r="L1924" t="n">
        <v>0.707</v>
      </c>
      <c r="M1924" t="n">
        <v>0.293</v>
      </c>
    </row>
    <row r="1925" spans="1:13">
      <c r="A1925" s="1">
        <f>HYPERLINK("http://www.twitter.com/NathanBLawrence/status/992084018702245888", "992084018702245888")</f>
        <v/>
      </c>
      <c r="B1925" s="2" t="n">
        <v>43223.70180555555</v>
      </c>
      <c r="C1925" t="n">
        <v>26</v>
      </c>
      <c r="D1925" t="n">
        <v>20</v>
      </c>
      <c r="E1925" t="s">
        <v>1924</v>
      </c>
      <c r="F1925" t="s"/>
      <c r="G1925" t="s"/>
      <c r="H1925" t="s"/>
      <c r="I1925" t="s"/>
      <c r="J1925" t="n">
        <v>0.476</v>
      </c>
      <c r="K1925" t="n">
        <v>0.126</v>
      </c>
      <c r="L1925" t="n">
        <v>0.595</v>
      </c>
      <c r="M1925" t="n">
        <v>0.279</v>
      </c>
    </row>
    <row r="1926" spans="1:13">
      <c r="A1926" s="1">
        <f>HYPERLINK("http://www.twitter.com/NathanBLawrence/status/992082793881636864", "992082793881636864")</f>
        <v/>
      </c>
      <c r="B1926" s="2" t="n">
        <v>43223.69842592593</v>
      </c>
      <c r="C1926" t="n">
        <v>0</v>
      </c>
      <c r="D1926" t="n">
        <v>16</v>
      </c>
      <c r="E1926" t="s">
        <v>1925</v>
      </c>
      <c r="F1926" t="s"/>
      <c r="G1926" t="s"/>
      <c r="H1926" t="s"/>
      <c r="I1926" t="s"/>
      <c r="J1926" t="n">
        <v>0</v>
      </c>
      <c r="K1926" t="n">
        <v>0</v>
      </c>
      <c r="L1926" t="n">
        <v>1</v>
      </c>
      <c r="M1926" t="n">
        <v>0</v>
      </c>
    </row>
    <row r="1927" spans="1:13">
      <c r="A1927" s="1">
        <f>HYPERLINK("http://www.twitter.com/NathanBLawrence/status/992082735798849536", "992082735798849536")</f>
        <v/>
      </c>
      <c r="B1927" s="2" t="n">
        <v>43223.69826388889</v>
      </c>
      <c r="C1927" t="n">
        <v>1</v>
      </c>
      <c r="D1927" t="n">
        <v>0</v>
      </c>
      <c r="E1927" t="s">
        <v>1926</v>
      </c>
      <c r="F1927" t="s"/>
      <c r="G1927" t="s"/>
      <c r="H1927" t="s"/>
      <c r="I1927" t="s"/>
      <c r="J1927" t="n">
        <v>-0.34</v>
      </c>
      <c r="K1927" t="n">
        <v>0.156</v>
      </c>
      <c r="L1927" t="n">
        <v>0.844</v>
      </c>
      <c r="M1927" t="n">
        <v>0</v>
      </c>
    </row>
    <row r="1928" spans="1:13">
      <c r="A1928" s="1">
        <f>HYPERLINK("http://www.twitter.com/NathanBLawrence/status/992080970420490240", "992080970420490240")</f>
        <v/>
      </c>
      <c r="B1928" s="2" t="n">
        <v>43223.69339120371</v>
      </c>
      <c r="C1928" t="n">
        <v>0</v>
      </c>
      <c r="D1928" t="n">
        <v>4</v>
      </c>
      <c r="E1928" t="s">
        <v>1927</v>
      </c>
      <c r="F1928">
        <f>HYPERLINK("http://pbs.twimg.com/media/DcSPlUYU0AAkk1W.jpg", "http://pbs.twimg.com/media/DcSPlUYU0AAkk1W.jpg")</f>
        <v/>
      </c>
      <c r="G1928" t="s"/>
      <c r="H1928" t="s"/>
      <c r="I1928" t="s"/>
      <c r="J1928" t="n">
        <v>-0.4404</v>
      </c>
      <c r="K1928" t="n">
        <v>0.367</v>
      </c>
      <c r="L1928" t="n">
        <v>0.633</v>
      </c>
      <c r="M1928" t="n">
        <v>0</v>
      </c>
    </row>
    <row r="1929" spans="1:13">
      <c r="A1929" s="1">
        <f>HYPERLINK("http://www.twitter.com/NathanBLawrence/status/992080713108377600", "992080713108377600")</f>
        <v/>
      </c>
      <c r="B1929" s="2" t="n">
        <v>43223.69268518518</v>
      </c>
      <c r="C1929" t="n">
        <v>0</v>
      </c>
      <c r="D1929" t="n">
        <v>5</v>
      </c>
      <c r="E1929" t="s">
        <v>1928</v>
      </c>
      <c r="F1929">
        <f>HYPERLINK("http://pbs.twimg.com/media/DcSTTz8W4AAOlDO.jpg", "http://pbs.twimg.com/media/DcSTTz8W4AAOlDO.jpg")</f>
        <v/>
      </c>
      <c r="G1929" t="s"/>
      <c r="H1929" t="s"/>
      <c r="I1929" t="s"/>
      <c r="J1929" t="n">
        <v>0</v>
      </c>
      <c r="K1929" t="n">
        <v>0</v>
      </c>
      <c r="L1929" t="n">
        <v>1</v>
      </c>
      <c r="M1929" t="n">
        <v>0</v>
      </c>
    </row>
    <row r="1930" spans="1:13">
      <c r="A1930" s="1">
        <f>HYPERLINK("http://www.twitter.com/NathanBLawrence/status/992080653398216704", "992080653398216704")</f>
        <v/>
      </c>
      <c r="B1930" s="2" t="n">
        <v>43223.69252314815</v>
      </c>
      <c r="C1930" t="n">
        <v>0</v>
      </c>
      <c r="D1930" t="n">
        <v>51</v>
      </c>
      <c r="E1930" t="s">
        <v>1929</v>
      </c>
      <c r="F1930" t="s"/>
      <c r="G1930" t="s"/>
      <c r="H1930" t="s"/>
      <c r="I1930" t="s"/>
      <c r="J1930" t="n">
        <v>0</v>
      </c>
      <c r="K1930" t="n">
        <v>0</v>
      </c>
      <c r="L1930" t="n">
        <v>1</v>
      </c>
      <c r="M1930" t="n">
        <v>0</v>
      </c>
    </row>
    <row r="1931" spans="1:13">
      <c r="A1931" s="1">
        <f>HYPERLINK("http://www.twitter.com/NathanBLawrence/status/992080585135976448", "992080585135976448")</f>
        <v/>
      </c>
      <c r="B1931" s="2" t="n">
        <v>43223.69233796297</v>
      </c>
      <c r="C1931" t="n">
        <v>1</v>
      </c>
      <c r="D1931" t="n">
        <v>1</v>
      </c>
      <c r="E1931" t="s">
        <v>1930</v>
      </c>
      <c r="F1931" t="s"/>
      <c r="G1931" t="s"/>
      <c r="H1931" t="s"/>
      <c r="I1931" t="s"/>
      <c r="J1931" t="n">
        <v>0.7579</v>
      </c>
      <c r="K1931" t="n">
        <v>0</v>
      </c>
      <c r="L1931" t="n">
        <v>0.516</v>
      </c>
      <c r="M1931" t="n">
        <v>0.484</v>
      </c>
    </row>
    <row r="1932" spans="1:13">
      <c r="A1932" s="1">
        <f>HYPERLINK("http://www.twitter.com/NathanBLawrence/status/992080242448781315", "992080242448781315")</f>
        <v/>
      </c>
      <c r="B1932" s="2" t="n">
        <v>43223.69138888889</v>
      </c>
      <c r="C1932" t="n">
        <v>0</v>
      </c>
      <c r="D1932" t="n">
        <v>2</v>
      </c>
      <c r="E1932" t="s">
        <v>1931</v>
      </c>
      <c r="F1932" t="s"/>
      <c r="G1932" t="s"/>
      <c r="H1932" t="s"/>
      <c r="I1932" t="s"/>
      <c r="J1932" t="n">
        <v>0</v>
      </c>
      <c r="K1932" t="n">
        <v>0</v>
      </c>
      <c r="L1932" t="n">
        <v>1</v>
      </c>
      <c r="M1932" t="n">
        <v>0</v>
      </c>
    </row>
    <row r="1933" spans="1:13">
      <c r="A1933" s="1">
        <f>HYPERLINK("http://www.twitter.com/NathanBLawrence/status/992079860297236483", "992079860297236483")</f>
        <v/>
      </c>
      <c r="B1933" s="2" t="n">
        <v>43223.69033564815</v>
      </c>
      <c r="C1933" t="n">
        <v>0</v>
      </c>
      <c r="D1933" t="n">
        <v>0</v>
      </c>
      <c r="E1933" t="s">
        <v>1932</v>
      </c>
      <c r="F1933" t="s"/>
      <c r="G1933" t="s"/>
      <c r="H1933" t="s"/>
      <c r="I1933" t="s"/>
      <c r="J1933" t="n">
        <v>0</v>
      </c>
      <c r="K1933" t="n">
        <v>0</v>
      </c>
      <c r="L1933" t="n">
        <v>1</v>
      </c>
      <c r="M1933" t="n">
        <v>0</v>
      </c>
    </row>
    <row r="1934" spans="1:13">
      <c r="A1934" s="1">
        <f>HYPERLINK("http://www.twitter.com/NathanBLawrence/status/992079417164869632", "992079417164869632")</f>
        <v/>
      </c>
      <c r="B1934" s="2" t="n">
        <v>43223.68910879629</v>
      </c>
      <c r="C1934" t="n">
        <v>0</v>
      </c>
      <c r="D1934" t="n">
        <v>1</v>
      </c>
      <c r="E1934" t="s">
        <v>1933</v>
      </c>
      <c r="F1934">
        <f>HYPERLINK("http://pbs.twimg.com/media/DcR8xwbVAAIziQ-.jpg", "http://pbs.twimg.com/media/DcR8xwbVAAIziQ-.jpg")</f>
        <v/>
      </c>
      <c r="G1934" t="s"/>
      <c r="H1934" t="s"/>
      <c r="I1934" t="s"/>
      <c r="J1934" t="n">
        <v>0</v>
      </c>
      <c r="K1934" t="n">
        <v>0</v>
      </c>
      <c r="L1934" t="n">
        <v>1</v>
      </c>
      <c r="M1934" t="n">
        <v>0</v>
      </c>
    </row>
    <row r="1935" spans="1:13">
      <c r="A1935" s="1">
        <f>HYPERLINK("http://www.twitter.com/NathanBLawrence/status/992079256883810309", "992079256883810309")</f>
        <v/>
      </c>
      <c r="B1935" s="2" t="n">
        <v>43223.68866898148</v>
      </c>
      <c r="C1935" t="n">
        <v>1</v>
      </c>
      <c r="D1935" t="n">
        <v>0</v>
      </c>
      <c r="E1935" t="s">
        <v>1934</v>
      </c>
      <c r="F1935" t="s"/>
      <c r="G1935" t="s"/>
      <c r="H1935" t="s"/>
      <c r="I1935" t="s"/>
      <c r="J1935" t="n">
        <v>0</v>
      </c>
      <c r="K1935" t="n">
        <v>0</v>
      </c>
      <c r="L1935" t="n">
        <v>1</v>
      </c>
      <c r="M1935" t="n">
        <v>0</v>
      </c>
    </row>
    <row r="1936" spans="1:13">
      <c r="A1936" s="1">
        <f>HYPERLINK("http://www.twitter.com/NathanBLawrence/status/992079071352893440", "992079071352893440")</f>
        <v/>
      </c>
      <c r="B1936" s="2" t="n">
        <v>43223.68815972222</v>
      </c>
      <c r="C1936" t="n">
        <v>0</v>
      </c>
      <c r="D1936" t="n">
        <v>1</v>
      </c>
      <c r="E1936" t="s">
        <v>1935</v>
      </c>
      <c r="F1936" t="s"/>
      <c r="G1936" t="s"/>
      <c r="H1936" t="s"/>
      <c r="I1936" t="s"/>
      <c r="J1936" t="n">
        <v>0</v>
      </c>
      <c r="K1936" t="n">
        <v>0</v>
      </c>
      <c r="L1936" t="n">
        <v>1</v>
      </c>
      <c r="M1936" t="n">
        <v>0</v>
      </c>
    </row>
    <row r="1937" spans="1:13">
      <c r="A1937" s="1">
        <f>HYPERLINK("http://www.twitter.com/NathanBLawrence/status/992079038410907649", "992079038410907649")</f>
        <v/>
      </c>
      <c r="B1937" s="2" t="n">
        <v>43223.68806712963</v>
      </c>
      <c r="C1937" t="n">
        <v>0</v>
      </c>
      <c r="D1937" t="n">
        <v>4</v>
      </c>
      <c r="E1937" t="s">
        <v>1936</v>
      </c>
      <c r="F1937">
        <f>HYPERLINK("http://pbs.twimg.com/media/DcSPRk4X0AABvlF.jpg", "http://pbs.twimg.com/media/DcSPRk4X0AABvlF.jpg")</f>
        <v/>
      </c>
      <c r="G1937" t="s"/>
      <c r="H1937" t="s"/>
      <c r="I1937" t="s"/>
      <c r="J1937" t="n">
        <v>0</v>
      </c>
      <c r="K1937" t="n">
        <v>0</v>
      </c>
      <c r="L1937" t="n">
        <v>1</v>
      </c>
      <c r="M1937" t="n">
        <v>0</v>
      </c>
    </row>
    <row r="1938" spans="1:13">
      <c r="A1938" s="1">
        <f>HYPERLINK("http://www.twitter.com/NathanBLawrence/status/992079017758126082", "992079017758126082")</f>
        <v/>
      </c>
      <c r="B1938" s="2" t="n">
        <v>43223.68800925926</v>
      </c>
      <c r="C1938" t="n">
        <v>0</v>
      </c>
      <c r="D1938" t="n">
        <v>40</v>
      </c>
      <c r="E1938" t="s">
        <v>1937</v>
      </c>
      <c r="F1938" t="s"/>
      <c r="G1938" t="s"/>
      <c r="H1938" t="s"/>
      <c r="I1938" t="s"/>
      <c r="J1938" t="n">
        <v>0.4754</v>
      </c>
      <c r="K1938" t="n">
        <v>0</v>
      </c>
      <c r="L1938" t="n">
        <v>0.86</v>
      </c>
      <c r="M1938" t="n">
        <v>0.14</v>
      </c>
    </row>
    <row r="1939" spans="1:13">
      <c r="A1939" s="1">
        <f>HYPERLINK("http://www.twitter.com/NathanBLawrence/status/992078783787225099", "992078783787225099")</f>
        <v/>
      </c>
      <c r="B1939" s="2" t="n">
        <v>43223.68736111111</v>
      </c>
      <c r="C1939" t="n">
        <v>0</v>
      </c>
      <c r="D1939" t="n">
        <v>13</v>
      </c>
      <c r="E1939" t="s">
        <v>1938</v>
      </c>
      <c r="F1939">
        <f>HYPERLINK("http://pbs.twimg.com/media/DcSR9ZvW4AY8Fvq.jpg", "http://pbs.twimg.com/media/DcSR9ZvW4AY8Fvq.jpg")</f>
        <v/>
      </c>
      <c r="G1939" t="s"/>
      <c r="H1939" t="s"/>
      <c r="I1939" t="s"/>
      <c r="J1939" t="n">
        <v>0.8316</v>
      </c>
      <c r="K1939" t="n">
        <v>0</v>
      </c>
      <c r="L1939" t="n">
        <v>0.6850000000000001</v>
      </c>
      <c r="M1939" t="n">
        <v>0.315</v>
      </c>
    </row>
    <row r="1940" spans="1:13">
      <c r="A1940" s="1">
        <f>HYPERLINK("http://www.twitter.com/NathanBLawrence/status/992078685363634177", "992078685363634177")</f>
        <v/>
      </c>
      <c r="B1940" s="2" t="n">
        <v>43223.68709490741</v>
      </c>
      <c r="C1940" t="n">
        <v>1</v>
      </c>
      <c r="D1940" t="n">
        <v>0</v>
      </c>
      <c r="E1940" t="s">
        <v>1939</v>
      </c>
      <c r="F1940" t="s"/>
      <c r="G1940" t="s"/>
      <c r="H1940" t="s"/>
      <c r="I1940" t="s"/>
      <c r="J1940" t="n">
        <v>-0.3612</v>
      </c>
      <c r="K1940" t="n">
        <v>0.08799999999999999</v>
      </c>
      <c r="L1940" t="n">
        <v>0.858</v>
      </c>
      <c r="M1940" t="n">
        <v>0.053</v>
      </c>
    </row>
    <row r="1941" spans="1:13">
      <c r="A1941" s="1">
        <f>HYPERLINK("http://www.twitter.com/NathanBLawrence/status/992077998617714691", "992077998617714691")</f>
        <v/>
      </c>
      <c r="B1941" s="2" t="n">
        <v>43223.68519675926</v>
      </c>
      <c r="C1941" t="n">
        <v>0</v>
      </c>
      <c r="D1941" t="n">
        <v>1</v>
      </c>
      <c r="E1941" t="s">
        <v>1940</v>
      </c>
      <c r="F1941" t="s"/>
      <c r="G1941" t="s"/>
      <c r="H1941" t="s"/>
      <c r="I1941" t="s"/>
      <c r="J1941" t="n">
        <v>0</v>
      </c>
      <c r="K1941" t="n">
        <v>0</v>
      </c>
      <c r="L1941" t="n">
        <v>1</v>
      </c>
      <c r="M1941" t="n">
        <v>0</v>
      </c>
    </row>
    <row r="1942" spans="1:13">
      <c r="A1942" s="1">
        <f>HYPERLINK("http://www.twitter.com/NathanBLawrence/status/992077871337299968", "992077871337299968")</f>
        <v/>
      </c>
      <c r="B1942" s="2" t="n">
        <v>43223.68484953704</v>
      </c>
      <c r="C1942" t="n">
        <v>1</v>
      </c>
      <c r="D1942" t="n">
        <v>0</v>
      </c>
      <c r="E1942" t="s">
        <v>1941</v>
      </c>
      <c r="F1942" t="s"/>
      <c r="G1942" t="s"/>
      <c r="H1942" t="s"/>
      <c r="I1942" t="s"/>
      <c r="J1942" t="n">
        <v>0.0258</v>
      </c>
      <c r="K1942" t="n">
        <v>0.078</v>
      </c>
      <c r="L1942" t="n">
        <v>0.841</v>
      </c>
      <c r="M1942" t="n">
        <v>0.081</v>
      </c>
    </row>
    <row r="1943" spans="1:13">
      <c r="A1943" s="1">
        <f>HYPERLINK("http://www.twitter.com/NathanBLawrence/status/992075974371086339", "992075974371086339")</f>
        <v/>
      </c>
      <c r="B1943" s="2" t="n">
        <v>43223.67960648148</v>
      </c>
      <c r="C1943" t="n">
        <v>0</v>
      </c>
      <c r="D1943" t="n">
        <v>30</v>
      </c>
      <c r="E1943" t="s">
        <v>855</v>
      </c>
      <c r="F1943">
        <f>HYPERLINK("http://pbs.twimg.com/media/DcPFC7YWkAALWdT.jpg", "http://pbs.twimg.com/media/DcPFC7YWkAALWdT.jpg")</f>
        <v/>
      </c>
      <c r="G1943" t="s"/>
      <c r="H1943" t="s"/>
      <c r="I1943" t="s"/>
      <c r="J1943" t="n">
        <v>-0.5266999999999999</v>
      </c>
      <c r="K1943" t="n">
        <v>0.18</v>
      </c>
      <c r="L1943" t="n">
        <v>0.82</v>
      </c>
      <c r="M1943" t="n">
        <v>0</v>
      </c>
    </row>
    <row r="1944" spans="1:13">
      <c r="A1944" s="1">
        <f>HYPERLINK("http://www.twitter.com/NathanBLawrence/status/992075228800061440", "992075228800061440")</f>
        <v/>
      </c>
      <c r="B1944" s="2" t="n">
        <v>43223.67755787037</v>
      </c>
      <c r="C1944" t="n">
        <v>0</v>
      </c>
      <c r="D1944" t="n">
        <v>1</v>
      </c>
      <c r="E1944" t="s">
        <v>1942</v>
      </c>
      <c r="F1944" t="s"/>
      <c r="G1944" t="s"/>
      <c r="H1944" t="s"/>
      <c r="I1944" t="s"/>
      <c r="J1944" t="n">
        <v>0</v>
      </c>
      <c r="K1944" t="n">
        <v>0</v>
      </c>
      <c r="L1944" t="n">
        <v>1</v>
      </c>
      <c r="M1944" t="n">
        <v>0</v>
      </c>
    </row>
    <row r="1945" spans="1:13">
      <c r="A1945" s="1">
        <f>HYPERLINK("http://www.twitter.com/NathanBLawrence/status/992075203017625600", "992075203017625600")</f>
        <v/>
      </c>
      <c r="B1945" s="2" t="n">
        <v>43223.67747685185</v>
      </c>
      <c r="C1945" t="n">
        <v>0</v>
      </c>
      <c r="D1945" t="n">
        <v>0</v>
      </c>
      <c r="E1945" t="s">
        <v>1943</v>
      </c>
      <c r="F1945" t="s"/>
      <c r="G1945" t="s"/>
      <c r="H1945" t="s"/>
      <c r="I1945" t="s"/>
      <c r="J1945" t="n">
        <v>0.4404</v>
      </c>
      <c r="K1945" t="n">
        <v>0</v>
      </c>
      <c r="L1945" t="n">
        <v>0.58</v>
      </c>
      <c r="M1945" t="n">
        <v>0.42</v>
      </c>
    </row>
    <row r="1946" spans="1:13">
      <c r="A1946" s="1">
        <f>HYPERLINK("http://www.twitter.com/NathanBLawrence/status/992074795377397760", "992074795377397760")</f>
        <v/>
      </c>
      <c r="B1946" s="2" t="n">
        <v>43223.67635416667</v>
      </c>
      <c r="C1946" t="n">
        <v>0</v>
      </c>
      <c r="D1946" t="n">
        <v>0</v>
      </c>
      <c r="E1946" t="s">
        <v>1944</v>
      </c>
      <c r="F1946" t="s"/>
      <c r="G1946" t="s"/>
      <c r="H1946" t="s"/>
      <c r="I1946" t="s"/>
      <c r="J1946" t="n">
        <v>0.7351</v>
      </c>
      <c r="K1946" t="n">
        <v>0</v>
      </c>
      <c r="L1946" t="n">
        <v>0.326</v>
      </c>
      <c r="M1946" t="n">
        <v>0.674</v>
      </c>
    </row>
    <row r="1947" spans="1:13">
      <c r="A1947" s="1">
        <f>HYPERLINK("http://www.twitter.com/NathanBLawrence/status/992074711659171840", "992074711659171840")</f>
        <v/>
      </c>
      <c r="B1947" s="2" t="n">
        <v>43223.67612268519</v>
      </c>
      <c r="C1947" t="n">
        <v>0</v>
      </c>
      <c r="D1947" t="n">
        <v>4942</v>
      </c>
      <c r="E1947" t="s">
        <v>1945</v>
      </c>
      <c r="F1947" t="s"/>
      <c r="G1947" t="s"/>
      <c r="H1947" t="s"/>
      <c r="I1947" t="s"/>
      <c r="J1947" t="n">
        <v>0.7506</v>
      </c>
      <c r="K1947" t="n">
        <v>0</v>
      </c>
      <c r="L1947" t="n">
        <v>0.758</v>
      </c>
      <c r="M1947" t="n">
        <v>0.242</v>
      </c>
    </row>
    <row r="1948" spans="1:13">
      <c r="A1948" s="1">
        <f>HYPERLINK("http://www.twitter.com/NathanBLawrence/status/992074641014476801", "992074641014476801")</f>
        <v/>
      </c>
      <c r="B1948" s="2" t="n">
        <v>43223.67592592593</v>
      </c>
      <c r="C1948" t="n">
        <v>0</v>
      </c>
      <c r="D1948" t="n">
        <v>1602</v>
      </c>
      <c r="E1948" t="s">
        <v>1946</v>
      </c>
      <c r="F1948">
        <f>HYPERLINK("http://pbs.twimg.com/media/DcSDcIqXkAAkEO1.jpg", "http://pbs.twimg.com/media/DcSDcIqXkAAkEO1.jpg")</f>
        <v/>
      </c>
      <c r="G1948">
        <f>HYPERLINK("http://pbs.twimg.com/media/DcSDcImWsAEBsLn.jpg", "http://pbs.twimg.com/media/DcSDcImWsAEBsLn.jpg")</f>
        <v/>
      </c>
      <c r="H1948">
        <f>HYPERLINK("http://pbs.twimg.com/media/DcSDcImX0AEzYyR.jpg", "http://pbs.twimg.com/media/DcSDcImX0AEzYyR.jpg")</f>
        <v/>
      </c>
      <c r="I1948">
        <f>HYPERLINK("http://pbs.twimg.com/media/DcSDcIpWAAAs_Bp.jpg", "http://pbs.twimg.com/media/DcSDcIpWAAAs_Bp.jpg")</f>
        <v/>
      </c>
      <c r="J1948" t="n">
        <v>0.729</v>
      </c>
      <c r="K1948" t="n">
        <v>0</v>
      </c>
      <c r="L1948" t="n">
        <v>0.6820000000000001</v>
      </c>
      <c r="M1948" t="n">
        <v>0.318</v>
      </c>
    </row>
    <row r="1949" spans="1:13">
      <c r="A1949" s="1">
        <f>HYPERLINK("http://www.twitter.com/NathanBLawrence/status/992074598580654082", "992074598580654082")</f>
        <v/>
      </c>
      <c r="B1949" s="2" t="n">
        <v>43223.67581018519</v>
      </c>
      <c r="C1949" t="n">
        <v>0</v>
      </c>
      <c r="D1949" t="n">
        <v>8</v>
      </c>
      <c r="E1949" t="s">
        <v>1947</v>
      </c>
      <c r="F1949" t="s"/>
      <c r="G1949" t="s"/>
      <c r="H1949" t="s"/>
      <c r="I1949" t="s"/>
      <c r="J1949" t="n">
        <v>-0.6956</v>
      </c>
      <c r="K1949" t="n">
        <v>0.39</v>
      </c>
      <c r="L1949" t="n">
        <v>0.61</v>
      </c>
      <c r="M1949" t="n">
        <v>0</v>
      </c>
    </row>
    <row r="1950" spans="1:13">
      <c r="A1950" s="1">
        <f>HYPERLINK("http://www.twitter.com/NathanBLawrence/status/992074121524727808", "992074121524727808")</f>
        <v/>
      </c>
      <c r="B1950" s="2" t="n">
        <v>43223.67450231482</v>
      </c>
      <c r="C1950" t="n">
        <v>0</v>
      </c>
      <c r="D1950" t="n">
        <v>3</v>
      </c>
      <c r="E1950" t="s">
        <v>1948</v>
      </c>
      <c r="F1950" t="s"/>
      <c r="G1950" t="s"/>
      <c r="H1950" t="s"/>
      <c r="I1950" t="s"/>
      <c r="J1950" t="n">
        <v>0</v>
      </c>
      <c r="K1950" t="n">
        <v>0</v>
      </c>
      <c r="L1950" t="n">
        <v>1</v>
      </c>
      <c r="M1950" t="n">
        <v>0</v>
      </c>
    </row>
    <row r="1951" spans="1:13">
      <c r="A1951" s="1">
        <f>HYPERLINK("http://www.twitter.com/NathanBLawrence/status/992074068143824896", "992074068143824896")</f>
        <v/>
      </c>
      <c r="B1951" s="2" t="n">
        <v>43223.67435185185</v>
      </c>
      <c r="C1951" t="n">
        <v>0</v>
      </c>
      <c r="D1951" t="n">
        <v>85</v>
      </c>
      <c r="E1951" t="s">
        <v>1949</v>
      </c>
      <c r="F1951" t="s"/>
      <c r="G1951" t="s"/>
      <c r="H1951" t="s"/>
      <c r="I1951" t="s"/>
      <c r="J1951" t="n">
        <v>0</v>
      </c>
      <c r="K1951" t="n">
        <v>0</v>
      </c>
      <c r="L1951" t="n">
        <v>1</v>
      </c>
      <c r="M1951" t="n">
        <v>0</v>
      </c>
    </row>
    <row r="1952" spans="1:13">
      <c r="A1952" s="1">
        <f>HYPERLINK("http://www.twitter.com/NathanBLawrence/status/992073826115751936", "992073826115751936")</f>
        <v/>
      </c>
      <c r="B1952" s="2" t="n">
        <v>43223.67368055556</v>
      </c>
      <c r="C1952" t="n">
        <v>0</v>
      </c>
      <c r="D1952" t="n">
        <v>38</v>
      </c>
      <c r="E1952" t="s">
        <v>559</v>
      </c>
      <c r="F1952">
        <f>HYPERLINK("https://video.twimg.com/ext_tw_video/963512289646145536/pu/vid/1280x720/Ucgmfgr36fnzW5Kq.mp4", "https://video.twimg.com/ext_tw_video/963512289646145536/pu/vid/1280x720/Ucgmfgr36fnzW5Kq.mp4")</f>
        <v/>
      </c>
      <c r="G1952" t="s"/>
      <c r="H1952" t="s"/>
      <c r="I1952" t="s"/>
      <c r="J1952" t="n">
        <v>0.2732</v>
      </c>
      <c r="K1952" t="n">
        <v>0.109</v>
      </c>
      <c r="L1952" t="n">
        <v>0.739</v>
      </c>
      <c r="M1952" t="n">
        <v>0.152</v>
      </c>
    </row>
    <row r="1953" spans="1:13">
      <c r="A1953" s="1">
        <f>HYPERLINK("http://www.twitter.com/NathanBLawrence/status/992073803172851712", "992073803172851712")</f>
        <v/>
      </c>
      <c r="B1953" s="2" t="n">
        <v>43223.67362268519</v>
      </c>
      <c r="C1953" t="n">
        <v>0</v>
      </c>
      <c r="D1953" t="n">
        <v>14</v>
      </c>
      <c r="E1953" t="s">
        <v>561</v>
      </c>
      <c r="F1953" t="s"/>
      <c r="G1953" t="s"/>
      <c r="H1953" t="s"/>
      <c r="I1953" t="s"/>
      <c r="J1953" t="n">
        <v>-0.3774</v>
      </c>
      <c r="K1953" t="n">
        <v>0.114</v>
      </c>
      <c r="L1953" t="n">
        <v>0.886</v>
      </c>
      <c r="M1953" t="n">
        <v>0</v>
      </c>
    </row>
    <row r="1954" spans="1:13">
      <c r="A1954" s="1">
        <f>HYPERLINK("http://www.twitter.com/NathanBLawrence/status/992073751939428353", "992073751939428353")</f>
        <v/>
      </c>
      <c r="B1954" s="2" t="n">
        <v>43223.67347222222</v>
      </c>
      <c r="C1954" t="n">
        <v>0</v>
      </c>
      <c r="D1954" t="n">
        <v>1</v>
      </c>
      <c r="E1954" t="s">
        <v>1950</v>
      </c>
      <c r="F1954" t="s"/>
      <c r="G1954" t="s"/>
      <c r="H1954" t="s"/>
      <c r="I1954" t="s"/>
      <c r="J1954" t="n">
        <v>0</v>
      </c>
      <c r="K1954" t="n">
        <v>0</v>
      </c>
      <c r="L1954" t="n">
        <v>1</v>
      </c>
      <c r="M1954" t="n">
        <v>0</v>
      </c>
    </row>
    <row r="1955" spans="1:13">
      <c r="A1955" s="1">
        <f>HYPERLINK("http://www.twitter.com/NathanBLawrence/status/992073660633681920", "992073660633681920")</f>
        <v/>
      </c>
      <c r="B1955" s="2" t="n">
        <v>43223.67322916666</v>
      </c>
      <c r="C1955" t="n">
        <v>0</v>
      </c>
      <c r="D1955" t="n">
        <v>29</v>
      </c>
      <c r="E1955" t="s">
        <v>560</v>
      </c>
      <c r="F1955" t="s"/>
      <c r="G1955" t="s"/>
      <c r="H1955" t="s"/>
      <c r="I1955" t="s"/>
      <c r="J1955" t="n">
        <v>0</v>
      </c>
      <c r="K1955" t="n">
        <v>0</v>
      </c>
      <c r="L1955" t="n">
        <v>1</v>
      </c>
      <c r="M1955" t="n">
        <v>0</v>
      </c>
    </row>
    <row r="1956" spans="1:13">
      <c r="A1956" s="1">
        <f>HYPERLINK("http://www.twitter.com/NathanBLawrence/status/992073612080410624", "992073612080410624")</f>
        <v/>
      </c>
      <c r="B1956" s="2" t="n">
        <v>43223.67309027778</v>
      </c>
      <c r="C1956" t="n">
        <v>0</v>
      </c>
      <c r="D1956" t="n">
        <v>46</v>
      </c>
      <c r="E1956" t="s">
        <v>1951</v>
      </c>
      <c r="F1956" t="s"/>
      <c r="G1956" t="s"/>
      <c r="H1956" t="s"/>
      <c r="I1956" t="s"/>
      <c r="J1956" t="n">
        <v>0.0516</v>
      </c>
      <c r="K1956" t="n">
        <v>0</v>
      </c>
      <c r="L1956" t="n">
        <v>0.9340000000000001</v>
      </c>
      <c r="M1956" t="n">
        <v>0.066</v>
      </c>
    </row>
    <row r="1957" spans="1:13">
      <c r="A1957" s="1">
        <f>HYPERLINK("http://www.twitter.com/NathanBLawrence/status/992073249122070528", "992073249122070528")</f>
        <v/>
      </c>
      <c r="B1957" s="2" t="n">
        <v>43223.67209490741</v>
      </c>
      <c r="C1957" t="n">
        <v>0</v>
      </c>
      <c r="D1957" t="n">
        <v>52</v>
      </c>
      <c r="E1957" t="s">
        <v>1952</v>
      </c>
      <c r="F1957">
        <f>HYPERLINK("https://video.twimg.com/ext_tw_video/992042426624757765/pu/vid/1280x720/deRUv8P1cEDsU2Tt.mp4?tag=3", "https://video.twimg.com/ext_tw_video/992042426624757765/pu/vid/1280x720/deRUv8P1cEDsU2Tt.mp4?tag=3")</f>
        <v/>
      </c>
      <c r="G1957" t="s"/>
      <c r="H1957" t="s"/>
      <c r="I1957" t="s"/>
      <c r="J1957" t="n">
        <v>-0.3818</v>
      </c>
      <c r="K1957" t="n">
        <v>0.254</v>
      </c>
      <c r="L1957" t="n">
        <v>0.586</v>
      </c>
      <c r="M1957" t="n">
        <v>0.16</v>
      </c>
    </row>
    <row r="1958" spans="1:13">
      <c r="A1958" s="1">
        <f>HYPERLINK("http://www.twitter.com/NathanBLawrence/status/992072753506332672", "992072753506332672")</f>
        <v/>
      </c>
      <c r="B1958" s="2" t="n">
        <v>43223.67071759259</v>
      </c>
      <c r="C1958" t="n">
        <v>0</v>
      </c>
      <c r="D1958" t="n">
        <v>15</v>
      </c>
      <c r="E1958" t="s">
        <v>1953</v>
      </c>
      <c r="F1958" t="s"/>
      <c r="G1958" t="s"/>
      <c r="H1958" t="s"/>
      <c r="I1958" t="s"/>
      <c r="J1958" t="n">
        <v>0.6239</v>
      </c>
      <c r="K1958" t="n">
        <v>0</v>
      </c>
      <c r="L1958" t="n">
        <v>0.611</v>
      </c>
      <c r="M1958" t="n">
        <v>0.389</v>
      </c>
    </row>
    <row r="1959" spans="1:13">
      <c r="A1959" s="1">
        <f>HYPERLINK("http://www.twitter.com/NathanBLawrence/status/992072547591127040", "992072547591127040")</f>
        <v/>
      </c>
      <c r="B1959" s="2" t="n">
        <v>43223.67015046296</v>
      </c>
      <c r="C1959" t="n">
        <v>0</v>
      </c>
      <c r="D1959" t="n">
        <v>55</v>
      </c>
      <c r="E1959" t="s">
        <v>1954</v>
      </c>
      <c r="F1959" t="s"/>
      <c r="G1959" t="s"/>
      <c r="H1959" t="s"/>
      <c r="I1959" t="s"/>
      <c r="J1959" t="n">
        <v>0.7579</v>
      </c>
      <c r="K1959" t="n">
        <v>0.073</v>
      </c>
      <c r="L1959" t="n">
        <v>0.592</v>
      </c>
      <c r="M1959" t="n">
        <v>0.334</v>
      </c>
    </row>
    <row r="1960" spans="1:13">
      <c r="A1960" s="1">
        <f>HYPERLINK("http://www.twitter.com/NathanBLawrence/status/992072255533408265", "992072255533408265")</f>
        <v/>
      </c>
      <c r="B1960" s="2" t="n">
        <v>43223.66935185185</v>
      </c>
      <c r="C1960" t="n">
        <v>0</v>
      </c>
      <c r="D1960" t="n">
        <v>14</v>
      </c>
      <c r="E1960" t="s">
        <v>1955</v>
      </c>
      <c r="F1960">
        <f>HYPERLINK("http://pbs.twimg.com/media/DcSLQ_jW4AAdoSp.jpg", "http://pbs.twimg.com/media/DcSLQ_jW4AAdoSp.jpg")</f>
        <v/>
      </c>
      <c r="G1960" t="s"/>
      <c r="H1960" t="s"/>
      <c r="I1960" t="s"/>
      <c r="J1960" t="n">
        <v>0</v>
      </c>
      <c r="K1960" t="n">
        <v>0</v>
      </c>
      <c r="L1960" t="n">
        <v>1</v>
      </c>
      <c r="M1960" t="n">
        <v>0</v>
      </c>
    </row>
    <row r="1961" spans="1:13">
      <c r="A1961" s="1">
        <f>HYPERLINK("http://www.twitter.com/NathanBLawrence/status/992070572128505856", "992070572128505856")</f>
        <v/>
      </c>
      <c r="B1961" s="2" t="n">
        <v>43223.66469907408</v>
      </c>
      <c r="C1961" t="n">
        <v>1</v>
      </c>
      <c r="D1961" t="n">
        <v>1</v>
      </c>
      <c r="E1961" t="s">
        <v>1956</v>
      </c>
      <c r="F1961" t="s"/>
      <c r="G1961" t="s"/>
      <c r="H1961" t="s"/>
      <c r="I1961" t="s"/>
      <c r="J1961" t="n">
        <v>-0.25</v>
      </c>
      <c r="K1961" t="n">
        <v>0.102</v>
      </c>
      <c r="L1961" t="n">
        <v>0.841</v>
      </c>
      <c r="M1961" t="n">
        <v>0.058</v>
      </c>
    </row>
    <row r="1962" spans="1:13">
      <c r="A1962" s="1">
        <f>HYPERLINK("http://www.twitter.com/NathanBLawrence/status/992068865193635842", "992068865193635842")</f>
        <v/>
      </c>
      <c r="B1962" s="2" t="n">
        <v>43223.65998842593</v>
      </c>
      <c r="C1962" t="n">
        <v>0</v>
      </c>
      <c r="D1962" t="n">
        <v>22</v>
      </c>
      <c r="E1962" t="s">
        <v>1957</v>
      </c>
      <c r="F1962" t="s"/>
      <c r="G1962" t="s"/>
      <c r="H1962" t="s"/>
      <c r="I1962" t="s"/>
      <c r="J1962" t="n">
        <v>0.0258</v>
      </c>
      <c r="K1962" t="n">
        <v>0</v>
      </c>
      <c r="L1962" t="n">
        <v>0.954</v>
      </c>
      <c r="M1962" t="n">
        <v>0.046</v>
      </c>
    </row>
    <row r="1963" spans="1:13">
      <c r="A1963" s="1">
        <f>HYPERLINK("http://www.twitter.com/NathanBLawrence/status/992068249708720129", "992068249708720129")</f>
        <v/>
      </c>
      <c r="B1963" s="2" t="n">
        <v>43223.65829861111</v>
      </c>
      <c r="C1963" t="n">
        <v>0</v>
      </c>
      <c r="D1963" t="n">
        <v>29</v>
      </c>
      <c r="E1963" t="s">
        <v>1958</v>
      </c>
      <c r="F1963">
        <f>HYPERLINK("http://pbs.twimg.com/media/DcR84lXWkAIhRJa.jpg", "http://pbs.twimg.com/media/DcR84lXWkAIhRJa.jpg")</f>
        <v/>
      </c>
      <c r="G1963" t="s"/>
      <c r="H1963" t="s"/>
      <c r="I1963" t="s"/>
      <c r="J1963" t="n">
        <v>0.5319</v>
      </c>
      <c r="K1963" t="n">
        <v>0</v>
      </c>
      <c r="L1963" t="n">
        <v>0.84</v>
      </c>
      <c r="M1963" t="n">
        <v>0.16</v>
      </c>
    </row>
    <row r="1964" spans="1:13">
      <c r="A1964" s="1">
        <f>HYPERLINK("http://www.twitter.com/NathanBLawrence/status/992068196420210689", "992068196420210689")</f>
        <v/>
      </c>
      <c r="B1964" s="2" t="n">
        <v>43223.65814814815</v>
      </c>
      <c r="C1964" t="n">
        <v>0</v>
      </c>
      <c r="D1964" t="n">
        <v>2016</v>
      </c>
      <c r="E1964" t="s">
        <v>1959</v>
      </c>
      <c r="F1964" t="s"/>
      <c r="G1964" t="s"/>
      <c r="H1964" t="s"/>
      <c r="I1964" t="s"/>
      <c r="J1964" t="n">
        <v>-0.4479</v>
      </c>
      <c r="K1964" t="n">
        <v>0.118</v>
      </c>
      <c r="L1964" t="n">
        <v>0.882</v>
      </c>
      <c r="M1964" t="n">
        <v>0</v>
      </c>
    </row>
    <row r="1965" spans="1:13">
      <c r="A1965" s="1">
        <f>HYPERLINK("http://www.twitter.com/NathanBLawrence/status/992067159219154944", "992067159219154944")</f>
        <v/>
      </c>
      <c r="B1965" s="2" t="n">
        <v>43223.65528935185</v>
      </c>
      <c r="C1965" t="n">
        <v>0</v>
      </c>
      <c r="D1965" t="n">
        <v>10</v>
      </c>
      <c r="E1965" t="s">
        <v>1960</v>
      </c>
      <c r="F1965" t="s"/>
      <c r="G1965" t="s"/>
      <c r="H1965" t="s"/>
      <c r="I1965" t="s"/>
      <c r="J1965" t="n">
        <v>0.3885</v>
      </c>
      <c r="K1965" t="n">
        <v>0</v>
      </c>
      <c r="L1965" t="n">
        <v>0.82</v>
      </c>
      <c r="M1965" t="n">
        <v>0.18</v>
      </c>
    </row>
    <row r="1966" spans="1:13">
      <c r="A1966" s="1">
        <f>HYPERLINK("http://www.twitter.com/NathanBLawrence/status/992061874660397057", "992061874660397057")</f>
        <v/>
      </c>
      <c r="B1966" s="2" t="n">
        <v>43223.64070601852</v>
      </c>
      <c r="C1966" t="n">
        <v>1</v>
      </c>
      <c r="D1966" t="n">
        <v>0</v>
      </c>
      <c r="E1966" t="s">
        <v>1961</v>
      </c>
      <c r="F1966" t="s"/>
      <c r="G1966" t="s"/>
      <c r="H1966" t="s"/>
      <c r="I1966" t="s"/>
      <c r="J1966" t="n">
        <v>0.765</v>
      </c>
      <c r="K1966" t="n">
        <v>0.08400000000000001</v>
      </c>
      <c r="L1966" t="n">
        <v>0.632</v>
      </c>
      <c r="M1966" t="n">
        <v>0.284</v>
      </c>
    </row>
    <row r="1967" spans="1:13">
      <c r="A1967" s="1">
        <f>HYPERLINK("http://www.twitter.com/NathanBLawrence/status/992060630768279552", "992060630768279552")</f>
        <v/>
      </c>
      <c r="B1967" s="2" t="n">
        <v>43223.63726851852</v>
      </c>
      <c r="C1967" t="n">
        <v>0</v>
      </c>
      <c r="D1967" t="n">
        <v>30</v>
      </c>
      <c r="E1967" t="s">
        <v>1962</v>
      </c>
      <c r="F1967" t="s"/>
      <c r="G1967" t="s"/>
      <c r="H1967" t="s"/>
      <c r="I1967" t="s"/>
      <c r="J1967" t="n">
        <v>-0.3182</v>
      </c>
      <c r="K1967" t="n">
        <v>0.161</v>
      </c>
      <c r="L1967" t="n">
        <v>0.839</v>
      </c>
      <c r="M1967" t="n">
        <v>0</v>
      </c>
    </row>
    <row r="1968" spans="1:13">
      <c r="A1968" s="1">
        <f>HYPERLINK("http://www.twitter.com/NathanBLawrence/status/992060598631485440", "992060598631485440")</f>
        <v/>
      </c>
      <c r="B1968" s="2" t="n">
        <v>43223.63717592593</v>
      </c>
      <c r="C1968" t="n">
        <v>0</v>
      </c>
      <c r="D1968" t="n">
        <v>283</v>
      </c>
      <c r="E1968" t="s">
        <v>1963</v>
      </c>
      <c r="F1968" t="s"/>
      <c r="G1968" t="s"/>
      <c r="H1968" t="s"/>
      <c r="I1968" t="s"/>
      <c r="J1968" t="n">
        <v>-0.7531</v>
      </c>
      <c r="K1968" t="n">
        <v>0.263</v>
      </c>
      <c r="L1968" t="n">
        <v>0.737</v>
      </c>
      <c r="M1968" t="n">
        <v>0</v>
      </c>
    </row>
    <row r="1969" spans="1:13">
      <c r="A1969" s="1">
        <f>HYPERLINK("http://www.twitter.com/NathanBLawrence/status/992060484080865280", "992060484080865280")</f>
        <v/>
      </c>
      <c r="B1969" s="2" t="n">
        <v>43223.63686342593</v>
      </c>
      <c r="C1969" t="n">
        <v>2</v>
      </c>
      <c r="D1969" t="n">
        <v>1</v>
      </c>
      <c r="E1969" t="s">
        <v>1964</v>
      </c>
      <c r="F1969" t="s"/>
      <c r="G1969" t="s"/>
      <c r="H1969" t="s"/>
      <c r="I1969" t="s"/>
      <c r="J1969" t="n">
        <v>-0.5411</v>
      </c>
      <c r="K1969" t="n">
        <v>0.148</v>
      </c>
      <c r="L1969" t="n">
        <v>0.788</v>
      </c>
      <c r="M1969" t="n">
        <v>0.064</v>
      </c>
    </row>
    <row r="1970" spans="1:13">
      <c r="A1970" s="1">
        <f>HYPERLINK("http://www.twitter.com/NathanBLawrence/status/992058983354597379", "992058983354597379")</f>
        <v/>
      </c>
      <c r="B1970" s="2" t="n">
        <v>43223.63271990741</v>
      </c>
      <c r="C1970" t="n">
        <v>0</v>
      </c>
      <c r="D1970" t="n">
        <v>6305</v>
      </c>
      <c r="E1970" t="s">
        <v>1965</v>
      </c>
      <c r="F1970" t="s"/>
      <c r="G1970" t="s"/>
      <c r="H1970" t="s"/>
      <c r="I1970" t="s"/>
      <c r="J1970" t="n">
        <v>0.508</v>
      </c>
      <c r="K1970" t="n">
        <v>0</v>
      </c>
      <c r="L1970" t="n">
        <v>0.798</v>
      </c>
      <c r="M1970" t="n">
        <v>0.202</v>
      </c>
    </row>
    <row r="1971" spans="1:13">
      <c r="A1971" s="1">
        <f>HYPERLINK("http://www.twitter.com/NathanBLawrence/status/992058777619845122", "992058777619845122")</f>
        <v/>
      </c>
      <c r="B1971" s="2" t="n">
        <v>43223.63215277778</v>
      </c>
      <c r="C1971" t="n">
        <v>0</v>
      </c>
      <c r="D1971" t="n">
        <v>4</v>
      </c>
      <c r="E1971" t="s">
        <v>1966</v>
      </c>
      <c r="F1971" t="s"/>
      <c r="G1971" t="s"/>
      <c r="H1971" t="s"/>
      <c r="I1971" t="s"/>
      <c r="J1971" t="n">
        <v>0</v>
      </c>
      <c r="K1971" t="n">
        <v>0</v>
      </c>
      <c r="L1971" t="n">
        <v>1</v>
      </c>
      <c r="M1971" t="n">
        <v>0</v>
      </c>
    </row>
    <row r="1972" spans="1:13">
      <c r="A1972" s="1">
        <f>HYPERLINK("http://www.twitter.com/NathanBLawrence/status/992053147592949760", "992053147592949760")</f>
        <v/>
      </c>
      <c r="B1972" s="2" t="n">
        <v>43223.61662037037</v>
      </c>
      <c r="C1972" t="n">
        <v>0</v>
      </c>
      <c r="D1972" t="n">
        <v>108</v>
      </c>
      <c r="E1972" t="s">
        <v>1967</v>
      </c>
      <c r="F1972" t="s"/>
      <c r="G1972" t="s"/>
      <c r="H1972" t="s"/>
      <c r="I1972" t="s"/>
      <c r="J1972" t="n">
        <v>-0.296</v>
      </c>
      <c r="K1972" t="n">
        <v>0.095</v>
      </c>
      <c r="L1972" t="n">
        <v>0.905</v>
      </c>
      <c r="M1972" t="n">
        <v>0</v>
      </c>
    </row>
    <row r="1973" spans="1:13">
      <c r="A1973" s="1">
        <f>HYPERLINK("http://www.twitter.com/NathanBLawrence/status/992053101032083457", "992053101032083457")</f>
        <v/>
      </c>
      <c r="B1973" s="2" t="n">
        <v>43223.61649305555</v>
      </c>
      <c r="C1973" t="n">
        <v>0</v>
      </c>
      <c r="D1973" t="n">
        <v>123</v>
      </c>
      <c r="E1973" t="s">
        <v>1968</v>
      </c>
      <c r="F1973" t="s"/>
      <c r="G1973" t="s"/>
      <c r="H1973" t="s"/>
      <c r="I1973" t="s"/>
      <c r="J1973" t="n">
        <v>0.2577</v>
      </c>
      <c r="K1973" t="n">
        <v>0.154</v>
      </c>
      <c r="L1973" t="n">
        <v>0.657</v>
      </c>
      <c r="M1973" t="n">
        <v>0.188</v>
      </c>
    </row>
    <row r="1974" spans="1:13">
      <c r="A1974" s="1">
        <f>HYPERLINK("http://www.twitter.com/NathanBLawrence/status/992052998879830016", "992052998879830016")</f>
        <v/>
      </c>
      <c r="B1974" s="2" t="n">
        <v>43223.61621527778</v>
      </c>
      <c r="C1974" t="n">
        <v>0</v>
      </c>
      <c r="D1974" t="n">
        <v>64</v>
      </c>
      <c r="E1974" t="s">
        <v>1969</v>
      </c>
      <c r="F1974" t="s"/>
      <c r="G1974" t="s"/>
      <c r="H1974" t="s"/>
      <c r="I1974" t="s"/>
      <c r="J1974" t="n">
        <v>0.7718</v>
      </c>
      <c r="K1974" t="n">
        <v>0.076</v>
      </c>
      <c r="L1974" t="n">
        <v>0.653</v>
      </c>
      <c r="M1974" t="n">
        <v>0.272</v>
      </c>
    </row>
    <row r="1975" spans="1:13">
      <c r="A1975" s="1">
        <f>HYPERLINK("http://www.twitter.com/NathanBLawrence/status/992052921893376000", "992052921893376000")</f>
        <v/>
      </c>
      <c r="B1975" s="2" t="n">
        <v>43223.61599537037</v>
      </c>
      <c r="C1975" t="n">
        <v>0</v>
      </c>
      <c r="D1975" t="n">
        <v>19</v>
      </c>
      <c r="E1975" t="s">
        <v>1970</v>
      </c>
      <c r="F1975" t="s"/>
      <c r="G1975" t="s"/>
      <c r="H1975" t="s"/>
      <c r="I1975" t="s"/>
      <c r="J1975" t="n">
        <v>-0.636</v>
      </c>
      <c r="K1975" t="n">
        <v>0.224</v>
      </c>
      <c r="L1975" t="n">
        <v>0.776</v>
      </c>
      <c r="M1975" t="n">
        <v>0</v>
      </c>
    </row>
    <row r="1976" spans="1:13">
      <c r="A1976" s="1">
        <f>HYPERLINK("http://www.twitter.com/NathanBLawrence/status/992052838946787330", "992052838946787330")</f>
        <v/>
      </c>
      <c r="B1976" s="2" t="n">
        <v>43223.61576388889</v>
      </c>
      <c r="C1976" t="n">
        <v>0</v>
      </c>
      <c r="D1976" t="n">
        <v>87</v>
      </c>
      <c r="E1976" t="s">
        <v>1971</v>
      </c>
      <c r="F1976" t="s"/>
      <c r="G1976" t="s"/>
      <c r="H1976" t="s"/>
      <c r="I1976" t="s"/>
      <c r="J1976" t="n">
        <v>0</v>
      </c>
      <c r="K1976" t="n">
        <v>0</v>
      </c>
      <c r="L1976" t="n">
        <v>1</v>
      </c>
      <c r="M1976" t="n">
        <v>0</v>
      </c>
    </row>
    <row r="1977" spans="1:13">
      <c r="A1977" s="1">
        <f>HYPERLINK("http://www.twitter.com/NathanBLawrence/status/992052790238334976", "992052790238334976")</f>
        <v/>
      </c>
      <c r="B1977" s="2" t="n">
        <v>43223.61563657408</v>
      </c>
      <c r="C1977" t="n">
        <v>0</v>
      </c>
      <c r="D1977" t="n">
        <v>451</v>
      </c>
      <c r="E1977" t="s">
        <v>1972</v>
      </c>
      <c r="F1977" t="s"/>
      <c r="G1977" t="s"/>
      <c r="H1977" t="s"/>
      <c r="I1977" t="s"/>
      <c r="J1977" t="n">
        <v>-0.2263</v>
      </c>
      <c r="K1977" t="n">
        <v>0.098</v>
      </c>
      <c r="L1977" t="n">
        <v>0.844</v>
      </c>
      <c r="M1977" t="n">
        <v>0.058</v>
      </c>
    </row>
    <row r="1978" spans="1:13">
      <c r="A1978" s="1">
        <f>HYPERLINK("http://www.twitter.com/NathanBLawrence/status/992052724970778624", "992052724970778624")</f>
        <v/>
      </c>
      <c r="B1978" s="2" t="n">
        <v>43223.61545138889</v>
      </c>
      <c r="C1978" t="n">
        <v>0</v>
      </c>
      <c r="D1978" t="n">
        <v>27</v>
      </c>
      <c r="E1978" t="s">
        <v>1973</v>
      </c>
      <c r="F1978" t="s"/>
      <c r="G1978" t="s"/>
      <c r="H1978" t="s"/>
      <c r="I1978" t="s"/>
      <c r="J1978" t="n">
        <v>0.4576</v>
      </c>
      <c r="K1978" t="n">
        <v>0</v>
      </c>
      <c r="L1978" t="n">
        <v>0.786</v>
      </c>
      <c r="M1978" t="n">
        <v>0.214</v>
      </c>
    </row>
    <row r="1979" spans="1:13">
      <c r="A1979" s="1">
        <f>HYPERLINK("http://www.twitter.com/NathanBLawrence/status/992052636970029056", "992052636970029056")</f>
        <v/>
      </c>
      <c r="B1979" s="2" t="n">
        <v>43223.61520833334</v>
      </c>
      <c r="C1979" t="n">
        <v>0</v>
      </c>
      <c r="D1979" t="n">
        <v>58</v>
      </c>
      <c r="E1979" t="s">
        <v>1974</v>
      </c>
      <c r="F1979" t="s"/>
      <c r="G1979" t="s"/>
      <c r="H1979" t="s"/>
      <c r="I1979" t="s"/>
      <c r="J1979" t="n">
        <v>0.4574</v>
      </c>
      <c r="K1979" t="n">
        <v>0</v>
      </c>
      <c r="L1979" t="n">
        <v>0.857</v>
      </c>
      <c r="M1979" t="n">
        <v>0.143</v>
      </c>
    </row>
    <row r="1980" spans="1:13">
      <c r="A1980" s="1">
        <f>HYPERLINK("http://www.twitter.com/NathanBLawrence/status/992052578841235459", "992052578841235459")</f>
        <v/>
      </c>
      <c r="B1980" s="2" t="n">
        <v>43223.6150462963</v>
      </c>
      <c r="C1980" t="n">
        <v>0</v>
      </c>
      <c r="D1980" t="n">
        <v>23</v>
      </c>
      <c r="E1980" t="s">
        <v>1975</v>
      </c>
      <c r="F1980" t="s"/>
      <c r="G1980" t="s"/>
      <c r="H1980" t="s"/>
      <c r="I1980" t="s"/>
      <c r="J1980" t="n">
        <v>-0.8053</v>
      </c>
      <c r="K1980" t="n">
        <v>0.299</v>
      </c>
      <c r="L1980" t="n">
        <v>0.701</v>
      </c>
      <c r="M1980" t="n">
        <v>0</v>
      </c>
    </row>
    <row r="1981" spans="1:13">
      <c r="A1981" s="1">
        <f>HYPERLINK("http://www.twitter.com/NathanBLawrence/status/992051314413703168", "992051314413703168")</f>
        <v/>
      </c>
      <c r="B1981" s="2" t="n">
        <v>43223.6115625</v>
      </c>
      <c r="C1981" t="n">
        <v>0</v>
      </c>
      <c r="D1981" t="n">
        <v>18</v>
      </c>
      <c r="E1981" t="s">
        <v>1976</v>
      </c>
      <c r="F1981">
        <f>HYPERLINK("http://pbs.twimg.com/media/DcP5ICGVMAAWHVA.jpg", "http://pbs.twimg.com/media/DcP5ICGVMAAWHVA.jpg")</f>
        <v/>
      </c>
      <c r="G1981" t="s"/>
      <c r="H1981" t="s"/>
      <c r="I1981" t="s"/>
      <c r="J1981" t="n">
        <v>0.5848</v>
      </c>
      <c r="K1981" t="n">
        <v>0</v>
      </c>
      <c r="L1981" t="n">
        <v>0.613</v>
      </c>
      <c r="M1981" t="n">
        <v>0.387</v>
      </c>
    </row>
    <row r="1982" spans="1:13">
      <c r="A1982" s="1">
        <f>HYPERLINK("http://www.twitter.com/NathanBLawrence/status/992051276232974336", "992051276232974336")</f>
        <v/>
      </c>
      <c r="B1982" s="2" t="n">
        <v>43223.61145833333</v>
      </c>
      <c r="C1982" t="n">
        <v>0</v>
      </c>
      <c r="D1982" t="n">
        <v>50</v>
      </c>
      <c r="E1982" t="s">
        <v>1977</v>
      </c>
      <c r="F1982" t="s"/>
      <c r="G1982" t="s"/>
      <c r="H1982" t="s"/>
      <c r="I1982" t="s"/>
      <c r="J1982" t="n">
        <v>-0.5242</v>
      </c>
      <c r="K1982" t="n">
        <v>0.139</v>
      </c>
      <c r="L1982" t="n">
        <v>0.861</v>
      </c>
      <c r="M1982" t="n">
        <v>0</v>
      </c>
    </row>
    <row r="1983" spans="1:13">
      <c r="A1983" s="1">
        <f>HYPERLINK("http://www.twitter.com/NathanBLawrence/status/992051235564990464", "992051235564990464")</f>
        <v/>
      </c>
      <c r="B1983" s="2" t="n">
        <v>43223.61134259259</v>
      </c>
      <c r="C1983" t="n">
        <v>0</v>
      </c>
      <c r="D1983" t="n">
        <v>30</v>
      </c>
      <c r="E1983" t="s">
        <v>1978</v>
      </c>
      <c r="F1983">
        <f>HYPERLINK("http://pbs.twimg.com/media/DcQOcJcV4AAyv5V.jpg", "http://pbs.twimg.com/media/DcQOcJcV4AAyv5V.jpg")</f>
        <v/>
      </c>
      <c r="G1983" t="s"/>
      <c r="H1983" t="s"/>
      <c r="I1983" t="s"/>
      <c r="J1983" t="n">
        <v>0</v>
      </c>
      <c r="K1983" t="n">
        <v>0</v>
      </c>
      <c r="L1983" t="n">
        <v>1</v>
      </c>
      <c r="M1983" t="n">
        <v>0</v>
      </c>
    </row>
    <row r="1984" spans="1:13">
      <c r="A1984" s="1">
        <f>HYPERLINK("http://www.twitter.com/NathanBLawrence/status/992051183937351680", "992051183937351680")</f>
        <v/>
      </c>
      <c r="B1984" s="2" t="n">
        <v>43223.6112037037</v>
      </c>
      <c r="C1984" t="n">
        <v>0</v>
      </c>
      <c r="D1984" t="n">
        <v>0</v>
      </c>
      <c r="E1984" t="s">
        <v>1979</v>
      </c>
      <c r="F1984" t="s"/>
      <c r="G1984" t="s"/>
      <c r="H1984" t="s"/>
      <c r="I1984" t="s"/>
      <c r="J1984" t="n">
        <v>0</v>
      </c>
      <c r="K1984" t="n">
        <v>0</v>
      </c>
      <c r="L1984" t="n">
        <v>1</v>
      </c>
      <c r="M1984" t="n">
        <v>0</v>
      </c>
    </row>
    <row r="1985" spans="1:13">
      <c r="A1985" s="1">
        <f>HYPERLINK("http://www.twitter.com/NathanBLawrence/status/992048728348528640", "992048728348528640")</f>
        <v/>
      </c>
      <c r="B1985" s="2" t="n">
        <v>43223.6044212963</v>
      </c>
      <c r="C1985" t="n">
        <v>0</v>
      </c>
      <c r="D1985" t="n">
        <v>45</v>
      </c>
      <c r="E1985" t="s">
        <v>1980</v>
      </c>
      <c r="F1985" t="s"/>
      <c r="G1985" t="s"/>
      <c r="H1985" t="s"/>
      <c r="I1985" t="s"/>
      <c r="J1985" t="n">
        <v>-0.5848</v>
      </c>
      <c r="K1985" t="n">
        <v>0.296</v>
      </c>
      <c r="L1985" t="n">
        <v>0.704</v>
      </c>
      <c r="M1985" t="n">
        <v>0</v>
      </c>
    </row>
    <row r="1986" spans="1:13">
      <c r="A1986" s="1">
        <f>HYPERLINK("http://www.twitter.com/NathanBLawrence/status/992048670261567489", "992048670261567489")</f>
        <v/>
      </c>
      <c r="B1986" s="2" t="n">
        <v>43223.60427083333</v>
      </c>
      <c r="C1986" t="n">
        <v>0</v>
      </c>
      <c r="D1986" t="n">
        <v>27</v>
      </c>
      <c r="E1986" t="s">
        <v>1981</v>
      </c>
      <c r="F1986" t="s"/>
      <c r="G1986" t="s"/>
      <c r="H1986" t="s"/>
      <c r="I1986" t="s"/>
      <c r="J1986" t="n">
        <v>0</v>
      </c>
      <c r="K1986" t="n">
        <v>0</v>
      </c>
      <c r="L1986" t="n">
        <v>1</v>
      </c>
      <c r="M1986" t="n">
        <v>0</v>
      </c>
    </row>
    <row r="1987" spans="1:13">
      <c r="A1987" s="1">
        <f>HYPERLINK("http://www.twitter.com/NathanBLawrence/status/992048629685870594", "992048629685870594")</f>
        <v/>
      </c>
      <c r="B1987" s="2" t="n">
        <v>43223.60415509259</v>
      </c>
      <c r="C1987" t="n">
        <v>0</v>
      </c>
      <c r="D1987" t="n">
        <v>43</v>
      </c>
      <c r="E1987" t="s">
        <v>1982</v>
      </c>
      <c r="F1987" t="s"/>
      <c r="G1987" t="s"/>
      <c r="H1987" t="s"/>
      <c r="I1987" t="s"/>
      <c r="J1987" t="n">
        <v>0</v>
      </c>
      <c r="K1987" t="n">
        <v>0</v>
      </c>
      <c r="L1987" t="n">
        <v>1</v>
      </c>
      <c r="M1987" t="n">
        <v>0</v>
      </c>
    </row>
    <row r="1988" spans="1:13">
      <c r="A1988" s="1">
        <f>HYPERLINK("http://www.twitter.com/NathanBLawrence/status/992048569329831936", "992048569329831936")</f>
        <v/>
      </c>
      <c r="B1988" s="2" t="n">
        <v>43223.60398148148</v>
      </c>
      <c r="C1988" t="n">
        <v>0</v>
      </c>
      <c r="D1988" t="n">
        <v>18</v>
      </c>
      <c r="E1988" t="s">
        <v>1983</v>
      </c>
      <c r="F1988" t="s"/>
      <c r="G1988" t="s"/>
      <c r="H1988" t="s"/>
      <c r="I1988" t="s"/>
      <c r="J1988" t="n">
        <v>-0.8126</v>
      </c>
      <c r="K1988" t="n">
        <v>0.338</v>
      </c>
      <c r="L1988" t="n">
        <v>0.579</v>
      </c>
      <c r="M1988" t="n">
        <v>0.082</v>
      </c>
    </row>
    <row r="1989" spans="1:13">
      <c r="A1989" s="1">
        <f>HYPERLINK("http://www.twitter.com/NathanBLawrence/status/992048512274755585", "992048512274755585")</f>
        <v/>
      </c>
      <c r="B1989" s="2" t="n">
        <v>43223.60383101852</v>
      </c>
      <c r="C1989" t="n">
        <v>0</v>
      </c>
      <c r="D1989" t="n">
        <v>35</v>
      </c>
      <c r="E1989" t="s">
        <v>1984</v>
      </c>
      <c r="F1989" t="s"/>
      <c r="G1989" t="s"/>
      <c r="H1989" t="s"/>
      <c r="I1989" t="s"/>
      <c r="J1989" t="n">
        <v>0.7845</v>
      </c>
      <c r="K1989" t="n">
        <v>0</v>
      </c>
      <c r="L1989" t="n">
        <v>0.761</v>
      </c>
      <c r="M1989" t="n">
        <v>0.239</v>
      </c>
    </row>
    <row r="1990" spans="1:13">
      <c r="A1990" s="1">
        <f>HYPERLINK("http://www.twitter.com/NathanBLawrence/status/992048367327940609", "992048367327940609")</f>
        <v/>
      </c>
      <c r="B1990" s="2" t="n">
        <v>43223.60342592592</v>
      </c>
      <c r="C1990" t="n">
        <v>0</v>
      </c>
      <c r="D1990" t="n">
        <v>58</v>
      </c>
      <c r="E1990" t="s">
        <v>1985</v>
      </c>
      <c r="F1990" t="s"/>
      <c r="G1990" t="s"/>
      <c r="H1990" t="s"/>
      <c r="I1990" t="s"/>
      <c r="J1990" t="n">
        <v>0.9559</v>
      </c>
      <c r="K1990" t="n">
        <v>0</v>
      </c>
      <c r="L1990" t="n">
        <v>0.52</v>
      </c>
      <c r="M1990" t="n">
        <v>0.48</v>
      </c>
    </row>
    <row r="1991" spans="1:13">
      <c r="A1991" s="1">
        <f>HYPERLINK("http://www.twitter.com/NathanBLawrence/status/992048296809127936", "992048296809127936")</f>
        <v/>
      </c>
      <c r="B1991" s="2" t="n">
        <v>43223.60322916666</v>
      </c>
      <c r="C1991" t="n">
        <v>0</v>
      </c>
      <c r="D1991" t="n">
        <v>17</v>
      </c>
      <c r="E1991" t="s">
        <v>1986</v>
      </c>
      <c r="F1991" t="s"/>
      <c r="G1991" t="s"/>
      <c r="H1991" t="s"/>
      <c r="I1991" t="s"/>
      <c r="J1991" t="n">
        <v>-0.8625</v>
      </c>
      <c r="K1991" t="n">
        <v>0.425</v>
      </c>
      <c r="L1991" t="n">
        <v>0.575</v>
      </c>
      <c r="M1991" t="n">
        <v>0</v>
      </c>
    </row>
    <row r="1992" spans="1:13">
      <c r="A1992" s="1">
        <f>HYPERLINK("http://www.twitter.com/NathanBLawrence/status/992048250663456768", "992048250663456768")</f>
        <v/>
      </c>
      <c r="B1992" s="2" t="n">
        <v>43223.60310185186</v>
      </c>
      <c r="C1992" t="n">
        <v>0</v>
      </c>
      <c r="D1992" t="n">
        <v>117</v>
      </c>
      <c r="E1992" t="s">
        <v>1987</v>
      </c>
      <c r="F1992">
        <f>HYPERLINK("http://pbs.twimg.com/media/DcRRIXuV0AAPDTQ.jpg", "http://pbs.twimg.com/media/DcRRIXuV0AAPDTQ.jpg")</f>
        <v/>
      </c>
      <c r="G1992" t="s"/>
      <c r="H1992" t="s"/>
      <c r="I1992" t="s"/>
      <c r="J1992" t="n">
        <v>0</v>
      </c>
      <c r="K1992" t="n">
        <v>0</v>
      </c>
      <c r="L1992" t="n">
        <v>1</v>
      </c>
      <c r="M1992" t="n">
        <v>0</v>
      </c>
    </row>
    <row r="1993" spans="1:13">
      <c r="A1993" s="1">
        <f>HYPERLINK("http://www.twitter.com/NathanBLawrence/status/992048167423225856", "992048167423225856")</f>
        <v/>
      </c>
      <c r="B1993" s="2" t="n">
        <v>43223.60288194445</v>
      </c>
      <c r="C1993" t="n">
        <v>0</v>
      </c>
      <c r="D1993" t="n">
        <v>56</v>
      </c>
      <c r="E1993" t="s">
        <v>1988</v>
      </c>
      <c r="F1993" t="s"/>
      <c r="G1993" t="s"/>
      <c r="H1993" t="s"/>
      <c r="I1993" t="s"/>
      <c r="J1993" t="n">
        <v>-0.2973</v>
      </c>
      <c r="K1993" t="n">
        <v>0.08799999999999999</v>
      </c>
      <c r="L1993" t="n">
        <v>0.912</v>
      </c>
      <c r="M1993" t="n">
        <v>0</v>
      </c>
    </row>
    <row r="1994" spans="1:13">
      <c r="A1994" s="1">
        <f>HYPERLINK("http://www.twitter.com/NathanBLawrence/status/992048066525061120", "992048066525061120")</f>
        <v/>
      </c>
      <c r="B1994" s="2" t="n">
        <v>43223.60260416667</v>
      </c>
      <c r="C1994" t="n">
        <v>0</v>
      </c>
      <c r="D1994" t="n">
        <v>76</v>
      </c>
      <c r="E1994" t="s">
        <v>1989</v>
      </c>
      <c r="F1994">
        <f>HYPERLINK("http://pbs.twimg.com/media/DcRWdGOX4AIWej5.jpg", "http://pbs.twimg.com/media/DcRWdGOX4AIWej5.jpg")</f>
        <v/>
      </c>
      <c r="G1994">
        <f>HYPERLINK("http://pbs.twimg.com/media/DcRWdUXXkAA_nC7.jpg", "http://pbs.twimg.com/media/DcRWdUXXkAA_nC7.jpg")</f>
        <v/>
      </c>
      <c r="H1994">
        <f>HYPERLINK("http://pbs.twimg.com/media/DcRWdg_XUAA-QIh.jpg", "http://pbs.twimg.com/media/DcRWdg_XUAA-QIh.jpg")</f>
        <v/>
      </c>
      <c r="I1994">
        <f>HYPERLINK("http://pbs.twimg.com/media/DcRWduMW0AAb6La.jpg", "http://pbs.twimg.com/media/DcRWduMW0AAb6La.jpg")</f>
        <v/>
      </c>
      <c r="J1994" t="n">
        <v>0</v>
      </c>
      <c r="K1994" t="n">
        <v>0</v>
      </c>
      <c r="L1994" t="n">
        <v>1</v>
      </c>
      <c r="M1994" t="n">
        <v>0</v>
      </c>
    </row>
    <row r="1995" spans="1:13">
      <c r="A1995" s="1">
        <f>HYPERLINK("http://www.twitter.com/NathanBLawrence/status/992047961717858304", "992047961717858304")</f>
        <v/>
      </c>
      <c r="B1995" s="2" t="n">
        <v>43223.60231481482</v>
      </c>
      <c r="C1995" t="n">
        <v>0</v>
      </c>
      <c r="D1995" t="n">
        <v>740</v>
      </c>
      <c r="E1995" t="s">
        <v>1990</v>
      </c>
      <c r="F1995">
        <f>HYPERLINK("https://video.twimg.com/ext_tw_video/992024818584309765/pu/vid/1280x720/TTt1pWuTrIDq-oD2.mp4?tag=3", "https://video.twimg.com/ext_tw_video/992024818584309765/pu/vid/1280x720/TTt1pWuTrIDq-oD2.mp4?tag=3")</f>
        <v/>
      </c>
      <c r="G1995" t="s"/>
      <c r="H1995" t="s"/>
      <c r="I1995" t="s"/>
      <c r="J1995" t="n">
        <v>0.3182</v>
      </c>
      <c r="K1995" t="n">
        <v>0.107</v>
      </c>
      <c r="L1995" t="n">
        <v>0.738</v>
      </c>
      <c r="M1995" t="n">
        <v>0.155</v>
      </c>
    </row>
    <row r="1996" spans="1:13">
      <c r="A1996" s="1">
        <f>HYPERLINK("http://www.twitter.com/NathanBLawrence/status/992047683706720257", "992047683706720257")</f>
        <v/>
      </c>
      <c r="B1996" s="2" t="n">
        <v>43223.60153935185</v>
      </c>
      <c r="C1996" t="n">
        <v>0</v>
      </c>
      <c r="D1996" t="n">
        <v>1</v>
      </c>
      <c r="E1996" t="s">
        <v>1991</v>
      </c>
      <c r="F1996" t="s"/>
      <c r="G1996" t="s"/>
      <c r="H1996" t="s"/>
      <c r="I1996" t="s"/>
      <c r="J1996" t="n">
        <v>0.8822</v>
      </c>
      <c r="K1996" t="n">
        <v>0</v>
      </c>
      <c r="L1996" t="n">
        <v>0.571</v>
      </c>
      <c r="M1996" t="n">
        <v>0.429</v>
      </c>
    </row>
    <row r="1997" spans="1:13">
      <c r="A1997" s="1">
        <f>HYPERLINK("http://www.twitter.com/NathanBLawrence/status/992047528177754113", "992047528177754113")</f>
        <v/>
      </c>
      <c r="B1997" s="2" t="n">
        <v>43223.60111111111</v>
      </c>
      <c r="C1997" t="n">
        <v>0</v>
      </c>
      <c r="D1997" t="n">
        <v>3</v>
      </c>
      <c r="E1997" t="s">
        <v>1992</v>
      </c>
      <c r="F1997" t="s"/>
      <c r="G1997" t="s"/>
      <c r="H1997" t="s"/>
      <c r="I1997" t="s"/>
      <c r="J1997" t="n">
        <v>0</v>
      </c>
      <c r="K1997" t="n">
        <v>0</v>
      </c>
      <c r="L1997" t="n">
        <v>1</v>
      </c>
      <c r="M1997" t="n">
        <v>0</v>
      </c>
    </row>
    <row r="1998" spans="1:13">
      <c r="A1998" s="1">
        <f>HYPERLINK("http://www.twitter.com/NathanBLawrence/status/992046185182580737", "992046185182580737")</f>
        <v/>
      </c>
      <c r="B1998" s="2" t="n">
        <v>43223.5974074074</v>
      </c>
      <c r="C1998" t="n">
        <v>0</v>
      </c>
      <c r="D1998" t="n">
        <v>16</v>
      </c>
      <c r="E1998" t="s">
        <v>1993</v>
      </c>
      <c r="F1998">
        <f>HYPERLINK("http://pbs.twimg.com/media/DcRsJYKVAAA3q2j.jpg", "http://pbs.twimg.com/media/DcRsJYKVAAA3q2j.jpg")</f>
        <v/>
      </c>
      <c r="G1998" t="s"/>
      <c r="H1998" t="s"/>
      <c r="I1998" t="s"/>
      <c r="J1998" t="n">
        <v>0</v>
      </c>
      <c r="K1998" t="n">
        <v>0</v>
      </c>
      <c r="L1998" t="n">
        <v>1</v>
      </c>
      <c r="M1998" t="n">
        <v>0</v>
      </c>
    </row>
    <row r="1999" spans="1:13">
      <c r="A1999" s="1">
        <f>HYPERLINK("http://www.twitter.com/NathanBLawrence/status/992046153951858694", "992046153951858694")</f>
        <v/>
      </c>
      <c r="B1999" s="2" t="n">
        <v>43223.59732638889</v>
      </c>
      <c r="C1999" t="n">
        <v>0</v>
      </c>
      <c r="D1999" t="n">
        <v>14</v>
      </c>
      <c r="E1999" t="s">
        <v>1994</v>
      </c>
      <c r="F1999" t="s"/>
      <c r="G1999" t="s"/>
      <c r="H1999" t="s"/>
      <c r="I1999" t="s"/>
      <c r="J1999" t="n">
        <v>0.4648</v>
      </c>
      <c r="K1999" t="n">
        <v>0</v>
      </c>
      <c r="L1999" t="n">
        <v>0.698</v>
      </c>
      <c r="M1999" t="n">
        <v>0.302</v>
      </c>
    </row>
    <row r="2000" spans="1:13">
      <c r="A2000" s="1">
        <f>HYPERLINK("http://www.twitter.com/NathanBLawrence/status/992046137145221120", "992046137145221120")</f>
        <v/>
      </c>
      <c r="B2000" s="2" t="n">
        <v>43223.5972800926</v>
      </c>
      <c r="C2000" t="n">
        <v>0</v>
      </c>
      <c r="D2000" t="n">
        <v>27</v>
      </c>
      <c r="E2000" t="s">
        <v>1995</v>
      </c>
      <c r="F2000">
        <f>HYPERLINK("http://pbs.twimg.com/media/DcRnBU1V4AA49A6.jpg", "http://pbs.twimg.com/media/DcRnBU1V4AA49A6.jpg")</f>
        <v/>
      </c>
      <c r="G2000" t="s"/>
      <c r="H2000" t="s"/>
      <c r="I2000" t="s"/>
      <c r="J2000" t="n">
        <v>0</v>
      </c>
      <c r="K2000" t="n">
        <v>0</v>
      </c>
      <c r="L2000" t="n">
        <v>1</v>
      </c>
      <c r="M2000" t="n">
        <v>0</v>
      </c>
    </row>
    <row r="2001" spans="1:13">
      <c r="A2001" s="1">
        <f>HYPERLINK("http://www.twitter.com/NathanBLawrence/status/992046104815521792", "992046104815521792")</f>
        <v/>
      </c>
      <c r="B2001" s="2" t="n">
        <v>43223.5971875</v>
      </c>
      <c r="C2001" t="n">
        <v>0</v>
      </c>
      <c r="D2001" t="n">
        <v>24</v>
      </c>
      <c r="E2001" t="s">
        <v>1996</v>
      </c>
      <c r="F2001">
        <f>HYPERLINK("http://pbs.twimg.com/media/DcRlwzWU8AEDgZM.jpg", "http://pbs.twimg.com/media/DcRlwzWU8AEDgZM.jpg")</f>
        <v/>
      </c>
      <c r="G2001" t="s"/>
      <c r="H2001" t="s"/>
      <c r="I2001" t="s"/>
      <c r="J2001" t="n">
        <v>0</v>
      </c>
      <c r="K2001" t="n">
        <v>0</v>
      </c>
      <c r="L2001" t="n">
        <v>1</v>
      </c>
      <c r="M2001" t="n">
        <v>0</v>
      </c>
    </row>
    <row r="2002" spans="1:13">
      <c r="A2002" s="1">
        <f>HYPERLINK("http://www.twitter.com/NathanBLawrence/status/992046087639851008", "992046087639851008")</f>
        <v/>
      </c>
      <c r="B2002" s="2" t="n">
        <v>43223.5971412037</v>
      </c>
      <c r="C2002" t="n">
        <v>0</v>
      </c>
      <c r="D2002" t="n">
        <v>21</v>
      </c>
      <c r="E2002" t="s">
        <v>1997</v>
      </c>
      <c r="F2002">
        <f>HYPERLINK("http://pbs.twimg.com/media/DcRlMfeUwAAA_Mn.jpg", "http://pbs.twimg.com/media/DcRlMfeUwAAA_Mn.jpg")</f>
        <v/>
      </c>
      <c r="G2002" t="s"/>
      <c r="H2002" t="s"/>
      <c r="I2002" t="s"/>
      <c r="J2002" t="n">
        <v>0</v>
      </c>
      <c r="K2002" t="n">
        <v>0</v>
      </c>
      <c r="L2002" t="n">
        <v>1</v>
      </c>
      <c r="M2002" t="n">
        <v>0</v>
      </c>
    </row>
    <row r="2003" spans="1:13">
      <c r="A2003" s="1">
        <f>HYPERLINK("http://www.twitter.com/NathanBLawrence/status/992046068786520064", "992046068786520064")</f>
        <v/>
      </c>
      <c r="B2003" s="2" t="n">
        <v>43223.59708333333</v>
      </c>
      <c r="C2003" t="n">
        <v>0</v>
      </c>
      <c r="D2003" t="n">
        <v>73</v>
      </c>
      <c r="E2003" t="s">
        <v>1998</v>
      </c>
      <c r="F2003" t="s"/>
      <c r="G2003" t="s"/>
      <c r="H2003" t="s"/>
      <c r="I2003" t="s"/>
      <c r="J2003" t="n">
        <v>0</v>
      </c>
      <c r="K2003" t="n">
        <v>0</v>
      </c>
      <c r="L2003" t="n">
        <v>1</v>
      </c>
      <c r="M2003" t="n">
        <v>0</v>
      </c>
    </row>
    <row r="2004" spans="1:13">
      <c r="A2004" s="1">
        <f>HYPERLINK("http://www.twitter.com/NathanBLawrence/status/992045897457512451", "992045897457512451")</f>
        <v/>
      </c>
      <c r="B2004" s="2" t="n">
        <v>43223.5966087963</v>
      </c>
      <c r="C2004" t="n">
        <v>0</v>
      </c>
      <c r="D2004" t="n">
        <v>5</v>
      </c>
      <c r="E2004" t="s">
        <v>1999</v>
      </c>
      <c r="F2004" t="s"/>
      <c r="G2004" t="s"/>
      <c r="H2004" t="s"/>
      <c r="I2004" t="s"/>
      <c r="J2004" t="n">
        <v>0</v>
      </c>
      <c r="K2004" t="n">
        <v>0</v>
      </c>
      <c r="L2004" t="n">
        <v>1</v>
      </c>
      <c r="M2004" t="n">
        <v>0</v>
      </c>
    </row>
    <row r="2005" spans="1:13">
      <c r="A2005" s="1">
        <f>HYPERLINK("http://www.twitter.com/NathanBLawrence/status/992045866113552384", "992045866113552384")</f>
        <v/>
      </c>
      <c r="B2005" s="2" t="n">
        <v>43223.59652777778</v>
      </c>
      <c r="C2005" t="n">
        <v>0</v>
      </c>
      <c r="D2005" t="n">
        <v>21</v>
      </c>
      <c r="E2005" t="s">
        <v>2000</v>
      </c>
      <c r="F2005">
        <f>HYPERLINK("http://pbs.twimg.com/media/DcR0To9U0AA_Pnl.jpg", "http://pbs.twimg.com/media/DcR0To9U0AA_Pnl.jpg")</f>
        <v/>
      </c>
      <c r="G2005" t="s"/>
      <c r="H2005" t="s"/>
      <c r="I2005" t="s"/>
      <c r="J2005" t="n">
        <v>0</v>
      </c>
      <c r="K2005" t="n">
        <v>0</v>
      </c>
      <c r="L2005" t="n">
        <v>1</v>
      </c>
      <c r="M2005" t="n">
        <v>0</v>
      </c>
    </row>
    <row r="2006" spans="1:13">
      <c r="A2006" s="1">
        <f>HYPERLINK("http://www.twitter.com/NathanBLawrence/status/992045852033191942", "992045852033191942")</f>
        <v/>
      </c>
      <c r="B2006" s="2" t="n">
        <v>43223.59649305556</v>
      </c>
      <c r="C2006" t="n">
        <v>0</v>
      </c>
      <c r="D2006" t="n">
        <v>24</v>
      </c>
      <c r="E2006" t="s">
        <v>2001</v>
      </c>
      <c r="F2006">
        <f>HYPERLINK("http://pbs.twimg.com/media/DcR0YhQVQAEX3qu.jpg", "http://pbs.twimg.com/media/DcR0YhQVQAEX3qu.jpg")</f>
        <v/>
      </c>
      <c r="G2006" t="s"/>
      <c r="H2006" t="s"/>
      <c r="I2006" t="s"/>
      <c r="J2006" t="n">
        <v>0</v>
      </c>
      <c r="K2006" t="n">
        <v>0</v>
      </c>
      <c r="L2006" t="n">
        <v>1</v>
      </c>
      <c r="M2006" t="n">
        <v>0</v>
      </c>
    </row>
    <row r="2007" spans="1:13">
      <c r="A2007" s="1">
        <f>HYPERLINK("http://www.twitter.com/NathanBLawrence/status/992044689401499648", "992044689401499648")</f>
        <v/>
      </c>
      <c r="B2007" s="2" t="n">
        <v>43223.59327546296</v>
      </c>
      <c r="C2007" t="n">
        <v>0</v>
      </c>
      <c r="D2007" t="n">
        <v>897</v>
      </c>
      <c r="E2007" t="s">
        <v>2002</v>
      </c>
      <c r="F2007" t="s"/>
      <c r="G2007" t="s"/>
      <c r="H2007" t="s"/>
      <c r="I2007" t="s"/>
      <c r="J2007" t="n">
        <v>-0.6588000000000001</v>
      </c>
      <c r="K2007" t="n">
        <v>0.155</v>
      </c>
      <c r="L2007" t="n">
        <v>0.845</v>
      </c>
      <c r="M2007" t="n">
        <v>0</v>
      </c>
    </row>
    <row r="2008" spans="1:13">
      <c r="A2008" s="1">
        <f>HYPERLINK("http://www.twitter.com/NathanBLawrence/status/992044549773103104", "992044549773103104")</f>
        <v/>
      </c>
      <c r="B2008" s="2" t="n">
        <v>43223.59289351852</v>
      </c>
      <c r="C2008" t="n">
        <v>0</v>
      </c>
      <c r="D2008" t="n">
        <v>5</v>
      </c>
      <c r="E2008" t="s">
        <v>2003</v>
      </c>
      <c r="F2008" t="s"/>
      <c r="G2008" t="s"/>
      <c r="H2008" t="s"/>
      <c r="I2008" t="s"/>
      <c r="J2008" t="n">
        <v>-0.9231</v>
      </c>
      <c r="K2008" t="n">
        <v>0.439</v>
      </c>
      <c r="L2008" t="n">
        <v>0.5610000000000001</v>
      </c>
      <c r="M2008" t="n">
        <v>0</v>
      </c>
    </row>
    <row r="2009" spans="1:13">
      <c r="A2009" s="1">
        <f>HYPERLINK("http://www.twitter.com/NathanBLawrence/status/992043427398406144", "992043427398406144")</f>
        <v/>
      </c>
      <c r="B2009" s="2" t="n">
        <v>43223.58980324074</v>
      </c>
      <c r="C2009" t="n">
        <v>0</v>
      </c>
      <c r="D2009" t="n">
        <v>2</v>
      </c>
      <c r="E2009" t="s">
        <v>2004</v>
      </c>
      <c r="F2009" t="s"/>
      <c r="G2009" t="s"/>
      <c r="H2009" t="s"/>
      <c r="I2009" t="s"/>
      <c r="J2009" t="n">
        <v>0</v>
      </c>
      <c r="K2009" t="n">
        <v>0</v>
      </c>
      <c r="L2009" t="n">
        <v>1</v>
      </c>
      <c r="M2009" t="n">
        <v>0</v>
      </c>
    </row>
    <row r="2010" spans="1:13">
      <c r="A2010" s="1">
        <f>HYPERLINK("http://www.twitter.com/NathanBLawrence/status/992042562998415360", "992042562998415360")</f>
        <v/>
      </c>
      <c r="B2010" s="2" t="n">
        <v>43223.58740740741</v>
      </c>
      <c r="C2010" t="n">
        <v>43</v>
      </c>
      <c r="D2010" t="n">
        <v>37</v>
      </c>
      <c r="E2010" t="s">
        <v>2005</v>
      </c>
      <c r="F2010">
        <f>HYPERLINK("http://pbs.twimg.com/media/DcRxcuEVMAAJIdw.jpg", "http://pbs.twimg.com/media/DcRxcuEVMAAJIdw.jpg")</f>
        <v/>
      </c>
      <c r="G2010" t="s"/>
      <c r="H2010" t="s"/>
      <c r="I2010" t="s"/>
      <c r="J2010" t="n">
        <v>0</v>
      </c>
      <c r="K2010" t="n">
        <v>0</v>
      </c>
      <c r="L2010" t="n">
        <v>1</v>
      </c>
      <c r="M2010" t="n">
        <v>0</v>
      </c>
    </row>
    <row r="2011" spans="1:13">
      <c r="A2011" s="1">
        <f>HYPERLINK("http://www.twitter.com/NathanBLawrence/status/992042540076544002", "992042540076544002")</f>
        <v/>
      </c>
      <c r="B2011" s="2" t="n">
        <v>43223.58734953704</v>
      </c>
      <c r="C2011" t="n">
        <v>38</v>
      </c>
      <c r="D2011" t="n">
        <v>52</v>
      </c>
      <c r="E2011" t="s">
        <v>2006</v>
      </c>
      <c r="F2011">
        <f>HYPERLINK("https://video.twimg.com/ext_tw_video/992042426624757765/pu/vid/1280x720/deRUv8P1cEDsU2Tt.mp4?tag=3", "https://video.twimg.com/ext_tw_video/992042426624757765/pu/vid/1280x720/deRUv8P1cEDsU2Tt.mp4?tag=3")</f>
        <v/>
      </c>
      <c r="G2011" t="s"/>
      <c r="H2011" t="s"/>
      <c r="I2011" t="s"/>
      <c r="J2011" t="n">
        <v>-0.3818</v>
      </c>
      <c r="K2011" t="n">
        <v>0.288</v>
      </c>
      <c r="L2011" t="n">
        <v>0.531</v>
      </c>
      <c r="M2011" t="n">
        <v>0.181</v>
      </c>
    </row>
    <row r="2012" spans="1:13">
      <c r="A2012" s="1">
        <f>HYPERLINK("http://www.twitter.com/NathanBLawrence/status/992039033218969601", "992039033218969601")</f>
        <v/>
      </c>
      <c r="B2012" s="2" t="n">
        <v>43223.57767361111</v>
      </c>
      <c r="C2012" t="n">
        <v>0</v>
      </c>
      <c r="D2012" t="n">
        <v>0</v>
      </c>
      <c r="E2012" t="s">
        <v>2007</v>
      </c>
      <c r="F2012" t="s"/>
      <c r="G2012" t="s"/>
      <c r="H2012" t="s"/>
      <c r="I2012" t="s"/>
      <c r="J2012" t="n">
        <v>0</v>
      </c>
      <c r="K2012" t="n">
        <v>0</v>
      </c>
      <c r="L2012" t="n">
        <v>1</v>
      </c>
      <c r="M2012" t="n">
        <v>0</v>
      </c>
    </row>
    <row r="2013" spans="1:13">
      <c r="A2013" s="1">
        <f>HYPERLINK("http://www.twitter.com/NathanBLawrence/status/992037961398185986", "992037961398185986")</f>
        <v/>
      </c>
      <c r="B2013" s="2" t="n">
        <v>43223.57471064815</v>
      </c>
      <c r="C2013" t="n">
        <v>0</v>
      </c>
      <c r="D2013" t="n">
        <v>0</v>
      </c>
      <c r="E2013" t="s">
        <v>2008</v>
      </c>
      <c r="F2013" t="s"/>
      <c r="G2013" t="s"/>
      <c r="H2013" t="s"/>
      <c r="I2013" t="s"/>
      <c r="J2013" t="n">
        <v>0</v>
      </c>
      <c r="K2013" t="n">
        <v>0</v>
      </c>
      <c r="L2013" t="n">
        <v>1</v>
      </c>
      <c r="M2013" t="n">
        <v>0</v>
      </c>
    </row>
    <row r="2014" spans="1:13">
      <c r="A2014" s="1">
        <f>HYPERLINK("http://www.twitter.com/NathanBLawrence/status/992035557097328643", "992035557097328643")</f>
        <v/>
      </c>
      <c r="B2014" s="2" t="n">
        <v>43223.56807870371</v>
      </c>
      <c r="C2014" t="n">
        <v>0</v>
      </c>
      <c r="D2014" t="n">
        <v>25</v>
      </c>
      <c r="E2014" t="s">
        <v>2009</v>
      </c>
      <c r="F2014" t="s"/>
      <c r="G2014" t="s"/>
      <c r="H2014" t="s"/>
      <c r="I2014" t="s"/>
      <c r="J2014" t="n">
        <v>0</v>
      </c>
      <c r="K2014" t="n">
        <v>0</v>
      </c>
      <c r="L2014" t="n">
        <v>1</v>
      </c>
      <c r="M2014" t="n">
        <v>0</v>
      </c>
    </row>
    <row r="2015" spans="1:13">
      <c r="A2015" s="1">
        <f>HYPERLINK("http://www.twitter.com/NathanBLawrence/status/992035498939043840", "992035498939043840")</f>
        <v/>
      </c>
      <c r="B2015" s="2" t="n">
        <v>43223.56791666667</v>
      </c>
      <c r="C2015" t="n">
        <v>0</v>
      </c>
      <c r="D2015" t="n">
        <v>1</v>
      </c>
      <c r="E2015" t="s">
        <v>2010</v>
      </c>
      <c r="F2015" t="s"/>
      <c r="G2015" t="s"/>
      <c r="H2015" t="s"/>
      <c r="I2015" t="s"/>
      <c r="J2015" t="n">
        <v>-0.3875</v>
      </c>
      <c r="K2015" t="n">
        <v>0.18</v>
      </c>
      <c r="L2015" t="n">
        <v>0.82</v>
      </c>
      <c r="M2015" t="n">
        <v>0</v>
      </c>
    </row>
    <row r="2016" spans="1:13">
      <c r="A2016" s="1">
        <f>HYPERLINK("http://www.twitter.com/NathanBLawrence/status/992035456077451264", "992035456077451264")</f>
        <v/>
      </c>
      <c r="B2016" s="2" t="n">
        <v>43223.56780092593</v>
      </c>
      <c r="C2016" t="n">
        <v>0</v>
      </c>
      <c r="D2016" t="n">
        <v>12</v>
      </c>
      <c r="E2016" t="s">
        <v>2011</v>
      </c>
      <c r="F2016" t="s"/>
      <c r="G2016" t="s"/>
      <c r="H2016" t="s"/>
      <c r="I2016" t="s"/>
      <c r="J2016" t="n">
        <v>0.9423</v>
      </c>
      <c r="K2016" t="n">
        <v>0</v>
      </c>
      <c r="L2016" t="n">
        <v>0.421</v>
      </c>
      <c r="M2016" t="n">
        <v>0.579</v>
      </c>
    </row>
    <row r="2017" spans="1:13">
      <c r="A2017" s="1">
        <f>HYPERLINK("http://www.twitter.com/NathanBLawrence/status/992035369355968513", "992035369355968513")</f>
        <v/>
      </c>
      <c r="B2017" s="2" t="n">
        <v>43223.56755787037</v>
      </c>
      <c r="C2017" t="n">
        <v>0</v>
      </c>
      <c r="D2017" t="n">
        <v>1</v>
      </c>
      <c r="E2017" t="s">
        <v>2012</v>
      </c>
      <c r="F2017" t="s"/>
      <c r="G2017" t="s"/>
      <c r="H2017" t="s"/>
      <c r="I2017" t="s"/>
      <c r="J2017" t="n">
        <v>0.3147</v>
      </c>
      <c r="K2017" t="n">
        <v>0.117</v>
      </c>
      <c r="L2017" t="n">
        <v>0.716</v>
      </c>
      <c r="M2017" t="n">
        <v>0.168</v>
      </c>
    </row>
    <row r="2018" spans="1:13">
      <c r="A2018" s="1">
        <f>HYPERLINK("http://www.twitter.com/NathanBLawrence/status/992035122999451649", "992035122999451649")</f>
        <v/>
      </c>
      <c r="B2018" s="2" t="n">
        <v>43223.56688657407</v>
      </c>
      <c r="C2018" t="n">
        <v>0</v>
      </c>
      <c r="D2018" t="n">
        <v>94</v>
      </c>
      <c r="E2018" t="s">
        <v>553</v>
      </c>
      <c r="F2018">
        <f>HYPERLINK("https://video.twimg.com/ext_tw_video/930157301779939329/pu/vid/240x180/GEH6Y8eQ1xRNH7oY.mp4", "https://video.twimg.com/ext_tw_video/930157301779939329/pu/vid/240x180/GEH6Y8eQ1xRNH7oY.mp4")</f>
        <v/>
      </c>
      <c r="G2018" t="s"/>
      <c r="H2018" t="s"/>
      <c r="I2018" t="s"/>
      <c r="J2018" t="n">
        <v>0.2263</v>
      </c>
      <c r="K2018" t="n">
        <v>0</v>
      </c>
      <c r="L2018" t="n">
        <v>0.917</v>
      </c>
      <c r="M2018" t="n">
        <v>0.083</v>
      </c>
    </row>
    <row r="2019" spans="1:13">
      <c r="A2019" s="1">
        <f>HYPERLINK("http://www.twitter.com/NathanBLawrence/status/992034621176057856", "992034621176057856")</f>
        <v/>
      </c>
      <c r="B2019" s="2" t="n">
        <v>43223.56549768519</v>
      </c>
      <c r="C2019" t="n">
        <v>0</v>
      </c>
      <c r="D2019" t="n">
        <v>14</v>
      </c>
      <c r="E2019" t="s">
        <v>2013</v>
      </c>
      <c r="F2019" t="s"/>
      <c r="G2019" t="s"/>
      <c r="H2019" t="s"/>
      <c r="I2019" t="s"/>
      <c r="J2019" t="n">
        <v>0.5423</v>
      </c>
      <c r="K2019" t="n">
        <v>0</v>
      </c>
      <c r="L2019" t="n">
        <v>0.8</v>
      </c>
      <c r="M2019" t="n">
        <v>0.2</v>
      </c>
    </row>
    <row r="2020" spans="1:13">
      <c r="A2020" s="1">
        <f>HYPERLINK("http://www.twitter.com/NathanBLawrence/status/992034559956045825", "992034559956045825")</f>
        <v/>
      </c>
      <c r="B2020" s="2" t="n">
        <v>43223.56532407407</v>
      </c>
      <c r="C2020" t="n">
        <v>24</v>
      </c>
      <c r="D2020" t="n">
        <v>14</v>
      </c>
      <c r="E2020" t="s">
        <v>2014</v>
      </c>
      <c r="F2020" t="s"/>
      <c r="G2020" t="s"/>
      <c r="H2020" t="s"/>
      <c r="I2020" t="s"/>
      <c r="J2020" t="n">
        <v>0.594</v>
      </c>
      <c r="K2020" t="n">
        <v>0</v>
      </c>
      <c r="L2020" t="n">
        <v>0.837</v>
      </c>
      <c r="M2020" t="n">
        <v>0.163</v>
      </c>
    </row>
    <row r="2021" spans="1:13">
      <c r="A2021" s="1">
        <f>HYPERLINK("http://www.twitter.com/NathanBLawrence/status/991893274452471808", "991893274452471808")</f>
        <v/>
      </c>
      <c r="B2021" s="2" t="n">
        <v>43223.17545138889</v>
      </c>
      <c r="C2021" t="n">
        <v>0</v>
      </c>
      <c r="D2021" t="n">
        <v>1725</v>
      </c>
      <c r="E2021" t="s">
        <v>2015</v>
      </c>
      <c r="F2021" t="s"/>
      <c r="G2021" t="s"/>
      <c r="H2021" t="s"/>
      <c r="I2021" t="s"/>
      <c r="J2021" t="n">
        <v>-0.5859</v>
      </c>
      <c r="K2021" t="n">
        <v>0.286</v>
      </c>
      <c r="L2021" t="n">
        <v>0.714</v>
      </c>
      <c r="M2021" t="n">
        <v>0</v>
      </c>
    </row>
    <row r="2022" spans="1:13">
      <c r="A2022" s="1">
        <f>HYPERLINK("http://www.twitter.com/NathanBLawrence/status/991841679786192896", "991841679786192896")</f>
        <v/>
      </c>
      <c r="B2022" s="2" t="n">
        <v>43223.0330787037</v>
      </c>
      <c r="C2022" t="n">
        <v>0</v>
      </c>
      <c r="D2022" t="n">
        <v>0</v>
      </c>
      <c r="E2022" t="s">
        <v>2016</v>
      </c>
      <c r="F2022" t="s"/>
      <c r="G2022" t="s"/>
      <c r="H2022" t="s"/>
      <c r="I2022" t="s"/>
      <c r="J2022" t="n">
        <v>0.3612</v>
      </c>
      <c r="K2022" t="n">
        <v>0</v>
      </c>
      <c r="L2022" t="n">
        <v>0.444</v>
      </c>
      <c r="M2022" t="n">
        <v>0.556</v>
      </c>
    </row>
    <row r="2023" spans="1:13">
      <c r="A2023" s="1">
        <f>HYPERLINK("http://www.twitter.com/NathanBLawrence/status/991841521732272128", "991841521732272128")</f>
        <v/>
      </c>
      <c r="B2023" s="2" t="n">
        <v>43223.03263888889</v>
      </c>
      <c r="C2023" t="n">
        <v>0</v>
      </c>
      <c r="D2023" t="n">
        <v>1</v>
      </c>
      <c r="E2023" t="s">
        <v>2017</v>
      </c>
      <c r="F2023" t="s"/>
      <c r="G2023" t="s"/>
      <c r="H2023" t="s"/>
      <c r="I2023" t="s"/>
      <c r="J2023" t="n">
        <v>0</v>
      </c>
      <c r="K2023" t="n">
        <v>0</v>
      </c>
      <c r="L2023" t="n">
        <v>1</v>
      </c>
      <c r="M2023" t="n">
        <v>0</v>
      </c>
    </row>
    <row r="2024" spans="1:13">
      <c r="A2024" s="1">
        <f>HYPERLINK("http://www.twitter.com/NathanBLawrence/status/991840549144416256", "991840549144416256")</f>
        <v/>
      </c>
      <c r="B2024" s="2" t="n">
        <v>43223.02996527778</v>
      </c>
      <c r="C2024" t="n">
        <v>0</v>
      </c>
      <c r="D2024" t="n">
        <v>2289</v>
      </c>
      <c r="E2024" t="s">
        <v>2018</v>
      </c>
      <c r="F2024">
        <f>HYPERLINK("http://pbs.twimg.com/media/DcOnK_pVwAAaqoV.jpg", "http://pbs.twimg.com/media/DcOnK_pVwAAaqoV.jpg")</f>
        <v/>
      </c>
      <c r="G2024" t="s"/>
      <c r="H2024" t="s"/>
      <c r="I2024" t="s"/>
      <c r="J2024" t="n">
        <v>-0.7003</v>
      </c>
      <c r="K2024" t="n">
        <v>0.225</v>
      </c>
      <c r="L2024" t="n">
        <v>0.775</v>
      </c>
      <c r="M2024" t="n">
        <v>0</v>
      </c>
    </row>
    <row r="2025" spans="1:13">
      <c r="A2025" s="1">
        <f>HYPERLINK("http://www.twitter.com/NathanBLawrence/status/991839330787147776", "991839330787147776")</f>
        <v/>
      </c>
      <c r="B2025" s="2" t="n">
        <v>43223.02659722222</v>
      </c>
      <c r="C2025" t="n">
        <v>0</v>
      </c>
      <c r="D2025" t="n">
        <v>132</v>
      </c>
      <c r="E2025" t="s">
        <v>2019</v>
      </c>
      <c r="F2025">
        <f>HYPERLINK("http://pbs.twimg.com/media/DcFmix7VAAAn9mW.jpg", "http://pbs.twimg.com/media/DcFmix7VAAAn9mW.jpg")</f>
        <v/>
      </c>
      <c r="G2025" t="s"/>
      <c r="H2025" t="s"/>
      <c r="I2025" t="s"/>
      <c r="J2025" t="n">
        <v>0.6249</v>
      </c>
      <c r="K2025" t="n">
        <v>0</v>
      </c>
      <c r="L2025" t="n">
        <v>0.788</v>
      </c>
      <c r="M2025" t="n">
        <v>0.212</v>
      </c>
    </row>
    <row r="2026" spans="1:13">
      <c r="A2026" s="1">
        <f>HYPERLINK("http://www.twitter.com/NathanBLawrence/status/991839209571827712", "991839209571827712")</f>
        <v/>
      </c>
      <c r="B2026" s="2" t="n">
        <v>43223.02626157407</v>
      </c>
      <c r="C2026" t="n">
        <v>0</v>
      </c>
      <c r="D2026" t="n">
        <v>6464</v>
      </c>
      <c r="E2026" t="s">
        <v>2020</v>
      </c>
      <c r="F2026" t="s"/>
      <c r="G2026" t="s"/>
      <c r="H2026" t="s"/>
      <c r="I2026" t="s"/>
      <c r="J2026" t="n">
        <v>0.6369</v>
      </c>
      <c r="K2026" t="n">
        <v>0</v>
      </c>
      <c r="L2026" t="n">
        <v>0.588</v>
      </c>
      <c r="M2026" t="n">
        <v>0.412</v>
      </c>
    </row>
    <row r="2027" spans="1:13">
      <c r="A2027" s="1">
        <f>HYPERLINK("http://www.twitter.com/NathanBLawrence/status/991838989048074247", "991838989048074247")</f>
        <v/>
      </c>
      <c r="B2027" s="2" t="n">
        <v>43223.02565972223</v>
      </c>
      <c r="C2027" t="n">
        <v>0</v>
      </c>
      <c r="D2027" t="n">
        <v>922</v>
      </c>
      <c r="E2027" t="s">
        <v>2021</v>
      </c>
      <c r="F2027">
        <f>HYPERLINK("https://video.twimg.com/ext_tw_video/991837716529729537/pu/vid/720x720/KlZiPwogJVBnJa1W.mp4?tag=3", "https://video.twimg.com/ext_tw_video/991837716529729537/pu/vid/720x720/KlZiPwogJVBnJa1W.mp4?tag=3")</f>
        <v/>
      </c>
      <c r="G2027" t="s"/>
      <c r="H2027" t="s"/>
      <c r="I2027" t="s"/>
      <c r="J2027" t="n">
        <v>0.7783</v>
      </c>
      <c r="K2027" t="n">
        <v>0</v>
      </c>
      <c r="L2027" t="n">
        <v>0.736</v>
      </c>
      <c r="M2027" t="n">
        <v>0.264</v>
      </c>
    </row>
    <row r="2028" spans="1:13">
      <c r="A2028" s="1">
        <f>HYPERLINK("http://www.twitter.com/NathanBLawrence/status/991838109041152001", "991838109041152001")</f>
        <v/>
      </c>
      <c r="B2028" s="2" t="n">
        <v>43223.02322916667</v>
      </c>
      <c r="C2028" t="n">
        <v>0</v>
      </c>
      <c r="D2028" t="n">
        <v>40</v>
      </c>
      <c r="E2028" t="s">
        <v>2022</v>
      </c>
      <c r="F2028">
        <f>HYPERLINK("http://pbs.twimg.com/media/DcOpHXsVAAAYs64.jpg", "http://pbs.twimg.com/media/DcOpHXsVAAAYs64.jpg")</f>
        <v/>
      </c>
      <c r="G2028" t="s"/>
      <c r="H2028" t="s"/>
      <c r="I2028" t="s"/>
      <c r="J2028" t="n">
        <v>0</v>
      </c>
      <c r="K2028" t="n">
        <v>0</v>
      </c>
      <c r="L2028" t="n">
        <v>1</v>
      </c>
      <c r="M2028" t="n">
        <v>0</v>
      </c>
    </row>
    <row r="2029" spans="1:13">
      <c r="A2029" s="1">
        <f>HYPERLINK("http://www.twitter.com/NathanBLawrence/status/991838032696434688", "991838032696434688")</f>
        <v/>
      </c>
      <c r="B2029" s="2" t="n">
        <v>43223.02302083333</v>
      </c>
      <c r="C2029" t="n">
        <v>0</v>
      </c>
      <c r="D2029" t="n">
        <v>17</v>
      </c>
      <c r="E2029" t="s">
        <v>2023</v>
      </c>
      <c r="F2029">
        <f>HYPERLINK("http://pbs.twimg.com/media/DcOlFTGX4AAGBLA.jpg", "http://pbs.twimg.com/media/DcOlFTGX4AAGBLA.jpg")</f>
        <v/>
      </c>
      <c r="G2029" t="s"/>
      <c r="H2029" t="s"/>
      <c r="I2029" t="s"/>
      <c r="J2029" t="n">
        <v>0</v>
      </c>
      <c r="K2029" t="n">
        <v>0</v>
      </c>
      <c r="L2029" t="n">
        <v>1</v>
      </c>
      <c r="M2029" t="n">
        <v>0</v>
      </c>
    </row>
    <row r="2030" spans="1:13">
      <c r="A2030" s="1">
        <f>HYPERLINK("http://www.twitter.com/NathanBLawrence/status/991837978753486853", "991837978753486853")</f>
        <v/>
      </c>
      <c r="B2030" s="2" t="n">
        <v>43223.02287037037</v>
      </c>
      <c r="C2030" t="n">
        <v>0</v>
      </c>
      <c r="D2030" t="n">
        <v>11</v>
      </c>
      <c r="E2030" t="s">
        <v>2024</v>
      </c>
      <c r="F2030">
        <f>HYPERLINK("http://pbs.twimg.com/media/DcOxIEkW4AAJ1J0.jpg", "http://pbs.twimg.com/media/DcOxIEkW4AAJ1J0.jpg")</f>
        <v/>
      </c>
      <c r="G2030" t="s"/>
      <c r="H2030" t="s"/>
      <c r="I2030" t="s"/>
      <c r="J2030" t="n">
        <v>0</v>
      </c>
      <c r="K2030" t="n">
        <v>0</v>
      </c>
      <c r="L2030" t="n">
        <v>1</v>
      </c>
      <c r="M2030" t="n">
        <v>0</v>
      </c>
    </row>
    <row r="2031" spans="1:13">
      <c r="A2031" s="1">
        <f>HYPERLINK("http://www.twitter.com/NathanBLawrence/status/991837935266869248", "991837935266869248")</f>
        <v/>
      </c>
      <c r="B2031" s="2" t="n">
        <v>43223.02274305555</v>
      </c>
      <c r="C2031" t="n">
        <v>0</v>
      </c>
      <c r="D2031" t="n">
        <v>410</v>
      </c>
      <c r="E2031" t="s">
        <v>2025</v>
      </c>
      <c r="F2031">
        <f>HYPERLINK("http://pbs.twimg.com/media/DcOiPIJW4AEOECI.jpg", "http://pbs.twimg.com/media/DcOiPIJW4AEOECI.jpg")</f>
        <v/>
      </c>
      <c r="G2031" t="s"/>
      <c r="H2031" t="s"/>
      <c r="I2031" t="s"/>
      <c r="J2031" t="n">
        <v>0.1984</v>
      </c>
      <c r="K2031" t="n">
        <v>0.136</v>
      </c>
      <c r="L2031" t="n">
        <v>0.7</v>
      </c>
      <c r="M2031" t="n">
        <v>0.164</v>
      </c>
    </row>
    <row r="2032" spans="1:13">
      <c r="A2032" s="1">
        <f>HYPERLINK("http://www.twitter.com/NathanBLawrence/status/991837873589628928", "991837873589628928")</f>
        <v/>
      </c>
      <c r="B2032" s="2" t="n">
        <v>43223.02258101852</v>
      </c>
      <c r="C2032" t="n">
        <v>0</v>
      </c>
      <c r="D2032" t="n">
        <v>32</v>
      </c>
      <c r="E2032" t="s">
        <v>2026</v>
      </c>
      <c r="F2032">
        <f>HYPERLINK("http://pbs.twimg.com/media/DcOjeiMX0AEd983.jpg", "http://pbs.twimg.com/media/DcOjeiMX0AEd983.jpg")</f>
        <v/>
      </c>
      <c r="G2032" t="s"/>
      <c r="H2032" t="s"/>
      <c r="I2032" t="s"/>
      <c r="J2032" t="n">
        <v>0</v>
      </c>
      <c r="K2032" t="n">
        <v>0</v>
      </c>
      <c r="L2032" t="n">
        <v>1</v>
      </c>
      <c r="M2032" t="n">
        <v>0</v>
      </c>
    </row>
    <row r="2033" spans="1:13">
      <c r="A2033" s="1">
        <f>HYPERLINK("http://www.twitter.com/NathanBLawrence/status/991837805805481987", "991837805805481987")</f>
        <v/>
      </c>
      <c r="B2033" s="2" t="n">
        <v>43223.02239583333</v>
      </c>
      <c r="C2033" t="n">
        <v>0</v>
      </c>
      <c r="D2033" t="n">
        <v>48</v>
      </c>
      <c r="E2033" t="s">
        <v>2027</v>
      </c>
      <c r="F2033" t="s"/>
      <c r="G2033" t="s"/>
      <c r="H2033" t="s"/>
      <c r="I2033" t="s"/>
      <c r="J2033" t="n">
        <v>-0.7184</v>
      </c>
      <c r="K2033" t="n">
        <v>0.288</v>
      </c>
      <c r="L2033" t="n">
        <v>0.615</v>
      </c>
      <c r="M2033" t="n">
        <v>0.096</v>
      </c>
    </row>
    <row r="2034" spans="1:13">
      <c r="A2034" s="1">
        <f>HYPERLINK("http://www.twitter.com/NathanBLawrence/status/991837639182635011", "991837639182635011")</f>
        <v/>
      </c>
      <c r="B2034" s="2" t="n">
        <v>43223.02193287037</v>
      </c>
      <c r="C2034" t="n">
        <v>0</v>
      </c>
      <c r="D2034" t="n">
        <v>245</v>
      </c>
      <c r="E2034" t="s">
        <v>2028</v>
      </c>
      <c r="F2034">
        <f>HYPERLINK("http://pbs.twimg.com/media/DcOhI8wWAAE94Mo.jpg", "http://pbs.twimg.com/media/DcOhI8wWAAE94Mo.jpg")</f>
        <v/>
      </c>
      <c r="G2034" t="s"/>
      <c r="H2034" t="s"/>
      <c r="I2034" t="s"/>
      <c r="J2034" t="n">
        <v>-0.6637</v>
      </c>
      <c r="K2034" t="n">
        <v>0.214</v>
      </c>
      <c r="L2034" t="n">
        <v>0.786</v>
      </c>
      <c r="M2034" t="n">
        <v>0</v>
      </c>
    </row>
    <row r="2035" spans="1:13">
      <c r="A2035" s="1">
        <f>HYPERLINK("http://www.twitter.com/NathanBLawrence/status/991837449574809602", "991837449574809602")</f>
        <v/>
      </c>
      <c r="B2035" s="2" t="n">
        <v>43223.02141203704</v>
      </c>
      <c r="C2035" t="n">
        <v>0</v>
      </c>
      <c r="D2035" t="n">
        <v>30</v>
      </c>
      <c r="E2035" t="s">
        <v>2029</v>
      </c>
      <c r="F2035">
        <f>HYPERLINK("http://pbs.twimg.com/media/DcO10dSUwAA_xZq.jpg", "http://pbs.twimg.com/media/DcO10dSUwAA_xZq.jpg")</f>
        <v/>
      </c>
      <c r="G2035" t="s"/>
      <c r="H2035" t="s"/>
      <c r="I2035" t="s"/>
      <c r="J2035" t="n">
        <v>0</v>
      </c>
      <c r="K2035" t="n">
        <v>0</v>
      </c>
      <c r="L2035" t="n">
        <v>1</v>
      </c>
      <c r="M2035" t="n">
        <v>0</v>
      </c>
    </row>
    <row r="2036" spans="1:13">
      <c r="A2036" s="1">
        <f>HYPERLINK("http://www.twitter.com/NathanBLawrence/status/991837435503013888", "991837435503013888")</f>
        <v/>
      </c>
      <c r="B2036" s="2" t="n">
        <v>43223.02136574074</v>
      </c>
      <c r="C2036" t="n">
        <v>0</v>
      </c>
      <c r="D2036" t="n">
        <v>32</v>
      </c>
      <c r="E2036" t="s">
        <v>2030</v>
      </c>
      <c r="F2036">
        <f>HYPERLINK("http://pbs.twimg.com/media/DcO1jqVUwAEeh6i.jpg", "http://pbs.twimg.com/media/DcO1jqVUwAEeh6i.jpg")</f>
        <v/>
      </c>
      <c r="G2036" t="s"/>
      <c r="H2036" t="s"/>
      <c r="I2036" t="s"/>
      <c r="J2036" t="n">
        <v>0</v>
      </c>
      <c r="K2036" t="n">
        <v>0</v>
      </c>
      <c r="L2036" t="n">
        <v>1</v>
      </c>
      <c r="M2036" t="n">
        <v>0</v>
      </c>
    </row>
    <row r="2037" spans="1:13">
      <c r="A2037" s="1">
        <f>HYPERLINK("http://www.twitter.com/NathanBLawrence/status/991837422743932930", "991837422743932930")</f>
        <v/>
      </c>
      <c r="B2037" s="2" t="n">
        <v>43223.02133101852</v>
      </c>
      <c r="C2037" t="n">
        <v>0</v>
      </c>
      <c r="D2037" t="n">
        <v>27</v>
      </c>
      <c r="E2037" t="s">
        <v>2031</v>
      </c>
      <c r="F2037">
        <f>HYPERLINK("http://pbs.twimg.com/media/DcO1VP1V4AA-84n.jpg", "http://pbs.twimg.com/media/DcO1VP1V4AA-84n.jpg")</f>
        <v/>
      </c>
      <c r="G2037" t="s"/>
      <c r="H2037" t="s"/>
      <c r="I2037" t="s"/>
      <c r="J2037" t="n">
        <v>0</v>
      </c>
      <c r="K2037" t="n">
        <v>0</v>
      </c>
      <c r="L2037" t="n">
        <v>1</v>
      </c>
      <c r="M2037" t="n">
        <v>0</v>
      </c>
    </row>
    <row r="2038" spans="1:13">
      <c r="A2038" s="1">
        <f>HYPERLINK("http://www.twitter.com/NathanBLawrence/status/991837408294563840", "991837408294563840")</f>
        <v/>
      </c>
      <c r="B2038" s="2" t="n">
        <v>43223.0212962963</v>
      </c>
      <c r="C2038" t="n">
        <v>0</v>
      </c>
      <c r="D2038" t="n">
        <v>27</v>
      </c>
      <c r="E2038" t="s">
        <v>2032</v>
      </c>
      <c r="F2038">
        <f>HYPERLINK("http://pbs.twimg.com/media/DcO1IVFUQAAA8aw.jpg", "http://pbs.twimg.com/media/DcO1IVFUQAAA8aw.jpg")</f>
        <v/>
      </c>
      <c r="G2038" t="s"/>
      <c r="H2038" t="s"/>
      <c r="I2038" t="s"/>
      <c r="J2038" t="n">
        <v>0</v>
      </c>
      <c r="K2038" t="n">
        <v>0</v>
      </c>
      <c r="L2038" t="n">
        <v>1</v>
      </c>
      <c r="M2038" t="n">
        <v>0</v>
      </c>
    </row>
    <row r="2039" spans="1:13">
      <c r="A2039" s="1">
        <f>HYPERLINK("http://www.twitter.com/NathanBLawrence/status/991837380805124096", "991837380805124096")</f>
        <v/>
      </c>
      <c r="B2039" s="2" t="n">
        <v>43223.02121527777</v>
      </c>
      <c r="C2039" t="n">
        <v>0</v>
      </c>
      <c r="D2039" t="n">
        <v>137</v>
      </c>
      <c r="E2039" t="s">
        <v>2033</v>
      </c>
      <c r="F2039">
        <f>HYPERLINK("http://pbs.twimg.com/media/DcO0951U8AEx8Ab.jpg", "http://pbs.twimg.com/media/DcO0951U8AEx8Ab.jpg")</f>
        <v/>
      </c>
      <c r="G2039" t="s"/>
      <c r="H2039" t="s"/>
      <c r="I2039" t="s"/>
      <c r="J2039" t="n">
        <v>0</v>
      </c>
      <c r="K2039" t="n">
        <v>0</v>
      </c>
      <c r="L2039" t="n">
        <v>1</v>
      </c>
      <c r="M2039" t="n">
        <v>0</v>
      </c>
    </row>
    <row r="2040" spans="1:13">
      <c r="A2040" s="1">
        <f>HYPERLINK("http://www.twitter.com/NathanBLawrence/status/991837172717293568", "991837172717293568")</f>
        <v/>
      </c>
      <c r="B2040" s="2" t="n">
        <v>43223.02064814815</v>
      </c>
      <c r="C2040" t="n">
        <v>0</v>
      </c>
      <c r="D2040" t="n">
        <v>0</v>
      </c>
      <c r="E2040" t="s">
        <v>2034</v>
      </c>
      <c r="F2040" t="s"/>
      <c r="G2040" t="s"/>
      <c r="H2040" t="s"/>
      <c r="I2040" t="s"/>
      <c r="J2040" t="n">
        <v>0.0258</v>
      </c>
      <c r="K2040" t="n">
        <v>0.21</v>
      </c>
      <c r="L2040" t="n">
        <v>0.571</v>
      </c>
      <c r="M2040" t="n">
        <v>0.219</v>
      </c>
    </row>
    <row r="2041" spans="1:13">
      <c r="A2041" s="1">
        <f>HYPERLINK("http://www.twitter.com/NathanBLawrence/status/991816799757983747", "991816799757983747")</f>
        <v/>
      </c>
      <c r="B2041" s="2" t="n">
        <v>43222.9644212963</v>
      </c>
      <c r="C2041" t="n">
        <v>0</v>
      </c>
      <c r="D2041" t="n">
        <v>292</v>
      </c>
      <c r="E2041" t="s">
        <v>2035</v>
      </c>
      <c r="F2041">
        <f>HYPERLINK("http://pbs.twimg.com/media/DcOcksZWsAAvFhz.jpg", "http://pbs.twimg.com/media/DcOcksZWsAAvFhz.jpg")</f>
        <v/>
      </c>
      <c r="G2041" t="s"/>
      <c r="H2041" t="s"/>
      <c r="I2041" t="s"/>
      <c r="J2041" t="n">
        <v>0.8605</v>
      </c>
      <c r="K2041" t="n">
        <v>0</v>
      </c>
      <c r="L2041" t="n">
        <v>0.637</v>
      </c>
      <c r="M2041" t="n">
        <v>0.363</v>
      </c>
    </row>
    <row r="2042" spans="1:13">
      <c r="A2042" s="1">
        <f>HYPERLINK("http://www.twitter.com/NathanBLawrence/status/991816717818105856", "991816717818105856")</f>
        <v/>
      </c>
      <c r="B2042" s="2" t="n">
        <v>43222.96420138889</v>
      </c>
      <c r="C2042" t="n">
        <v>0</v>
      </c>
      <c r="D2042" t="n">
        <v>5</v>
      </c>
      <c r="E2042" t="s">
        <v>2036</v>
      </c>
      <c r="F2042" t="s"/>
      <c r="G2042" t="s"/>
      <c r="H2042" t="s"/>
      <c r="I2042" t="s"/>
      <c r="J2042" t="n">
        <v>0</v>
      </c>
      <c r="K2042" t="n">
        <v>0</v>
      </c>
      <c r="L2042" t="n">
        <v>1</v>
      </c>
      <c r="M2042" t="n">
        <v>0</v>
      </c>
    </row>
    <row r="2043" spans="1:13">
      <c r="A2043" s="1">
        <f>HYPERLINK("http://www.twitter.com/NathanBLawrence/status/991816666727288832", "991816666727288832")</f>
        <v/>
      </c>
      <c r="B2043" s="2" t="n">
        <v>43222.9640625</v>
      </c>
      <c r="C2043" t="n">
        <v>0</v>
      </c>
      <c r="D2043" t="n">
        <v>23266</v>
      </c>
      <c r="E2043" t="s">
        <v>2037</v>
      </c>
      <c r="F2043" t="s"/>
      <c r="G2043" t="s"/>
      <c r="H2043" t="s"/>
      <c r="I2043" t="s"/>
      <c r="J2043" t="n">
        <v>0.2263</v>
      </c>
      <c r="K2043" t="n">
        <v>0.074</v>
      </c>
      <c r="L2043" t="n">
        <v>0.8169999999999999</v>
      </c>
      <c r="M2043" t="n">
        <v>0.109</v>
      </c>
    </row>
    <row r="2044" spans="1:13">
      <c r="A2044" s="1">
        <f>HYPERLINK("http://www.twitter.com/NathanBLawrence/status/991799496123314176", "991799496123314176")</f>
        <v/>
      </c>
      <c r="B2044" s="2" t="n">
        <v>43222.91667824074</v>
      </c>
      <c r="C2044" t="n">
        <v>0</v>
      </c>
      <c r="D2044" t="n">
        <v>0</v>
      </c>
      <c r="E2044" t="s">
        <v>2038</v>
      </c>
      <c r="F2044" t="s"/>
      <c r="G2044" t="s"/>
      <c r="H2044" t="s"/>
      <c r="I2044" t="s"/>
      <c r="J2044" t="n">
        <v>0.3612</v>
      </c>
      <c r="K2044" t="n">
        <v>0</v>
      </c>
      <c r="L2044" t="n">
        <v>0.444</v>
      </c>
      <c r="M2044" t="n">
        <v>0.556</v>
      </c>
    </row>
    <row r="2045" spans="1:13">
      <c r="A2045" s="1">
        <f>HYPERLINK("http://www.twitter.com/NathanBLawrence/status/991791997622149121", "991791997622149121")</f>
        <v/>
      </c>
      <c r="B2045" s="2" t="n">
        <v>43222.8959837963</v>
      </c>
      <c r="C2045" t="n">
        <v>0</v>
      </c>
      <c r="D2045" t="n">
        <v>9</v>
      </c>
      <c r="E2045" t="s">
        <v>2039</v>
      </c>
      <c r="F2045" t="s"/>
      <c r="G2045" t="s"/>
      <c r="H2045" t="s"/>
      <c r="I2045" t="s"/>
      <c r="J2045" t="n">
        <v>0.25</v>
      </c>
      <c r="K2045" t="n">
        <v>0.077</v>
      </c>
      <c r="L2045" t="n">
        <v>0.766</v>
      </c>
      <c r="M2045" t="n">
        <v>0.157</v>
      </c>
    </row>
    <row r="2046" spans="1:13">
      <c r="A2046" s="1">
        <f>HYPERLINK("http://www.twitter.com/NathanBLawrence/status/991789730038771712", "991789730038771712")</f>
        <v/>
      </c>
      <c r="B2046" s="2" t="n">
        <v>43222.88972222222</v>
      </c>
      <c r="C2046" t="n">
        <v>4</v>
      </c>
      <c r="D2046" t="n">
        <v>0</v>
      </c>
      <c r="E2046" t="s">
        <v>2040</v>
      </c>
      <c r="F2046" t="s"/>
      <c r="G2046" t="s"/>
      <c r="H2046" t="s"/>
      <c r="I2046" t="s"/>
      <c r="J2046" t="n">
        <v>0.5994</v>
      </c>
      <c r="K2046" t="n">
        <v>0</v>
      </c>
      <c r="L2046" t="n">
        <v>0.435</v>
      </c>
      <c r="M2046" t="n">
        <v>0.5649999999999999</v>
      </c>
    </row>
    <row r="2047" spans="1:13">
      <c r="A2047" s="1">
        <f>HYPERLINK("http://www.twitter.com/NathanBLawrence/status/991789619401371648", "991789619401371648")</f>
        <v/>
      </c>
      <c r="B2047" s="2" t="n">
        <v>43222.8894212963</v>
      </c>
      <c r="C2047" t="n">
        <v>0</v>
      </c>
      <c r="D2047" t="n">
        <v>2960</v>
      </c>
      <c r="E2047" t="s">
        <v>2041</v>
      </c>
      <c r="F2047" t="s"/>
      <c r="G2047" t="s"/>
      <c r="H2047" t="s"/>
      <c r="I2047" t="s"/>
      <c r="J2047" t="n">
        <v>-0.5106000000000001</v>
      </c>
      <c r="K2047" t="n">
        <v>0.136</v>
      </c>
      <c r="L2047" t="n">
        <v>0.864</v>
      </c>
      <c r="M2047" t="n">
        <v>0</v>
      </c>
    </row>
    <row r="2048" spans="1:13">
      <c r="A2048" s="1">
        <f>HYPERLINK("http://www.twitter.com/NathanBLawrence/status/991788684797149184", "991788684797149184")</f>
        <v/>
      </c>
      <c r="B2048" s="2" t="n">
        <v>43222.88684027778</v>
      </c>
      <c r="C2048" t="n">
        <v>0</v>
      </c>
      <c r="D2048" t="n">
        <v>0</v>
      </c>
      <c r="E2048" t="s">
        <v>2042</v>
      </c>
      <c r="F2048" t="s"/>
      <c r="G2048" t="s"/>
      <c r="H2048" t="s"/>
      <c r="I2048" t="s"/>
      <c r="J2048" t="n">
        <v>0.2732</v>
      </c>
      <c r="K2048" t="n">
        <v>0</v>
      </c>
      <c r="L2048" t="n">
        <v>0.323</v>
      </c>
      <c r="M2048" t="n">
        <v>0.677</v>
      </c>
    </row>
    <row r="2049" spans="1:13">
      <c r="A2049" s="1">
        <f>HYPERLINK("http://www.twitter.com/NathanBLawrence/status/991788631865155584", "991788631865155584")</f>
        <v/>
      </c>
      <c r="B2049" s="2" t="n">
        <v>43222.88670138889</v>
      </c>
      <c r="C2049" t="n">
        <v>0</v>
      </c>
      <c r="D2049" t="n">
        <v>3</v>
      </c>
      <c r="E2049" t="s">
        <v>2043</v>
      </c>
      <c r="F2049" t="s"/>
      <c r="G2049" t="s"/>
      <c r="H2049" t="s"/>
      <c r="I2049" t="s"/>
      <c r="J2049" t="n">
        <v>-0.6597</v>
      </c>
      <c r="K2049" t="n">
        <v>0.261</v>
      </c>
      <c r="L2049" t="n">
        <v>0.599</v>
      </c>
      <c r="M2049" t="n">
        <v>0.141</v>
      </c>
    </row>
    <row r="2050" spans="1:13">
      <c r="A2050" s="1">
        <f>HYPERLINK("http://www.twitter.com/NathanBLawrence/status/991788525396938763", "991788525396938763")</f>
        <v/>
      </c>
      <c r="B2050" s="2" t="n">
        <v>43222.88640046296</v>
      </c>
      <c r="C2050" t="n">
        <v>0</v>
      </c>
      <c r="D2050" t="n">
        <v>0</v>
      </c>
      <c r="E2050" t="s">
        <v>2044</v>
      </c>
      <c r="F2050" t="s"/>
      <c r="G2050" t="s"/>
      <c r="H2050" t="s"/>
      <c r="I2050" t="s"/>
      <c r="J2050" t="n">
        <v>0</v>
      </c>
      <c r="K2050" t="n">
        <v>0</v>
      </c>
      <c r="L2050" t="n">
        <v>1</v>
      </c>
      <c r="M2050" t="n">
        <v>0</v>
      </c>
    </row>
    <row r="2051" spans="1:13">
      <c r="A2051" s="1">
        <f>HYPERLINK("http://www.twitter.com/NathanBLawrence/status/991788413484445697", "991788413484445697")</f>
        <v/>
      </c>
      <c r="B2051" s="2" t="n">
        <v>43222.88608796296</v>
      </c>
      <c r="C2051" t="n">
        <v>0</v>
      </c>
      <c r="D2051" t="n">
        <v>31</v>
      </c>
      <c r="E2051" t="s">
        <v>2045</v>
      </c>
      <c r="F2051" t="s"/>
      <c r="G2051" t="s"/>
      <c r="H2051" t="s"/>
      <c r="I2051" t="s"/>
      <c r="J2051" t="n">
        <v>0.7906</v>
      </c>
      <c r="K2051" t="n">
        <v>0.08799999999999999</v>
      </c>
      <c r="L2051" t="n">
        <v>0.579</v>
      </c>
      <c r="M2051" t="n">
        <v>0.332</v>
      </c>
    </row>
    <row r="2052" spans="1:13">
      <c r="A2052" s="1">
        <f>HYPERLINK("http://www.twitter.com/NathanBLawrence/status/991784725806231552", "991784725806231552")</f>
        <v/>
      </c>
      <c r="B2052" s="2" t="n">
        <v>43222.87591435185</v>
      </c>
      <c r="C2052" t="n">
        <v>37</v>
      </c>
      <c r="D2052" t="n">
        <v>25</v>
      </c>
      <c r="E2052" t="s">
        <v>2046</v>
      </c>
      <c r="F2052" t="s"/>
      <c r="G2052" t="s"/>
      <c r="H2052" t="s"/>
      <c r="I2052" t="s"/>
      <c r="J2052" t="n">
        <v>0</v>
      </c>
      <c r="K2052" t="n">
        <v>0</v>
      </c>
      <c r="L2052" t="n">
        <v>1</v>
      </c>
      <c r="M2052" t="n">
        <v>0</v>
      </c>
    </row>
    <row r="2053" spans="1:13">
      <c r="A2053" s="1">
        <f>HYPERLINK("http://www.twitter.com/NathanBLawrence/status/991783876677853187", "991783876677853187")</f>
        <v/>
      </c>
      <c r="B2053" s="2" t="n">
        <v>43222.87357638889</v>
      </c>
      <c r="C2053" t="n">
        <v>0</v>
      </c>
      <c r="D2053" t="n">
        <v>7</v>
      </c>
      <c r="E2053" t="s">
        <v>2047</v>
      </c>
      <c r="F2053" t="s"/>
      <c r="G2053" t="s"/>
      <c r="H2053" t="s"/>
      <c r="I2053" t="s"/>
      <c r="J2053" t="n">
        <v>0.5707</v>
      </c>
      <c r="K2053" t="n">
        <v>0</v>
      </c>
      <c r="L2053" t="n">
        <v>0.575</v>
      </c>
      <c r="M2053" t="n">
        <v>0.425</v>
      </c>
    </row>
    <row r="2054" spans="1:13">
      <c r="A2054" s="1">
        <f>HYPERLINK("http://www.twitter.com/NathanBLawrence/status/991783022491037696", "991783022491037696")</f>
        <v/>
      </c>
      <c r="B2054" s="2" t="n">
        <v>43222.87121527778</v>
      </c>
      <c r="C2054" t="n">
        <v>1</v>
      </c>
      <c r="D2054" t="n">
        <v>1</v>
      </c>
      <c r="E2054" t="s">
        <v>2048</v>
      </c>
      <c r="F2054" t="s"/>
      <c r="G2054" t="s"/>
      <c r="H2054" t="s"/>
      <c r="I2054" t="s"/>
      <c r="J2054" t="n">
        <v>0</v>
      </c>
      <c r="K2054" t="n">
        <v>0</v>
      </c>
      <c r="L2054" t="n">
        <v>1</v>
      </c>
      <c r="M2054" t="n">
        <v>0</v>
      </c>
    </row>
    <row r="2055" spans="1:13">
      <c r="A2055" s="1">
        <f>HYPERLINK("http://www.twitter.com/NathanBLawrence/status/991782398928048132", "991782398928048132")</f>
        <v/>
      </c>
      <c r="B2055" s="2" t="n">
        <v>43222.86949074074</v>
      </c>
      <c r="C2055" t="n">
        <v>0</v>
      </c>
      <c r="D2055" t="n">
        <v>1</v>
      </c>
      <c r="E2055" t="s">
        <v>2049</v>
      </c>
      <c r="F2055" t="s"/>
      <c r="G2055" t="s"/>
      <c r="H2055" t="s"/>
      <c r="I2055" t="s"/>
      <c r="J2055" t="n">
        <v>0</v>
      </c>
      <c r="K2055" t="n">
        <v>0</v>
      </c>
      <c r="L2055" t="n">
        <v>1</v>
      </c>
      <c r="M2055" t="n">
        <v>0</v>
      </c>
    </row>
    <row r="2056" spans="1:13">
      <c r="A2056" s="1">
        <f>HYPERLINK("http://www.twitter.com/NathanBLawrence/status/991779730872524801", "991779730872524801")</f>
        <v/>
      </c>
      <c r="B2056" s="2" t="n">
        <v>43222.86212962963</v>
      </c>
      <c r="C2056" t="n">
        <v>2</v>
      </c>
      <c r="D2056" t="n">
        <v>1</v>
      </c>
      <c r="E2056" t="s">
        <v>2050</v>
      </c>
      <c r="F2056" t="s"/>
      <c r="G2056" t="s"/>
      <c r="H2056" t="s"/>
      <c r="I2056" t="s"/>
      <c r="J2056" t="n">
        <v>0</v>
      </c>
      <c r="K2056" t="n">
        <v>0</v>
      </c>
      <c r="L2056" t="n">
        <v>1</v>
      </c>
      <c r="M2056" t="n">
        <v>0</v>
      </c>
    </row>
    <row r="2057" spans="1:13">
      <c r="A2057" s="1">
        <f>HYPERLINK("http://www.twitter.com/NathanBLawrence/status/991779123323441152", "991779123323441152")</f>
        <v/>
      </c>
      <c r="B2057" s="2" t="n">
        <v>43222.86046296296</v>
      </c>
      <c r="C2057" t="n">
        <v>1</v>
      </c>
      <c r="D2057" t="n">
        <v>1</v>
      </c>
      <c r="E2057" t="s">
        <v>2051</v>
      </c>
      <c r="F2057" t="s"/>
      <c r="G2057" t="s"/>
      <c r="H2057" t="s"/>
      <c r="I2057" t="s"/>
      <c r="J2057" t="n">
        <v>0.743</v>
      </c>
      <c r="K2057" t="n">
        <v>0</v>
      </c>
      <c r="L2057" t="n">
        <v>0.588</v>
      </c>
      <c r="M2057" t="n">
        <v>0.412</v>
      </c>
    </row>
    <row r="2058" spans="1:13">
      <c r="A2058" s="1">
        <f>HYPERLINK("http://www.twitter.com/NathanBLawrence/status/991778984194199555", "991778984194199555")</f>
        <v/>
      </c>
      <c r="B2058" s="2" t="n">
        <v>43222.86006944445</v>
      </c>
      <c r="C2058" t="n">
        <v>0</v>
      </c>
      <c r="D2058" t="n">
        <v>61</v>
      </c>
      <c r="E2058" t="s">
        <v>2052</v>
      </c>
      <c r="F2058">
        <f>HYPERLINK("https://video.twimg.com/ext_tw_video/991774838854488065/pu/vid/1280x720/kvpmJZXLzpXxBlgr.mp4?tag=3", "https://video.twimg.com/ext_tw_video/991774838854488065/pu/vid/1280x720/kvpmJZXLzpXxBlgr.mp4?tag=3")</f>
        <v/>
      </c>
      <c r="G2058" t="s"/>
      <c r="H2058" t="s"/>
      <c r="I2058" t="s"/>
      <c r="J2058" t="n">
        <v>0.8062</v>
      </c>
      <c r="K2058" t="n">
        <v>0</v>
      </c>
      <c r="L2058" t="n">
        <v>0.743</v>
      </c>
      <c r="M2058" t="n">
        <v>0.257</v>
      </c>
    </row>
    <row r="2059" spans="1:13">
      <c r="A2059" s="1">
        <f>HYPERLINK("http://www.twitter.com/NathanBLawrence/status/991778885116231681", "991778885116231681")</f>
        <v/>
      </c>
      <c r="B2059" s="2" t="n">
        <v>43222.85980324074</v>
      </c>
      <c r="C2059" t="n">
        <v>0</v>
      </c>
      <c r="D2059" t="n">
        <v>41</v>
      </c>
      <c r="E2059" t="s">
        <v>2053</v>
      </c>
      <c r="F2059" t="s"/>
      <c r="G2059" t="s"/>
      <c r="H2059" t="s"/>
      <c r="I2059" t="s"/>
      <c r="J2059" t="n">
        <v>0.5573</v>
      </c>
      <c r="K2059" t="n">
        <v>0.073</v>
      </c>
      <c r="L2059" t="n">
        <v>0.733</v>
      </c>
      <c r="M2059" t="n">
        <v>0.193</v>
      </c>
    </row>
    <row r="2060" spans="1:13">
      <c r="A2060" s="1">
        <f>HYPERLINK("http://www.twitter.com/NathanBLawrence/status/991778439983136768", "991778439983136768")</f>
        <v/>
      </c>
      <c r="B2060" s="2" t="n">
        <v>43222.85857638889</v>
      </c>
      <c r="C2060" t="n">
        <v>1</v>
      </c>
      <c r="D2060" t="n">
        <v>0</v>
      </c>
      <c r="E2060" t="s">
        <v>2054</v>
      </c>
      <c r="F2060">
        <f>HYPERLINK("http://pbs.twimg.com/media/DcOBO-hWAAAtYMd.jpg", "http://pbs.twimg.com/media/DcOBO-hWAAAtYMd.jpg")</f>
        <v/>
      </c>
      <c r="G2060" t="s"/>
      <c r="H2060" t="s"/>
      <c r="I2060" t="s"/>
      <c r="J2060" t="n">
        <v>0</v>
      </c>
      <c r="K2060" t="n">
        <v>0</v>
      </c>
      <c r="L2060" t="n">
        <v>1</v>
      </c>
      <c r="M2060" t="n">
        <v>0</v>
      </c>
    </row>
    <row r="2061" spans="1:13">
      <c r="A2061" s="1">
        <f>HYPERLINK("http://www.twitter.com/NathanBLawrence/status/991778324727902209", "991778324727902209")</f>
        <v/>
      </c>
      <c r="B2061" s="2" t="n">
        <v>43222.85825231481</v>
      </c>
      <c r="C2061" t="n">
        <v>0</v>
      </c>
      <c r="D2061" t="n">
        <v>5</v>
      </c>
      <c r="E2061" t="s">
        <v>2055</v>
      </c>
      <c r="F2061" t="s"/>
      <c r="G2061" t="s"/>
      <c r="H2061" t="s"/>
      <c r="I2061" t="s"/>
      <c r="J2061" t="n">
        <v>-0.296</v>
      </c>
      <c r="K2061" t="n">
        <v>0.099</v>
      </c>
      <c r="L2061" t="n">
        <v>0.901</v>
      </c>
      <c r="M2061" t="n">
        <v>0</v>
      </c>
    </row>
    <row r="2062" spans="1:13">
      <c r="A2062" s="1">
        <f>HYPERLINK("http://www.twitter.com/NathanBLawrence/status/991778278456389632", "991778278456389632")</f>
        <v/>
      </c>
      <c r="B2062" s="2" t="n">
        <v>43222.858125</v>
      </c>
      <c r="C2062" t="n">
        <v>0</v>
      </c>
      <c r="D2062" t="n">
        <v>198</v>
      </c>
      <c r="E2062" t="s">
        <v>2056</v>
      </c>
      <c r="F2062">
        <f>HYPERLINK("http://pbs.twimg.com/media/DcNtsYDWkAAux4D.jpg", "http://pbs.twimg.com/media/DcNtsYDWkAAux4D.jpg")</f>
        <v/>
      </c>
      <c r="G2062" t="s"/>
      <c r="H2062" t="s"/>
      <c r="I2062" t="s"/>
      <c r="J2062" t="n">
        <v>0.5242</v>
      </c>
      <c r="K2062" t="n">
        <v>0</v>
      </c>
      <c r="L2062" t="n">
        <v>0.825</v>
      </c>
      <c r="M2062" t="n">
        <v>0.175</v>
      </c>
    </row>
    <row r="2063" spans="1:13">
      <c r="A2063" s="1">
        <f>HYPERLINK("http://www.twitter.com/NathanBLawrence/status/991778209225199617", "991778209225199617")</f>
        <v/>
      </c>
      <c r="B2063" s="2" t="n">
        <v>43222.85793981481</v>
      </c>
      <c r="C2063" t="n">
        <v>0</v>
      </c>
      <c r="D2063" t="n">
        <v>3</v>
      </c>
      <c r="E2063" t="s">
        <v>2057</v>
      </c>
      <c r="F2063" t="s"/>
      <c r="G2063" t="s"/>
      <c r="H2063" t="s"/>
      <c r="I2063" t="s"/>
      <c r="J2063" t="n">
        <v>0.4404</v>
      </c>
      <c r="K2063" t="n">
        <v>0</v>
      </c>
      <c r="L2063" t="n">
        <v>0.861</v>
      </c>
      <c r="M2063" t="n">
        <v>0.139</v>
      </c>
    </row>
    <row r="2064" spans="1:13">
      <c r="A2064" s="1">
        <f>HYPERLINK("http://www.twitter.com/NathanBLawrence/status/991778121404895232", "991778121404895232")</f>
        <v/>
      </c>
      <c r="B2064" s="2" t="n">
        <v>43222.85769675926</v>
      </c>
      <c r="C2064" t="n">
        <v>0</v>
      </c>
      <c r="D2064" t="n">
        <v>1</v>
      </c>
      <c r="E2064" t="s">
        <v>2058</v>
      </c>
      <c r="F2064" t="s"/>
      <c r="G2064" t="s"/>
      <c r="H2064" t="s"/>
      <c r="I2064" t="s"/>
      <c r="J2064" t="n">
        <v>0.6249</v>
      </c>
      <c r="K2064" t="n">
        <v>0</v>
      </c>
      <c r="L2064" t="n">
        <v>0.779</v>
      </c>
      <c r="M2064" t="n">
        <v>0.221</v>
      </c>
    </row>
    <row r="2065" spans="1:13">
      <c r="A2065" s="1">
        <f>HYPERLINK("http://www.twitter.com/NathanBLawrence/status/991777992006348801", "991777992006348801")</f>
        <v/>
      </c>
      <c r="B2065" s="2" t="n">
        <v>43222.85733796296</v>
      </c>
      <c r="C2065" t="n">
        <v>5</v>
      </c>
      <c r="D2065" t="n">
        <v>0</v>
      </c>
      <c r="E2065" t="s">
        <v>2059</v>
      </c>
      <c r="F2065" t="s"/>
      <c r="G2065" t="s"/>
      <c r="H2065" t="s"/>
      <c r="I2065" t="s"/>
      <c r="J2065" t="n">
        <v>0</v>
      </c>
      <c r="K2065" t="n">
        <v>0</v>
      </c>
      <c r="L2065" t="n">
        <v>1</v>
      </c>
      <c r="M2065" t="n">
        <v>0</v>
      </c>
    </row>
    <row r="2066" spans="1:13">
      <c r="A2066" s="1">
        <f>HYPERLINK("http://www.twitter.com/NathanBLawrence/status/991777937224499200", "991777937224499200")</f>
        <v/>
      </c>
      <c r="B2066" s="2" t="n">
        <v>43222.8571875</v>
      </c>
      <c r="C2066" t="n">
        <v>0</v>
      </c>
      <c r="D2066" t="n">
        <v>344</v>
      </c>
      <c r="E2066" t="s">
        <v>2060</v>
      </c>
      <c r="F2066">
        <f>HYPERLINK("http://pbs.twimg.com/media/DcOAAoSW4AIQzaG.jpg", "http://pbs.twimg.com/media/DcOAAoSW4AIQzaG.jpg")</f>
        <v/>
      </c>
      <c r="G2066" t="s"/>
      <c r="H2066" t="s"/>
      <c r="I2066" t="s"/>
      <c r="J2066" t="n">
        <v>0</v>
      </c>
      <c r="K2066" t="n">
        <v>0</v>
      </c>
      <c r="L2066" t="n">
        <v>1</v>
      </c>
      <c r="M2066" t="n">
        <v>0</v>
      </c>
    </row>
    <row r="2067" spans="1:13">
      <c r="A2067" s="1">
        <f>HYPERLINK("http://www.twitter.com/NathanBLawrence/status/991777560592814084", "991777560592814084")</f>
        <v/>
      </c>
      <c r="B2067" s="2" t="n">
        <v>43222.85614583334</v>
      </c>
      <c r="C2067" t="n">
        <v>0</v>
      </c>
      <c r="D2067" t="n">
        <v>4</v>
      </c>
      <c r="E2067" t="s">
        <v>2061</v>
      </c>
      <c r="F2067" t="s"/>
      <c r="G2067" t="s"/>
      <c r="H2067" t="s"/>
      <c r="I2067" t="s"/>
      <c r="J2067" t="n">
        <v>0</v>
      </c>
      <c r="K2067" t="n">
        <v>0</v>
      </c>
      <c r="L2067" t="n">
        <v>1</v>
      </c>
      <c r="M2067" t="n">
        <v>0</v>
      </c>
    </row>
    <row r="2068" spans="1:13">
      <c r="A2068" s="1">
        <f>HYPERLINK("http://www.twitter.com/NathanBLawrence/status/991777393013600257", "991777393013600257")</f>
        <v/>
      </c>
      <c r="B2068" s="2" t="n">
        <v>43222.85568287037</v>
      </c>
      <c r="C2068" t="n">
        <v>0</v>
      </c>
      <c r="D2068" t="n">
        <v>2004</v>
      </c>
      <c r="E2068" t="s">
        <v>2062</v>
      </c>
      <c r="F2068" t="s"/>
      <c r="G2068" t="s"/>
      <c r="H2068" t="s"/>
      <c r="I2068" t="s"/>
      <c r="J2068" t="n">
        <v>0.6124000000000001</v>
      </c>
      <c r="K2068" t="n">
        <v>0</v>
      </c>
      <c r="L2068" t="n">
        <v>0.8080000000000001</v>
      </c>
      <c r="M2068" t="n">
        <v>0.192</v>
      </c>
    </row>
    <row r="2069" spans="1:13">
      <c r="A2069" s="1">
        <f>HYPERLINK("http://www.twitter.com/NathanBLawrence/status/991777189631807500", "991777189631807500")</f>
        <v/>
      </c>
      <c r="B2069" s="2" t="n">
        <v>43222.85511574074</v>
      </c>
      <c r="C2069" t="n">
        <v>0</v>
      </c>
      <c r="D2069" t="n">
        <v>53</v>
      </c>
      <c r="E2069" t="s">
        <v>2063</v>
      </c>
      <c r="F2069">
        <f>HYPERLINK("http://pbs.twimg.com/media/DcM3wLtVAAEbnez.jpg", "http://pbs.twimg.com/media/DcM3wLtVAAEbnez.jpg")</f>
        <v/>
      </c>
      <c r="G2069">
        <f>HYPERLINK("http://pbs.twimg.com/media/DcM3wLuU8AEjhro.jpg", "http://pbs.twimg.com/media/DcM3wLuU8AEjhro.jpg")</f>
        <v/>
      </c>
      <c r="H2069">
        <f>HYPERLINK("http://pbs.twimg.com/media/DcM3wLtUwAMNPwb.jpg", "http://pbs.twimg.com/media/DcM3wLtUwAMNPwb.jpg")</f>
        <v/>
      </c>
      <c r="I2069">
        <f>HYPERLINK("http://pbs.twimg.com/media/DcM3wLuUQAAPbI4.jpg", "http://pbs.twimg.com/media/DcM3wLuUQAAPbI4.jpg")</f>
        <v/>
      </c>
      <c r="J2069" t="n">
        <v>-0.6114000000000001</v>
      </c>
      <c r="K2069" t="n">
        <v>0.166</v>
      </c>
      <c r="L2069" t="n">
        <v>0.834</v>
      </c>
      <c r="M2069" t="n">
        <v>0</v>
      </c>
    </row>
    <row r="2070" spans="1:13">
      <c r="A2070" s="1">
        <f>HYPERLINK("http://www.twitter.com/NathanBLawrence/status/991776405250768896", "991776405250768896")</f>
        <v/>
      </c>
      <c r="B2070" s="2" t="n">
        <v>43222.85295138889</v>
      </c>
      <c r="C2070" t="n">
        <v>3</v>
      </c>
      <c r="D2070" t="n">
        <v>0</v>
      </c>
      <c r="E2070" t="s">
        <v>2064</v>
      </c>
      <c r="F2070" t="s"/>
      <c r="G2070" t="s"/>
      <c r="H2070" t="s"/>
      <c r="I2070" t="s"/>
      <c r="J2070" t="n">
        <v>0.3612</v>
      </c>
      <c r="K2070" t="n">
        <v>0</v>
      </c>
      <c r="L2070" t="n">
        <v>0.8</v>
      </c>
      <c r="M2070" t="n">
        <v>0.2</v>
      </c>
    </row>
    <row r="2071" spans="1:13">
      <c r="A2071" s="1">
        <f>HYPERLINK("http://www.twitter.com/NathanBLawrence/status/991774812421918722", "991774812421918722")</f>
        <v/>
      </c>
      <c r="B2071" s="2" t="n">
        <v>43222.84856481481</v>
      </c>
      <c r="C2071" t="n">
        <v>0</v>
      </c>
      <c r="D2071" t="n">
        <v>814</v>
      </c>
      <c r="E2071" t="s">
        <v>2065</v>
      </c>
      <c r="F2071">
        <f>HYPERLINK("https://video.twimg.com/ext_tw_video/991773884490760192/pu/vid/720x720/1fo7c7rd8CxL3m-s.mp4?tag=3", "https://video.twimg.com/ext_tw_video/991773884490760192/pu/vid/720x720/1fo7c7rd8CxL3m-s.mp4?tag=3")</f>
        <v/>
      </c>
      <c r="G2071" t="s"/>
      <c r="H2071" t="s"/>
      <c r="I2071" t="s"/>
      <c r="J2071" t="n">
        <v>0.0772</v>
      </c>
      <c r="K2071" t="n">
        <v>0.128</v>
      </c>
      <c r="L2071" t="n">
        <v>0.733</v>
      </c>
      <c r="M2071" t="n">
        <v>0.14</v>
      </c>
    </row>
    <row r="2072" spans="1:13">
      <c r="A2072" s="1">
        <f>HYPERLINK("http://www.twitter.com/NathanBLawrence/status/991774766930460672", "991774766930460672")</f>
        <v/>
      </c>
      <c r="B2072" s="2" t="n">
        <v>43222.8484375</v>
      </c>
      <c r="C2072" t="n">
        <v>0</v>
      </c>
      <c r="D2072" t="n">
        <v>4</v>
      </c>
      <c r="E2072" t="s">
        <v>2066</v>
      </c>
      <c r="F2072" t="s"/>
      <c r="G2072" t="s"/>
      <c r="H2072" t="s"/>
      <c r="I2072" t="s"/>
      <c r="J2072" t="n">
        <v>-0.8176</v>
      </c>
      <c r="K2072" t="n">
        <v>0.288</v>
      </c>
      <c r="L2072" t="n">
        <v>0.712</v>
      </c>
      <c r="M2072" t="n">
        <v>0</v>
      </c>
    </row>
    <row r="2073" spans="1:13">
      <c r="A2073" s="1">
        <f>HYPERLINK("http://www.twitter.com/NathanBLawrence/status/991774683799474178", "991774683799474178")</f>
        <v/>
      </c>
      <c r="B2073" s="2" t="n">
        <v>43222.84820601852</v>
      </c>
      <c r="C2073" t="n">
        <v>0</v>
      </c>
      <c r="D2073" t="n">
        <v>37286</v>
      </c>
      <c r="E2073" t="s">
        <v>2067</v>
      </c>
      <c r="F2073" t="s"/>
      <c r="G2073" t="s"/>
      <c r="H2073" t="s"/>
      <c r="I2073" t="s"/>
      <c r="J2073" t="n">
        <v>0</v>
      </c>
      <c r="K2073" t="n">
        <v>0</v>
      </c>
      <c r="L2073" t="n">
        <v>1</v>
      </c>
      <c r="M2073" t="n">
        <v>0</v>
      </c>
    </row>
    <row r="2074" spans="1:13">
      <c r="A2074" s="1">
        <f>HYPERLINK("http://www.twitter.com/NathanBLawrence/status/991774330953625601", "991774330953625601")</f>
        <v/>
      </c>
      <c r="B2074" s="2" t="n">
        <v>43222.8472337963</v>
      </c>
      <c r="C2074" t="n">
        <v>0</v>
      </c>
      <c r="D2074" t="n">
        <v>1</v>
      </c>
      <c r="E2074" t="s">
        <v>2068</v>
      </c>
      <c r="F2074" t="s"/>
      <c r="G2074" t="s"/>
      <c r="H2074" t="s"/>
      <c r="I2074" t="s"/>
      <c r="J2074" t="n">
        <v>0.5266999999999999</v>
      </c>
      <c r="K2074" t="n">
        <v>0.096</v>
      </c>
      <c r="L2074" t="n">
        <v>0.658</v>
      </c>
      <c r="M2074" t="n">
        <v>0.246</v>
      </c>
    </row>
    <row r="2075" spans="1:13">
      <c r="A2075" s="1">
        <f>HYPERLINK("http://www.twitter.com/NathanBLawrence/status/991774259939770373", "991774259939770373")</f>
        <v/>
      </c>
      <c r="B2075" s="2" t="n">
        <v>43222.84703703703</v>
      </c>
      <c r="C2075" t="n">
        <v>0</v>
      </c>
      <c r="D2075" t="n">
        <v>3</v>
      </c>
      <c r="E2075" t="s">
        <v>2069</v>
      </c>
      <c r="F2075" t="s"/>
      <c r="G2075" t="s"/>
      <c r="H2075" t="s"/>
      <c r="I2075" t="s"/>
      <c r="J2075" t="n">
        <v>0</v>
      </c>
      <c r="K2075" t="n">
        <v>0</v>
      </c>
      <c r="L2075" t="n">
        <v>1</v>
      </c>
      <c r="M2075" t="n">
        <v>0</v>
      </c>
    </row>
    <row r="2076" spans="1:13">
      <c r="A2076" s="1">
        <f>HYPERLINK("http://www.twitter.com/NathanBLawrence/status/991774206676398081", "991774206676398081")</f>
        <v/>
      </c>
      <c r="B2076" s="2" t="n">
        <v>43222.84688657407</v>
      </c>
      <c r="C2076" t="n">
        <v>0</v>
      </c>
      <c r="D2076" t="n">
        <v>3</v>
      </c>
      <c r="E2076" t="s">
        <v>2070</v>
      </c>
      <c r="F2076" t="s"/>
      <c r="G2076" t="s"/>
      <c r="H2076" t="s"/>
      <c r="I2076" t="s"/>
      <c r="J2076" t="n">
        <v>0</v>
      </c>
      <c r="K2076" t="n">
        <v>0</v>
      </c>
      <c r="L2076" t="n">
        <v>1</v>
      </c>
      <c r="M2076" t="n">
        <v>0</v>
      </c>
    </row>
    <row r="2077" spans="1:13">
      <c r="A2077" s="1">
        <f>HYPERLINK("http://www.twitter.com/NathanBLawrence/status/991774184656310272", "991774184656310272")</f>
        <v/>
      </c>
      <c r="B2077" s="2" t="n">
        <v>43222.8468287037</v>
      </c>
      <c r="C2077" t="n">
        <v>7</v>
      </c>
      <c r="D2077" t="n">
        <v>5</v>
      </c>
      <c r="E2077" t="s">
        <v>2071</v>
      </c>
      <c r="F2077" t="s"/>
      <c r="G2077" t="s"/>
      <c r="H2077" t="s"/>
      <c r="I2077" t="s"/>
      <c r="J2077" t="n">
        <v>0</v>
      </c>
      <c r="K2077" t="n">
        <v>0</v>
      </c>
      <c r="L2077" t="n">
        <v>1</v>
      </c>
      <c r="M2077" t="n">
        <v>0</v>
      </c>
    </row>
    <row r="2078" spans="1:13">
      <c r="A2078" s="1">
        <f>HYPERLINK("http://www.twitter.com/NathanBLawrence/status/991774084844478465", "991774084844478465")</f>
        <v/>
      </c>
      <c r="B2078" s="2" t="n">
        <v>43222.84655092593</v>
      </c>
      <c r="C2078" t="n">
        <v>0</v>
      </c>
      <c r="D2078" t="n">
        <v>2</v>
      </c>
      <c r="E2078" t="s">
        <v>2072</v>
      </c>
      <c r="F2078" t="s"/>
      <c r="G2078" t="s"/>
      <c r="H2078" t="s"/>
      <c r="I2078" t="s"/>
      <c r="J2078" t="n">
        <v>0</v>
      </c>
      <c r="K2078" t="n">
        <v>0</v>
      </c>
      <c r="L2078" t="n">
        <v>1</v>
      </c>
      <c r="M2078" t="n">
        <v>0</v>
      </c>
    </row>
    <row r="2079" spans="1:13">
      <c r="A2079" s="1">
        <f>HYPERLINK("http://www.twitter.com/NathanBLawrence/status/991774047364157441", "991774047364157441")</f>
        <v/>
      </c>
      <c r="B2079" s="2" t="n">
        <v>43222.84644675926</v>
      </c>
      <c r="C2079" t="n">
        <v>0</v>
      </c>
      <c r="D2079" t="n">
        <v>334</v>
      </c>
      <c r="E2079" t="s">
        <v>2073</v>
      </c>
      <c r="F2079" t="s"/>
      <c r="G2079" t="s"/>
      <c r="H2079" t="s"/>
      <c r="I2079" t="s"/>
      <c r="J2079" t="n">
        <v>0.3382</v>
      </c>
      <c r="K2079" t="n">
        <v>0</v>
      </c>
      <c r="L2079" t="n">
        <v>0.854</v>
      </c>
      <c r="M2079" t="n">
        <v>0.146</v>
      </c>
    </row>
    <row r="2080" spans="1:13">
      <c r="A2080" s="1">
        <f>HYPERLINK("http://www.twitter.com/NathanBLawrence/status/991774016384970753", "991774016384970753")</f>
        <v/>
      </c>
      <c r="B2080" s="2" t="n">
        <v>43222.84636574074</v>
      </c>
      <c r="C2080" t="n">
        <v>0</v>
      </c>
      <c r="D2080" t="n">
        <v>14</v>
      </c>
      <c r="E2080" t="s">
        <v>2074</v>
      </c>
      <c r="F2080" t="s"/>
      <c r="G2080" t="s"/>
      <c r="H2080" t="s"/>
      <c r="I2080" t="s"/>
      <c r="J2080" t="n">
        <v>0</v>
      </c>
      <c r="K2080" t="n">
        <v>0</v>
      </c>
      <c r="L2080" t="n">
        <v>1</v>
      </c>
      <c r="M2080" t="n">
        <v>0</v>
      </c>
    </row>
    <row r="2081" spans="1:13">
      <c r="A2081" s="1">
        <f>HYPERLINK("http://www.twitter.com/NathanBLawrence/status/991772779488972801", "991772779488972801")</f>
        <v/>
      </c>
      <c r="B2081" s="2" t="n">
        <v>43222.84295138889</v>
      </c>
      <c r="C2081" t="n">
        <v>0</v>
      </c>
      <c r="D2081" t="n">
        <v>3</v>
      </c>
      <c r="E2081" t="s">
        <v>2075</v>
      </c>
      <c r="F2081" t="s"/>
      <c r="G2081" t="s"/>
      <c r="H2081" t="s"/>
      <c r="I2081" t="s"/>
      <c r="J2081" t="n">
        <v>-0.7003</v>
      </c>
      <c r="K2081" t="n">
        <v>0.444</v>
      </c>
      <c r="L2081" t="n">
        <v>0.556</v>
      </c>
      <c r="M2081" t="n">
        <v>0</v>
      </c>
    </row>
    <row r="2082" spans="1:13">
      <c r="A2082" s="1">
        <f>HYPERLINK("http://www.twitter.com/NathanBLawrence/status/991771778803556358", "991771778803556358")</f>
        <v/>
      </c>
      <c r="B2082" s="2" t="n">
        <v>43222.84018518519</v>
      </c>
      <c r="C2082" t="n">
        <v>1</v>
      </c>
      <c r="D2082" t="n">
        <v>3</v>
      </c>
      <c r="E2082" t="s">
        <v>2076</v>
      </c>
      <c r="F2082" t="s"/>
      <c r="G2082" t="s"/>
      <c r="H2082" t="s"/>
      <c r="I2082" t="s"/>
      <c r="J2082" t="n">
        <v>-0.7003</v>
      </c>
      <c r="K2082" t="n">
        <v>0.545</v>
      </c>
      <c r="L2082" t="n">
        <v>0.455</v>
      </c>
      <c r="M2082" t="n">
        <v>0</v>
      </c>
    </row>
    <row r="2083" spans="1:13">
      <c r="A2083" s="1">
        <f>HYPERLINK("http://www.twitter.com/NathanBLawrence/status/991771509998964741", "991771509998964741")</f>
        <v/>
      </c>
      <c r="B2083" s="2" t="n">
        <v>43222.83944444444</v>
      </c>
      <c r="C2083" t="n">
        <v>0</v>
      </c>
      <c r="D2083" t="n">
        <v>16</v>
      </c>
      <c r="E2083" t="s">
        <v>2077</v>
      </c>
      <c r="F2083" t="s"/>
      <c r="G2083" t="s"/>
      <c r="H2083" t="s"/>
      <c r="I2083" t="s"/>
      <c r="J2083" t="n">
        <v>0</v>
      </c>
      <c r="K2083" t="n">
        <v>0</v>
      </c>
      <c r="L2083" t="n">
        <v>1</v>
      </c>
      <c r="M2083" t="n">
        <v>0</v>
      </c>
    </row>
    <row r="2084" spans="1:13">
      <c r="A2084" s="1">
        <f>HYPERLINK("http://www.twitter.com/NathanBLawrence/status/991771464486608896", "991771464486608896")</f>
        <v/>
      </c>
      <c r="B2084" s="2" t="n">
        <v>43222.8393287037</v>
      </c>
      <c r="C2084" t="n">
        <v>0</v>
      </c>
      <c r="D2084" t="n">
        <v>36</v>
      </c>
      <c r="E2084" t="s">
        <v>2078</v>
      </c>
      <c r="F2084" t="s"/>
      <c r="G2084" t="s"/>
      <c r="H2084" t="s"/>
      <c r="I2084" t="s"/>
      <c r="J2084" t="n">
        <v>0.3612</v>
      </c>
      <c r="K2084" t="n">
        <v>0</v>
      </c>
      <c r="L2084" t="n">
        <v>0.872</v>
      </c>
      <c r="M2084" t="n">
        <v>0.128</v>
      </c>
    </row>
    <row r="2085" spans="1:13">
      <c r="A2085" s="1">
        <f>HYPERLINK("http://www.twitter.com/NathanBLawrence/status/991771414242955264", "991771414242955264")</f>
        <v/>
      </c>
      <c r="B2085" s="2" t="n">
        <v>43222.83918981482</v>
      </c>
      <c r="C2085" t="n">
        <v>0</v>
      </c>
      <c r="D2085" t="n">
        <v>5</v>
      </c>
      <c r="E2085" t="s">
        <v>2079</v>
      </c>
      <c r="F2085">
        <f>HYPERLINK("http://pbs.twimg.com/media/DcCpi66UQAA06qz.jpg", "http://pbs.twimg.com/media/DcCpi66UQAA06qz.jpg")</f>
        <v/>
      </c>
      <c r="G2085" t="s"/>
      <c r="H2085" t="s"/>
      <c r="I2085" t="s"/>
      <c r="J2085" t="n">
        <v>0.3612</v>
      </c>
      <c r="K2085" t="n">
        <v>0</v>
      </c>
      <c r="L2085" t="n">
        <v>0.8</v>
      </c>
      <c r="M2085" t="n">
        <v>0.2</v>
      </c>
    </row>
    <row r="2086" spans="1:13">
      <c r="A2086" s="1">
        <f>HYPERLINK("http://www.twitter.com/NathanBLawrence/status/991771394416443392", "991771394416443392")</f>
        <v/>
      </c>
      <c r="B2086" s="2" t="n">
        <v>43222.83913194444</v>
      </c>
      <c r="C2086" t="n">
        <v>0</v>
      </c>
      <c r="D2086" t="n">
        <v>10</v>
      </c>
      <c r="E2086" t="s">
        <v>2080</v>
      </c>
      <c r="F2086">
        <f>HYPERLINK("http://pbs.twimg.com/media/DcNSkrYUQAAsvS3.jpg", "http://pbs.twimg.com/media/DcNSkrYUQAAsvS3.jpg")</f>
        <v/>
      </c>
      <c r="G2086" t="s"/>
      <c r="H2086" t="s"/>
      <c r="I2086" t="s"/>
      <c r="J2086" t="n">
        <v>0</v>
      </c>
      <c r="K2086" t="n">
        <v>0</v>
      </c>
      <c r="L2086" t="n">
        <v>1</v>
      </c>
      <c r="M2086" t="n">
        <v>0</v>
      </c>
    </row>
    <row r="2087" spans="1:13">
      <c r="A2087" s="1">
        <f>HYPERLINK("http://www.twitter.com/NathanBLawrence/status/991771384090103808", "991771384090103808")</f>
        <v/>
      </c>
      <c r="B2087" s="2" t="n">
        <v>43222.83909722222</v>
      </c>
      <c r="C2087" t="n">
        <v>0</v>
      </c>
      <c r="D2087" t="n">
        <v>15</v>
      </c>
      <c r="E2087" t="s">
        <v>2081</v>
      </c>
      <c r="F2087">
        <f>HYPERLINK("http://pbs.twimg.com/media/DcNSla9V0AAg2pJ.jpg", "http://pbs.twimg.com/media/DcNSla9V0AAg2pJ.jpg")</f>
        <v/>
      </c>
      <c r="G2087" t="s"/>
      <c r="H2087" t="s"/>
      <c r="I2087" t="s"/>
      <c r="J2087" t="n">
        <v>0.4404</v>
      </c>
      <c r="K2087" t="n">
        <v>0</v>
      </c>
      <c r="L2087" t="n">
        <v>0.698</v>
      </c>
      <c r="M2087" t="n">
        <v>0.302</v>
      </c>
    </row>
    <row r="2088" spans="1:13">
      <c r="A2088" s="1">
        <f>HYPERLINK("http://www.twitter.com/NathanBLawrence/status/991771373663072259", "991771373663072259")</f>
        <v/>
      </c>
      <c r="B2088" s="2" t="n">
        <v>43222.83907407407</v>
      </c>
      <c r="C2088" t="n">
        <v>0</v>
      </c>
      <c r="D2088" t="n">
        <v>34</v>
      </c>
      <c r="E2088" t="s">
        <v>2082</v>
      </c>
      <c r="F2088">
        <f>HYPERLINK("http://pbs.twimg.com/media/DcNSmHcVwAAufBa.jpg", "http://pbs.twimg.com/media/DcNSmHcVwAAufBa.jpg")</f>
        <v/>
      </c>
      <c r="G2088" t="s"/>
      <c r="H2088" t="s"/>
      <c r="I2088" t="s"/>
      <c r="J2088" t="n">
        <v>0</v>
      </c>
      <c r="K2088" t="n">
        <v>0</v>
      </c>
      <c r="L2088" t="n">
        <v>1</v>
      </c>
      <c r="M2088" t="n">
        <v>0</v>
      </c>
    </row>
    <row r="2089" spans="1:13">
      <c r="A2089" s="1">
        <f>HYPERLINK("http://www.twitter.com/NathanBLawrence/status/991771363395428355", "991771363395428355")</f>
        <v/>
      </c>
      <c r="B2089" s="2" t="n">
        <v>43222.83903935185</v>
      </c>
      <c r="C2089" t="n">
        <v>0</v>
      </c>
      <c r="D2089" t="n">
        <v>8</v>
      </c>
      <c r="E2089" t="s">
        <v>2083</v>
      </c>
      <c r="F2089">
        <f>HYPERLINK("http://pbs.twimg.com/media/DcNSm2bVQAAo1Gn.jpg", "http://pbs.twimg.com/media/DcNSm2bVQAAo1Gn.jpg")</f>
        <v/>
      </c>
      <c r="G2089" t="s"/>
      <c r="H2089" t="s"/>
      <c r="I2089" t="s"/>
      <c r="J2089" t="n">
        <v>0</v>
      </c>
      <c r="K2089" t="n">
        <v>0</v>
      </c>
      <c r="L2089" t="n">
        <v>1</v>
      </c>
      <c r="M2089" t="n">
        <v>0</v>
      </c>
    </row>
    <row r="2090" spans="1:13">
      <c r="A2090" s="1">
        <f>HYPERLINK("http://www.twitter.com/NathanBLawrence/status/991771352733544453", "991771352733544453")</f>
        <v/>
      </c>
      <c r="B2090" s="2" t="n">
        <v>43222.8390162037</v>
      </c>
      <c r="C2090" t="n">
        <v>0</v>
      </c>
      <c r="D2090" t="n">
        <v>9</v>
      </c>
      <c r="E2090" t="s">
        <v>2084</v>
      </c>
      <c r="F2090">
        <f>HYPERLINK("http://pbs.twimg.com/media/DcNSnkVU8AAGfG4.jpg", "http://pbs.twimg.com/media/DcNSnkVU8AAGfG4.jpg")</f>
        <v/>
      </c>
      <c r="G2090" t="s"/>
      <c r="H2090" t="s"/>
      <c r="I2090" t="s"/>
      <c r="J2090" t="n">
        <v>0</v>
      </c>
      <c r="K2090" t="n">
        <v>0</v>
      </c>
      <c r="L2090" t="n">
        <v>1</v>
      </c>
      <c r="M2090" t="n">
        <v>0</v>
      </c>
    </row>
    <row r="2091" spans="1:13">
      <c r="A2091" s="1">
        <f>HYPERLINK("http://www.twitter.com/NathanBLawrence/status/991771342348455939", "991771342348455939")</f>
        <v/>
      </c>
      <c r="B2091" s="2" t="n">
        <v>43222.83898148148</v>
      </c>
      <c r="C2091" t="n">
        <v>0</v>
      </c>
      <c r="D2091" t="n">
        <v>13</v>
      </c>
      <c r="E2091" t="s">
        <v>2085</v>
      </c>
      <c r="F2091">
        <f>HYPERLINK("http://pbs.twimg.com/media/DcNSodyVQAAbQvO.jpg", "http://pbs.twimg.com/media/DcNSodyVQAAbQvO.jpg")</f>
        <v/>
      </c>
      <c r="G2091" t="s"/>
      <c r="H2091" t="s"/>
      <c r="I2091" t="s"/>
      <c r="J2091" t="n">
        <v>-0.3818</v>
      </c>
      <c r="K2091" t="n">
        <v>0.271</v>
      </c>
      <c r="L2091" t="n">
        <v>0.729</v>
      </c>
      <c r="M2091" t="n">
        <v>0</v>
      </c>
    </row>
    <row r="2092" spans="1:13">
      <c r="A2092" s="1">
        <f>HYPERLINK("http://www.twitter.com/NathanBLawrence/status/991771331724181504", "991771331724181504")</f>
        <v/>
      </c>
      <c r="B2092" s="2" t="n">
        <v>43222.83895833333</v>
      </c>
      <c r="C2092" t="n">
        <v>0</v>
      </c>
      <c r="D2092" t="n">
        <v>10</v>
      </c>
      <c r="E2092" t="s">
        <v>2086</v>
      </c>
      <c r="F2092">
        <f>HYPERLINK("http://pbs.twimg.com/media/DcNSpX9VQAYclBL.jpg", "http://pbs.twimg.com/media/DcNSpX9VQAYclBL.jpg")</f>
        <v/>
      </c>
      <c r="G2092" t="s"/>
      <c r="H2092" t="s"/>
      <c r="I2092" t="s"/>
      <c r="J2092" t="n">
        <v>0.3612</v>
      </c>
      <c r="K2092" t="n">
        <v>0</v>
      </c>
      <c r="L2092" t="n">
        <v>0.737</v>
      </c>
      <c r="M2092" t="n">
        <v>0.263</v>
      </c>
    </row>
    <row r="2093" spans="1:13">
      <c r="A2093" s="1">
        <f>HYPERLINK("http://www.twitter.com/NathanBLawrence/status/991771321242734592", "991771321242734592")</f>
        <v/>
      </c>
      <c r="B2093" s="2" t="n">
        <v>43222.83892361111</v>
      </c>
      <c r="C2093" t="n">
        <v>0</v>
      </c>
      <c r="D2093" t="n">
        <v>10</v>
      </c>
      <c r="E2093" t="s">
        <v>2087</v>
      </c>
      <c r="F2093">
        <f>HYPERLINK("http://pbs.twimg.com/media/DcNSqG2VAAMn4Xc.png", "http://pbs.twimg.com/media/DcNSqG2VAAMn4Xc.png")</f>
        <v/>
      </c>
      <c r="G2093" t="s"/>
      <c r="H2093" t="s"/>
      <c r="I2093" t="s"/>
      <c r="J2093" t="n">
        <v>0</v>
      </c>
      <c r="K2093" t="n">
        <v>0</v>
      </c>
      <c r="L2093" t="n">
        <v>1</v>
      </c>
      <c r="M2093" t="n">
        <v>0</v>
      </c>
    </row>
    <row r="2094" spans="1:13">
      <c r="A2094" s="1">
        <f>HYPERLINK("http://www.twitter.com/NathanBLawrence/status/991771308349427712", "991771308349427712")</f>
        <v/>
      </c>
      <c r="B2094" s="2" t="n">
        <v>43222.83888888889</v>
      </c>
      <c r="C2094" t="n">
        <v>0</v>
      </c>
      <c r="D2094" t="n">
        <v>23</v>
      </c>
      <c r="E2094" t="s">
        <v>2088</v>
      </c>
      <c r="F2094" t="s"/>
      <c r="G2094" t="s"/>
      <c r="H2094" t="s"/>
      <c r="I2094" t="s"/>
      <c r="J2094" t="n">
        <v>-0.3182</v>
      </c>
      <c r="K2094" t="n">
        <v>0.219</v>
      </c>
      <c r="L2094" t="n">
        <v>0.571</v>
      </c>
      <c r="M2094" t="n">
        <v>0.21</v>
      </c>
    </row>
    <row r="2095" spans="1:13">
      <c r="A2095" s="1">
        <f>HYPERLINK("http://www.twitter.com/NathanBLawrence/status/991771270697103365", "991771270697103365")</f>
        <v/>
      </c>
      <c r="B2095" s="2" t="n">
        <v>43222.83878472223</v>
      </c>
      <c r="C2095" t="n">
        <v>0</v>
      </c>
      <c r="D2095" t="n">
        <v>5</v>
      </c>
      <c r="E2095" t="s">
        <v>2089</v>
      </c>
      <c r="F2095" t="s"/>
      <c r="G2095" t="s"/>
      <c r="H2095" t="s"/>
      <c r="I2095" t="s"/>
      <c r="J2095" t="n">
        <v>0</v>
      </c>
      <c r="K2095" t="n">
        <v>0</v>
      </c>
      <c r="L2095" t="n">
        <v>1</v>
      </c>
      <c r="M2095" t="n">
        <v>0</v>
      </c>
    </row>
    <row r="2096" spans="1:13">
      <c r="A2096" s="1">
        <f>HYPERLINK("http://www.twitter.com/NathanBLawrence/status/991771163335581696", "991771163335581696")</f>
        <v/>
      </c>
      <c r="B2096" s="2" t="n">
        <v>43222.83849537037</v>
      </c>
      <c r="C2096" t="n">
        <v>0</v>
      </c>
      <c r="D2096" t="n">
        <v>103</v>
      </c>
      <c r="E2096" t="s">
        <v>2090</v>
      </c>
      <c r="F2096" t="s"/>
      <c r="G2096" t="s"/>
      <c r="H2096" t="s"/>
      <c r="I2096" t="s"/>
      <c r="J2096" t="n">
        <v>0</v>
      </c>
      <c r="K2096" t="n">
        <v>0</v>
      </c>
      <c r="L2096" t="n">
        <v>1</v>
      </c>
      <c r="M2096" t="n">
        <v>0</v>
      </c>
    </row>
    <row r="2097" spans="1:13">
      <c r="A2097" s="1">
        <f>HYPERLINK("http://www.twitter.com/NathanBLawrence/status/991770605295988737", "991770605295988737")</f>
        <v/>
      </c>
      <c r="B2097" s="2" t="n">
        <v>43222.83695601852</v>
      </c>
      <c r="C2097" t="n">
        <v>0</v>
      </c>
      <c r="D2097" t="n">
        <v>119</v>
      </c>
      <c r="E2097" t="s">
        <v>2091</v>
      </c>
      <c r="F2097" t="s"/>
      <c r="G2097" t="s"/>
      <c r="H2097" t="s"/>
      <c r="I2097" t="s"/>
      <c r="J2097" t="n">
        <v>-0.8439</v>
      </c>
      <c r="K2097" t="n">
        <v>0.322</v>
      </c>
      <c r="L2097" t="n">
        <v>0.678</v>
      </c>
      <c r="M2097" t="n">
        <v>0</v>
      </c>
    </row>
    <row r="2098" spans="1:13">
      <c r="A2098" s="1">
        <f>HYPERLINK("http://www.twitter.com/NathanBLawrence/status/991770472227459072", "991770472227459072")</f>
        <v/>
      </c>
      <c r="B2098" s="2" t="n">
        <v>43222.83658564815</v>
      </c>
      <c r="C2098" t="n">
        <v>0</v>
      </c>
      <c r="D2098" t="n">
        <v>499</v>
      </c>
      <c r="E2098" t="s">
        <v>2092</v>
      </c>
      <c r="F2098" t="s"/>
      <c r="G2098" t="s"/>
      <c r="H2098" t="s"/>
      <c r="I2098" t="s"/>
      <c r="J2098" t="n">
        <v>0</v>
      </c>
      <c r="K2098" t="n">
        <v>0</v>
      </c>
      <c r="L2098" t="n">
        <v>1</v>
      </c>
      <c r="M2098" t="n">
        <v>0</v>
      </c>
    </row>
    <row r="2099" spans="1:13">
      <c r="A2099" s="1">
        <f>HYPERLINK("http://www.twitter.com/NathanBLawrence/status/991770281675980801", "991770281675980801")</f>
        <v/>
      </c>
      <c r="B2099" s="2" t="n">
        <v>43222.83606481482</v>
      </c>
      <c r="C2099" t="n">
        <v>0</v>
      </c>
      <c r="D2099" t="n">
        <v>2</v>
      </c>
      <c r="E2099" t="s">
        <v>2093</v>
      </c>
      <c r="F2099" t="s"/>
      <c r="G2099" t="s"/>
      <c r="H2099" t="s"/>
      <c r="I2099" t="s"/>
      <c r="J2099" t="n">
        <v>0</v>
      </c>
      <c r="K2099" t="n">
        <v>0</v>
      </c>
      <c r="L2099" t="n">
        <v>1</v>
      </c>
      <c r="M2099" t="n">
        <v>0</v>
      </c>
    </row>
    <row r="2100" spans="1:13">
      <c r="A2100" s="1">
        <f>HYPERLINK("http://www.twitter.com/NathanBLawrence/status/991770264554831872", "991770264554831872")</f>
        <v/>
      </c>
      <c r="B2100" s="2" t="n">
        <v>43222.83600694445</v>
      </c>
      <c r="C2100" t="n">
        <v>0</v>
      </c>
      <c r="D2100" t="n">
        <v>2</v>
      </c>
      <c r="E2100" t="s">
        <v>2094</v>
      </c>
      <c r="F2100" t="s"/>
      <c r="G2100" t="s"/>
      <c r="H2100" t="s"/>
      <c r="I2100" t="s"/>
      <c r="J2100" t="n">
        <v>0</v>
      </c>
      <c r="K2100" t="n">
        <v>0</v>
      </c>
      <c r="L2100" t="n">
        <v>1</v>
      </c>
      <c r="M2100" t="n">
        <v>0</v>
      </c>
    </row>
    <row r="2101" spans="1:13">
      <c r="A2101" s="1">
        <f>HYPERLINK("http://www.twitter.com/NathanBLawrence/status/991770190781276160", "991770190781276160")</f>
        <v/>
      </c>
      <c r="B2101" s="2" t="n">
        <v>43222.83581018518</v>
      </c>
      <c r="C2101" t="n">
        <v>0</v>
      </c>
      <c r="D2101" t="n">
        <v>206</v>
      </c>
      <c r="E2101" t="s">
        <v>2095</v>
      </c>
      <c r="F2101">
        <f>HYPERLINK("http://pbs.twimg.com/media/DcN2vFqX0AASqTO.jpg", "http://pbs.twimg.com/media/DcN2vFqX0AASqTO.jpg")</f>
        <v/>
      </c>
      <c r="G2101" t="s"/>
      <c r="H2101" t="s"/>
      <c r="I2101" t="s"/>
      <c r="J2101" t="n">
        <v>0</v>
      </c>
      <c r="K2101" t="n">
        <v>0</v>
      </c>
      <c r="L2101" t="n">
        <v>1</v>
      </c>
      <c r="M2101" t="n">
        <v>0</v>
      </c>
    </row>
    <row r="2102" spans="1:13">
      <c r="A2102" s="1">
        <f>HYPERLINK("http://www.twitter.com/NathanBLawrence/status/991769877131165697", "991769877131165697")</f>
        <v/>
      </c>
      <c r="B2102" s="2" t="n">
        <v>43222.83494212963</v>
      </c>
      <c r="C2102" t="n">
        <v>0</v>
      </c>
      <c r="D2102" t="n">
        <v>0</v>
      </c>
      <c r="E2102" t="s">
        <v>2096</v>
      </c>
      <c r="F2102" t="s"/>
      <c r="G2102" t="s"/>
      <c r="H2102" t="s"/>
      <c r="I2102" t="s"/>
      <c r="J2102" t="n">
        <v>0.3612</v>
      </c>
      <c r="K2102" t="n">
        <v>0</v>
      </c>
      <c r="L2102" t="n">
        <v>0.898</v>
      </c>
      <c r="M2102" t="n">
        <v>0.102</v>
      </c>
    </row>
    <row r="2103" spans="1:13">
      <c r="A2103" s="1">
        <f>HYPERLINK("http://www.twitter.com/NathanBLawrence/status/991769590702239749", "991769590702239749")</f>
        <v/>
      </c>
      <c r="B2103" s="2" t="n">
        <v>43222.83415509259</v>
      </c>
      <c r="C2103" t="n">
        <v>0</v>
      </c>
      <c r="D2103" t="n">
        <v>82</v>
      </c>
      <c r="E2103" t="s">
        <v>2097</v>
      </c>
      <c r="F2103">
        <f>HYPERLINK("http://pbs.twimg.com/media/DcIdHExXUAAh05t.jpg", "http://pbs.twimg.com/media/DcIdHExXUAAh05t.jpg")</f>
        <v/>
      </c>
      <c r="G2103" t="s"/>
      <c r="H2103" t="s"/>
      <c r="I2103" t="s"/>
      <c r="J2103" t="n">
        <v>0</v>
      </c>
      <c r="K2103" t="n">
        <v>0</v>
      </c>
      <c r="L2103" t="n">
        <v>1</v>
      </c>
      <c r="M2103" t="n">
        <v>0</v>
      </c>
    </row>
    <row r="2104" spans="1:13">
      <c r="A2104" s="1">
        <f>HYPERLINK("http://www.twitter.com/NathanBLawrence/status/991769498238836738", "991769498238836738")</f>
        <v/>
      </c>
      <c r="B2104" s="2" t="n">
        <v>43222.83390046296</v>
      </c>
      <c r="C2104" t="n">
        <v>0</v>
      </c>
      <c r="D2104" t="n">
        <v>74</v>
      </c>
      <c r="E2104" t="s">
        <v>2098</v>
      </c>
      <c r="F2104">
        <f>HYPERLINK("http://pbs.twimg.com/media/DcIMjKdWkAE07SQ.jpg", "http://pbs.twimg.com/media/DcIMjKdWkAE07SQ.jpg")</f>
        <v/>
      </c>
      <c r="G2104" t="s"/>
      <c r="H2104" t="s"/>
      <c r="I2104" t="s"/>
      <c r="J2104" t="n">
        <v>0</v>
      </c>
      <c r="K2104" t="n">
        <v>0</v>
      </c>
      <c r="L2104" t="n">
        <v>1</v>
      </c>
      <c r="M2104" t="n">
        <v>0</v>
      </c>
    </row>
    <row r="2105" spans="1:13">
      <c r="A2105" s="1">
        <f>HYPERLINK("http://www.twitter.com/NathanBLawrence/status/991769113113526272", "991769113113526272")</f>
        <v/>
      </c>
      <c r="B2105" s="2" t="n">
        <v>43222.83283564815</v>
      </c>
      <c r="C2105" t="n">
        <v>0</v>
      </c>
      <c r="D2105" t="n">
        <v>67</v>
      </c>
      <c r="E2105" t="s">
        <v>2099</v>
      </c>
      <c r="F2105">
        <f>HYPERLINK("http://pbs.twimg.com/media/DcILj3gXkAEVGw3.jpg", "http://pbs.twimg.com/media/DcILj3gXkAEVGw3.jpg")</f>
        <v/>
      </c>
      <c r="G2105" t="s"/>
      <c r="H2105" t="s"/>
      <c r="I2105" t="s"/>
      <c r="J2105" t="n">
        <v>0</v>
      </c>
      <c r="K2105" t="n">
        <v>0</v>
      </c>
      <c r="L2105" t="n">
        <v>1</v>
      </c>
      <c r="M2105" t="n">
        <v>0</v>
      </c>
    </row>
    <row r="2106" spans="1:13">
      <c r="A2106" s="1">
        <f>HYPERLINK("http://www.twitter.com/NathanBLawrence/status/991768809496248320", "991768809496248320")</f>
        <v/>
      </c>
      <c r="B2106" s="2" t="n">
        <v>43222.83200231481</v>
      </c>
      <c r="C2106" t="n">
        <v>0</v>
      </c>
      <c r="D2106" t="n">
        <v>125</v>
      </c>
      <c r="E2106" t="s">
        <v>2100</v>
      </c>
      <c r="F2106">
        <f>HYPERLINK("http://pbs.twimg.com/media/DcIKqvhX4AEgW03.jpg", "http://pbs.twimg.com/media/DcIKqvhX4AEgW03.jpg")</f>
        <v/>
      </c>
      <c r="G2106" t="s"/>
      <c r="H2106" t="s"/>
      <c r="I2106" t="s"/>
      <c r="J2106" t="n">
        <v>0</v>
      </c>
      <c r="K2106" t="n">
        <v>0</v>
      </c>
      <c r="L2106" t="n">
        <v>1</v>
      </c>
      <c r="M2106" t="n">
        <v>0</v>
      </c>
    </row>
    <row r="2107" spans="1:13">
      <c r="A2107" s="1">
        <f>HYPERLINK("http://www.twitter.com/NathanBLawrence/status/991768573344395271", "991768573344395271")</f>
        <v/>
      </c>
      <c r="B2107" s="2" t="n">
        <v>43222.8313425926</v>
      </c>
      <c r="C2107" t="n">
        <v>0</v>
      </c>
      <c r="D2107" t="n">
        <v>78</v>
      </c>
      <c r="E2107" t="s">
        <v>2101</v>
      </c>
      <c r="F2107">
        <f>HYPERLINK("http://pbs.twimg.com/media/DcIBk-uUwAAIdl9.jpg", "http://pbs.twimg.com/media/DcIBk-uUwAAIdl9.jpg")</f>
        <v/>
      </c>
      <c r="G2107" t="s"/>
      <c r="H2107" t="s"/>
      <c r="I2107" t="s"/>
      <c r="J2107" t="n">
        <v>0</v>
      </c>
      <c r="K2107" t="n">
        <v>0</v>
      </c>
      <c r="L2107" t="n">
        <v>1</v>
      </c>
      <c r="M2107" t="n">
        <v>0</v>
      </c>
    </row>
    <row r="2108" spans="1:13">
      <c r="A2108" s="1">
        <f>HYPERLINK("http://www.twitter.com/NathanBLawrence/status/991768309593968640", "991768309593968640")</f>
        <v/>
      </c>
      <c r="B2108" s="2" t="n">
        <v>43222.83061342593</v>
      </c>
      <c r="C2108" t="n">
        <v>0</v>
      </c>
      <c r="D2108" t="n">
        <v>70</v>
      </c>
      <c r="E2108" t="s">
        <v>2102</v>
      </c>
      <c r="F2108">
        <f>HYPERLINK("http://pbs.twimg.com/media/DcIAfKoUQAINQGZ.jpg", "http://pbs.twimg.com/media/DcIAfKoUQAINQGZ.jpg")</f>
        <v/>
      </c>
      <c r="G2108" t="s"/>
      <c r="H2108" t="s"/>
      <c r="I2108" t="s"/>
      <c r="J2108" t="n">
        <v>0</v>
      </c>
      <c r="K2108" t="n">
        <v>0</v>
      </c>
      <c r="L2108" t="n">
        <v>1</v>
      </c>
      <c r="M2108" t="n">
        <v>0</v>
      </c>
    </row>
    <row r="2109" spans="1:13">
      <c r="A2109" s="1">
        <f>HYPERLINK("http://www.twitter.com/NathanBLawrence/status/991767372699664385", "991767372699664385")</f>
        <v/>
      </c>
      <c r="B2109" s="2" t="n">
        <v>43222.82803240741</v>
      </c>
      <c r="C2109" t="n">
        <v>0</v>
      </c>
      <c r="D2109" t="n">
        <v>154</v>
      </c>
      <c r="E2109" t="s">
        <v>2103</v>
      </c>
      <c r="F2109">
        <f>HYPERLINK("http://pbs.twimg.com/media/DcH7O8qX0AMmezC.jpg", "http://pbs.twimg.com/media/DcH7O8qX0AMmezC.jpg")</f>
        <v/>
      </c>
      <c r="G2109" t="s"/>
      <c r="H2109" t="s"/>
      <c r="I2109" t="s"/>
      <c r="J2109" t="n">
        <v>0</v>
      </c>
      <c r="K2109" t="n">
        <v>0</v>
      </c>
      <c r="L2109" t="n">
        <v>1</v>
      </c>
      <c r="M2109" t="n">
        <v>0</v>
      </c>
    </row>
    <row r="2110" spans="1:13">
      <c r="A2110" s="1">
        <f>HYPERLINK("http://www.twitter.com/NathanBLawrence/status/991767046319984640", "991767046319984640")</f>
        <v/>
      </c>
      <c r="B2110" s="2" t="n">
        <v>43222.82712962963</v>
      </c>
      <c r="C2110" t="n">
        <v>0</v>
      </c>
      <c r="D2110" t="n">
        <v>102</v>
      </c>
      <c r="E2110" t="s">
        <v>2104</v>
      </c>
      <c r="F2110">
        <f>HYPERLINK("http://pbs.twimg.com/media/DcHpJ_zX0AACM3o.jpg", "http://pbs.twimg.com/media/DcHpJ_zX0AACM3o.jpg")</f>
        <v/>
      </c>
      <c r="G2110" t="s"/>
      <c r="H2110" t="s"/>
      <c r="I2110" t="s"/>
      <c r="J2110" t="n">
        <v>0</v>
      </c>
      <c r="K2110" t="n">
        <v>0</v>
      </c>
      <c r="L2110" t="n">
        <v>1</v>
      </c>
      <c r="M2110" t="n">
        <v>0</v>
      </c>
    </row>
    <row r="2111" spans="1:13">
      <c r="A2111" s="1">
        <f>HYPERLINK("http://www.twitter.com/NathanBLawrence/status/991766700961001472", "991766700961001472")</f>
        <v/>
      </c>
      <c r="B2111" s="2" t="n">
        <v>43222.82618055555</v>
      </c>
      <c r="C2111" t="n">
        <v>0</v>
      </c>
      <c r="D2111" t="n">
        <v>109</v>
      </c>
      <c r="E2111" t="s">
        <v>2105</v>
      </c>
      <c r="F2111">
        <f>HYPERLINK("http://pbs.twimg.com/media/DcHoIQyXkAAQdns.jpg", "http://pbs.twimg.com/media/DcHoIQyXkAAQdns.jpg")</f>
        <v/>
      </c>
      <c r="G2111" t="s"/>
      <c r="H2111" t="s"/>
      <c r="I2111" t="s"/>
      <c r="J2111" t="n">
        <v>0</v>
      </c>
      <c r="K2111" t="n">
        <v>0</v>
      </c>
      <c r="L2111" t="n">
        <v>1</v>
      </c>
      <c r="M2111" t="n">
        <v>0</v>
      </c>
    </row>
    <row r="2112" spans="1:13">
      <c r="A2112" s="1">
        <f>HYPERLINK("http://www.twitter.com/NathanBLawrence/status/991766318708940800", "991766318708940800")</f>
        <v/>
      </c>
      <c r="B2112" s="2" t="n">
        <v>43222.82512731481</v>
      </c>
      <c r="C2112" t="n">
        <v>0</v>
      </c>
      <c r="D2112" t="n">
        <v>105</v>
      </c>
      <c r="E2112" t="s">
        <v>2106</v>
      </c>
      <c r="F2112">
        <f>HYPERLINK("http://pbs.twimg.com/media/DcHnbBkX4AU4pAa.jpg", "http://pbs.twimg.com/media/DcHnbBkX4AU4pAa.jpg")</f>
        <v/>
      </c>
      <c r="G2112" t="s"/>
      <c r="H2112" t="s"/>
      <c r="I2112" t="s"/>
      <c r="J2112" t="n">
        <v>0</v>
      </c>
      <c r="K2112" t="n">
        <v>0</v>
      </c>
      <c r="L2112" t="n">
        <v>1</v>
      </c>
      <c r="M2112" t="n">
        <v>0</v>
      </c>
    </row>
    <row r="2113" spans="1:13">
      <c r="A2113" s="1">
        <f>HYPERLINK("http://www.twitter.com/NathanBLawrence/status/991766010435919873", "991766010435919873")</f>
        <v/>
      </c>
      <c r="B2113" s="2" t="n">
        <v>43222.82427083333</v>
      </c>
      <c r="C2113" t="n">
        <v>1</v>
      </c>
      <c r="D2113" t="n">
        <v>0</v>
      </c>
      <c r="E2113" t="s">
        <v>2107</v>
      </c>
      <c r="F2113" t="s"/>
      <c r="G2113" t="s"/>
      <c r="H2113" t="s"/>
      <c r="I2113" t="s"/>
      <c r="J2113" t="n">
        <v>0.3612</v>
      </c>
      <c r="K2113" t="n">
        <v>0</v>
      </c>
      <c r="L2113" t="n">
        <v>0.889</v>
      </c>
      <c r="M2113" t="n">
        <v>0.111</v>
      </c>
    </row>
    <row r="2114" spans="1:13">
      <c r="A2114" s="1">
        <f>HYPERLINK("http://www.twitter.com/NathanBLawrence/status/991765952047042560", "991765952047042560")</f>
        <v/>
      </c>
      <c r="B2114" s="2" t="n">
        <v>43222.8241087963</v>
      </c>
      <c r="C2114" t="n">
        <v>0</v>
      </c>
      <c r="D2114" t="n">
        <v>98</v>
      </c>
      <c r="E2114" t="s">
        <v>2108</v>
      </c>
      <c r="F2114">
        <f>HYPERLINK("http://pbs.twimg.com/media/DcIeOStWsAAeS0B.jpg", "http://pbs.twimg.com/media/DcIeOStWsAAeS0B.jpg")</f>
        <v/>
      </c>
      <c r="G2114" t="s"/>
      <c r="H2114" t="s"/>
      <c r="I2114" t="s"/>
      <c r="J2114" t="n">
        <v>0</v>
      </c>
      <c r="K2114" t="n">
        <v>0</v>
      </c>
      <c r="L2114" t="n">
        <v>1</v>
      </c>
      <c r="M2114" t="n">
        <v>0</v>
      </c>
    </row>
    <row r="2115" spans="1:13">
      <c r="A2115" s="1">
        <f>HYPERLINK("http://www.twitter.com/NathanBLawrence/status/991765513679396867", "991765513679396867")</f>
        <v/>
      </c>
      <c r="B2115" s="2" t="n">
        <v>43222.82290509259</v>
      </c>
      <c r="C2115" t="n">
        <v>0</v>
      </c>
      <c r="D2115" t="n">
        <v>0</v>
      </c>
      <c r="E2115" t="s">
        <v>2109</v>
      </c>
      <c r="F2115" t="s"/>
      <c r="G2115" t="s"/>
      <c r="H2115" t="s"/>
      <c r="I2115" t="s"/>
      <c r="J2115" t="n">
        <v>0.5719</v>
      </c>
      <c r="K2115" t="n">
        <v>0</v>
      </c>
      <c r="L2115" t="n">
        <v>0.6840000000000001</v>
      </c>
      <c r="M2115" t="n">
        <v>0.316</v>
      </c>
    </row>
    <row r="2116" spans="1:13">
      <c r="A2116" s="1">
        <f>HYPERLINK("http://www.twitter.com/NathanBLawrence/status/991755243863072768", "991755243863072768")</f>
        <v/>
      </c>
      <c r="B2116" s="2" t="n">
        <v>43222.79456018518</v>
      </c>
      <c r="C2116" t="n">
        <v>0</v>
      </c>
      <c r="D2116" t="n">
        <v>76</v>
      </c>
      <c r="E2116" t="s">
        <v>2110</v>
      </c>
      <c r="F2116" t="s"/>
      <c r="G2116" t="s"/>
      <c r="H2116" t="s"/>
      <c r="I2116" t="s"/>
      <c r="J2116" t="n">
        <v>0</v>
      </c>
      <c r="K2116" t="n">
        <v>0</v>
      </c>
      <c r="L2116" t="n">
        <v>1</v>
      </c>
      <c r="M2116" t="n">
        <v>0</v>
      </c>
    </row>
    <row r="2117" spans="1:13">
      <c r="A2117" s="1">
        <f>HYPERLINK("http://www.twitter.com/NathanBLawrence/status/991755186766049280", "991755186766049280")</f>
        <v/>
      </c>
      <c r="B2117" s="2" t="n">
        <v>43222.79440972222</v>
      </c>
      <c r="C2117" t="n">
        <v>0</v>
      </c>
      <c r="D2117" t="n">
        <v>2</v>
      </c>
      <c r="E2117" t="s">
        <v>2111</v>
      </c>
      <c r="F2117" t="s"/>
      <c r="G2117" t="s"/>
      <c r="H2117" t="s"/>
      <c r="I2117" t="s"/>
      <c r="J2117" t="n">
        <v>-0.7983</v>
      </c>
      <c r="K2117" t="n">
        <v>0.245</v>
      </c>
      <c r="L2117" t="n">
        <v>0.755</v>
      </c>
      <c r="M2117" t="n">
        <v>0</v>
      </c>
    </row>
    <row r="2118" spans="1:13">
      <c r="A2118" s="1">
        <f>HYPERLINK("http://www.twitter.com/NathanBLawrence/status/991754901637206016", "991754901637206016")</f>
        <v/>
      </c>
      <c r="B2118" s="2" t="n">
        <v>43222.79362268518</v>
      </c>
      <c r="C2118" t="n">
        <v>0</v>
      </c>
      <c r="D2118" t="n">
        <v>6</v>
      </c>
      <c r="E2118" t="s">
        <v>2112</v>
      </c>
      <c r="F2118" t="s"/>
      <c r="G2118" t="s"/>
      <c r="H2118" t="s"/>
      <c r="I2118" t="s"/>
      <c r="J2118" t="n">
        <v>0</v>
      </c>
      <c r="K2118" t="n">
        <v>0</v>
      </c>
      <c r="L2118" t="n">
        <v>1</v>
      </c>
      <c r="M2118" t="n">
        <v>0</v>
      </c>
    </row>
    <row r="2119" spans="1:13">
      <c r="A2119" s="1">
        <f>HYPERLINK("http://www.twitter.com/NathanBLawrence/status/991754745021915137", "991754745021915137")</f>
        <v/>
      </c>
      <c r="B2119" s="2" t="n">
        <v>43222.79318287037</v>
      </c>
      <c r="C2119" t="n">
        <v>0</v>
      </c>
      <c r="D2119" t="n">
        <v>12</v>
      </c>
      <c r="E2119" t="s">
        <v>2113</v>
      </c>
      <c r="F2119" t="s"/>
      <c r="G2119" t="s"/>
      <c r="H2119" t="s"/>
      <c r="I2119" t="s"/>
      <c r="J2119" t="n">
        <v>0</v>
      </c>
      <c r="K2119" t="n">
        <v>0</v>
      </c>
      <c r="L2119" t="n">
        <v>1</v>
      </c>
      <c r="M2119" t="n">
        <v>0</v>
      </c>
    </row>
    <row r="2120" spans="1:13">
      <c r="A2120" s="1">
        <f>HYPERLINK("http://www.twitter.com/NathanBLawrence/status/991754662075404288", "991754662075404288")</f>
        <v/>
      </c>
      <c r="B2120" s="2" t="n">
        <v>43222.79296296297</v>
      </c>
      <c r="C2120" t="n">
        <v>0</v>
      </c>
      <c r="D2120" t="n">
        <v>2</v>
      </c>
      <c r="E2120" t="s">
        <v>2114</v>
      </c>
      <c r="F2120" t="s"/>
      <c r="G2120" t="s"/>
      <c r="H2120" t="s"/>
      <c r="I2120" t="s"/>
      <c r="J2120" t="n">
        <v>0</v>
      </c>
      <c r="K2120" t="n">
        <v>0</v>
      </c>
      <c r="L2120" t="n">
        <v>1</v>
      </c>
      <c r="M2120" t="n">
        <v>0</v>
      </c>
    </row>
    <row r="2121" spans="1:13">
      <c r="A2121" s="1">
        <f>HYPERLINK("http://www.twitter.com/NathanBLawrence/status/991754603095093248", "991754603095093248")</f>
        <v/>
      </c>
      <c r="B2121" s="2" t="n">
        <v>43222.79278935185</v>
      </c>
      <c r="C2121" t="n">
        <v>0</v>
      </c>
      <c r="D2121" t="n">
        <v>0</v>
      </c>
      <c r="E2121" t="s">
        <v>2115</v>
      </c>
      <c r="F2121" t="s"/>
      <c r="G2121" t="s"/>
      <c r="H2121" t="s"/>
      <c r="I2121" t="s"/>
      <c r="J2121" t="n">
        <v>0.2732</v>
      </c>
      <c r="K2121" t="n">
        <v>0</v>
      </c>
      <c r="L2121" t="n">
        <v>0.792</v>
      </c>
      <c r="M2121" t="n">
        <v>0.208</v>
      </c>
    </row>
    <row r="2122" spans="1:13">
      <c r="A2122" s="1">
        <f>HYPERLINK("http://www.twitter.com/NathanBLawrence/status/991747032271523847", "991747032271523847")</f>
        <v/>
      </c>
      <c r="B2122" s="2" t="n">
        <v>43222.77189814814</v>
      </c>
      <c r="C2122" t="n">
        <v>0</v>
      </c>
      <c r="D2122" t="n">
        <v>0</v>
      </c>
      <c r="E2122" t="s">
        <v>2116</v>
      </c>
      <c r="F2122" t="s"/>
      <c r="G2122" t="s"/>
      <c r="H2122" t="s"/>
      <c r="I2122" t="s"/>
      <c r="J2122" t="n">
        <v>-0.3987</v>
      </c>
      <c r="K2122" t="n">
        <v>0.152</v>
      </c>
      <c r="L2122" t="n">
        <v>0.848</v>
      </c>
      <c r="M2122" t="n">
        <v>0</v>
      </c>
    </row>
    <row r="2123" spans="1:13">
      <c r="A2123" s="1">
        <f>HYPERLINK("http://www.twitter.com/NathanBLawrence/status/991746729488855041", "991746729488855041")</f>
        <v/>
      </c>
      <c r="B2123" s="2" t="n">
        <v>43222.77106481481</v>
      </c>
      <c r="C2123" t="n">
        <v>0</v>
      </c>
      <c r="D2123" t="n">
        <v>0</v>
      </c>
      <c r="E2123" t="s">
        <v>2117</v>
      </c>
      <c r="F2123" t="s"/>
      <c r="G2123" t="s"/>
      <c r="H2123" t="s"/>
      <c r="I2123" t="s"/>
      <c r="J2123" t="n">
        <v>0.4939</v>
      </c>
      <c r="K2123" t="n">
        <v>0</v>
      </c>
      <c r="L2123" t="n">
        <v>0.8139999999999999</v>
      </c>
      <c r="M2123" t="n">
        <v>0.186</v>
      </c>
    </row>
    <row r="2124" spans="1:13">
      <c r="A2124" s="1">
        <f>HYPERLINK("http://www.twitter.com/NathanBLawrence/status/991746400378589184", "991746400378589184")</f>
        <v/>
      </c>
      <c r="B2124" s="2" t="n">
        <v>43222.77016203704</v>
      </c>
      <c r="C2124" t="n">
        <v>2</v>
      </c>
      <c r="D2124" t="n">
        <v>1</v>
      </c>
      <c r="E2124" t="s">
        <v>2118</v>
      </c>
      <c r="F2124" t="s"/>
      <c r="G2124" t="s"/>
      <c r="H2124" t="s"/>
      <c r="I2124" t="s"/>
      <c r="J2124" t="n">
        <v>0.4588</v>
      </c>
      <c r="K2124" t="n">
        <v>0</v>
      </c>
      <c r="L2124" t="n">
        <v>0.667</v>
      </c>
      <c r="M2124" t="n">
        <v>0.333</v>
      </c>
    </row>
    <row r="2125" spans="1:13">
      <c r="A2125" s="1">
        <f>HYPERLINK("http://www.twitter.com/NathanBLawrence/status/991746055564939264", "991746055564939264")</f>
        <v/>
      </c>
      <c r="B2125" s="2" t="n">
        <v>43222.76921296296</v>
      </c>
      <c r="C2125" t="n">
        <v>0</v>
      </c>
      <c r="D2125" t="n">
        <v>0</v>
      </c>
      <c r="E2125" t="s">
        <v>2119</v>
      </c>
      <c r="F2125" t="s"/>
      <c r="G2125" t="s"/>
      <c r="H2125" t="s"/>
      <c r="I2125" t="s"/>
      <c r="J2125" t="n">
        <v>0.4588</v>
      </c>
      <c r="K2125" t="n">
        <v>0</v>
      </c>
      <c r="L2125" t="n">
        <v>0.7</v>
      </c>
      <c r="M2125" t="n">
        <v>0.3</v>
      </c>
    </row>
    <row r="2126" spans="1:13">
      <c r="A2126" s="1">
        <f>HYPERLINK("http://www.twitter.com/NathanBLawrence/status/991745764463382528", "991745764463382528")</f>
        <v/>
      </c>
      <c r="B2126" s="2" t="n">
        <v>43222.76840277778</v>
      </c>
      <c r="C2126" t="n">
        <v>0</v>
      </c>
      <c r="D2126" t="n">
        <v>1</v>
      </c>
      <c r="E2126" t="s">
        <v>2120</v>
      </c>
      <c r="F2126" t="s"/>
      <c r="G2126" t="s"/>
      <c r="H2126" t="s"/>
      <c r="I2126" t="s"/>
      <c r="J2126" t="n">
        <v>0</v>
      </c>
      <c r="K2126" t="n">
        <v>0</v>
      </c>
      <c r="L2126" t="n">
        <v>1</v>
      </c>
      <c r="M2126" t="n">
        <v>0</v>
      </c>
    </row>
    <row r="2127" spans="1:13">
      <c r="A2127" s="1">
        <f>HYPERLINK("http://www.twitter.com/NathanBLawrence/status/991745708343652354", "991745708343652354")</f>
        <v/>
      </c>
      <c r="B2127" s="2" t="n">
        <v>43222.76825231482</v>
      </c>
      <c r="C2127" t="n">
        <v>0</v>
      </c>
      <c r="D2127" t="n">
        <v>0</v>
      </c>
      <c r="E2127" t="s">
        <v>2121</v>
      </c>
      <c r="F2127" t="s"/>
      <c r="G2127" t="s"/>
      <c r="H2127" t="s"/>
      <c r="I2127" t="s"/>
      <c r="J2127" t="n">
        <v>0.5994</v>
      </c>
      <c r="K2127" t="n">
        <v>0.05</v>
      </c>
      <c r="L2127" t="n">
        <v>0.806</v>
      </c>
      <c r="M2127" t="n">
        <v>0.144</v>
      </c>
    </row>
    <row r="2128" spans="1:13">
      <c r="A2128" s="1">
        <f>HYPERLINK("http://www.twitter.com/NathanBLawrence/status/991745113607958528", "991745113607958528")</f>
        <v/>
      </c>
      <c r="B2128" s="2" t="n">
        <v>43222.76660879629</v>
      </c>
      <c r="C2128" t="n">
        <v>0</v>
      </c>
      <c r="D2128" t="n">
        <v>0</v>
      </c>
      <c r="E2128" t="s">
        <v>2122</v>
      </c>
      <c r="F2128" t="s"/>
      <c r="G2128" t="s"/>
      <c r="H2128" t="s"/>
      <c r="I2128" t="s"/>
      <c r="J2128" t="n">
        <v>0.5719</v>
      </c>
      <c r="K2128" t="n">
        <v>0</v>
      </c>
      <c r="L2128" t="n">
        <v>0.709</v>
      </c>
      <c r="M2128" t="n">
        <v>0.291</v>
      </c>
    </row>
    <row r="2129" spans="1:13">
      <c r="A2129" s="1">
        <f>HYPERLINK("http://www.twitter.com/NathanBLawrence/status/991744985354719232", "991744985354719232")</f>
        <v/>
      </c>
      <c r="B2129" s="2" t="n">
        <v>43222.76625</v>
      </c>
      <c r="C2129" t="n">
        <v>0</v>
      </c>
      <c r="D2129" t="n">
        <v>1</v>
      </c>
      <c r="E2129" t="s">
        <v>2123</v>
      </c>
      <c r="F2129" t="s"/>
      <c r="G2129" t="s"/>
      <c r="H2129" t="s"/>
      <c r="I2129" t="s"/>
      <c r="J2129" t="n">
        <v>0</v>
      </c>
      <c r="K2129" t="n">
        <v>0</v>
      </c>
      <c r="L2129" t="n">
        <v>1</v>
      </c>
      <c r="M2129" t="n">
        <v>0</v>
      </c>
    </row>
    <row r="2130" spans="1:13">
      <c r="A2130" s="1">
        <f>HYPERLINK("http://www.twitter.com/NathanBLawrence/status/991744890596937728", "991744890596937728")</f>
        <v/>
      </c>
      <c r="B2130" s="2" t="n">
        <v>43222.76599537037</v>
      </c>
      <c r="C2130" t="n">
        <v>0</v>
      </c>
      <c r="D2130" t="n">
        <v>43</v>
      </c>
      <c r="E2130" t="s">
        <v>2124</v>
      </c>
      <c r="F2130" t="s"/>
      <c r="G2130" t="s"/>
      <c r="H2130" t="s"/>
      <c r="I2130" t="s"/>
      <c r="J2130" t="n">
        <v>0</v>
      </c>
      <c r="K2130" t="n">
        <v>0</v>
      </c>
      <c r="L2130" t="n">
        <v>1</v>
      </c>
      <c r="M2130" t="n">
        <v>0</v>
      </c>
    </row>
    <row r="2131" spans="1:13">
      <c r="A2131" s="1">
        <f>HYPERLINK("http://www.twitter.com/NathanBLawrence/status/991744677434052609", "991744677434052609")</f>
        <v/>
      </c>
      <c r="B2131" s="2" t="n">
        <v>43222.76540509259</v>
      </c>
      <c r="C2131" t="n">
        <v>0</v>
      </c>
      <c r="D2131" t="n">
        <v>0</v>
      </c>
      <c r="E2131" t="s">
        <v>2125</v>
      </c>
      <c r="F2131" t="s"/>
      <c r="G2131" t="s"/>
      <c r="H2131" t="s"/>
      <c r="I2131" t="s"/>
      <c r="J2131" t="n">
        <v>0.2732</v>
      </c>
      <c r="K2131" t="n">
        <v>0</v>
      </c>
      <c r="L2131" t="n">
        <v>0.877</v>
      </c>
      <c r="M2131" t="n">
        <v>0.123</v>
      </c>
    </row>
    <row r="2132" spans="1:13">
      <c r="A2132" s="1">
        <f>HYPERLINK("http://www.twitter.com/NathanBLawrence/status/991744469941850113", "991744469941850113")</f>
        <v/>
      </c>
      <c r="B2132" s="2" t="n">
        <v>43222.76483796296</v>
      </c>
      <c r="C2132" t="n">
        <v>0</v>
      </c>
      <c r="D2132" t="n">
        <v>1</v>
      </c>
      <c r="E2132" t="s">
        <v>2126</v>
      </c>
      <c r="F2132" t="s"/>
      <c r="G2132" t="s"/>
      <c r="H2132" t="s"/>
      <c r="I2132" t="s"/>
      <c r="J2132" t="n">
        <v>0</v>
      </c>
      <c r="K2132" t="n">
        <v>0</v>
      </c>
      <c r="L2132" t="n">
        <v>1</v>
      </c>
      <c r="M2132" t="n">
        <v>0</v>
      </c>
    </row>
    <row r="2133" spans="1:13">
      <c r="A2133" s="1">
        <f>HYPERLINK("http://www.twitter.com/NathanBLawrence/status/991744360361455616", "991744360361455616")</f>
        <v/>
      </c>
      <c r="B2133" s="2" t="n">
        <v>43222.76452546296</v>
      </c>
      <c r="C2133" t="n">
        <v>0</v>
      </c>
      <c r="D2133" t="n">
        <v>0</v>
      </c>
      <c r="E2133" t="s">
        <v>2127</v>
      </c>
      <c r="F2133" t="s"/>
      <c r="G2133" t="s"/>
      <c r="H2133" t="s"/>
      <c r="I2133" t="s"/>
      <c r="J2133" t="n">
        <v>-0.2023</v>
      </c>
      <c r="K2133" t="n">
        <v>0.099</v>
      </c>
      <c r="L2133" t="n">
        <v>0.821</v>
      </c>
      <c r="M2133" t="n">
        <v>0.08</v>
      </c>
    </row>
    <row r="2134" spans="1:13">
      <c r="A2134" s="1">
        <f>HYPERLINK("http://www.twitter.com/NathanBLawrence/status/991743477695352832", "991743477695352832")</f>
        <v/>
      </c>
      <c r="B2134" s="2" t="n">
        <v>43222.7620949074</v>
      </c>
      <c r="C2134" t="n">
        <v>0</v>
      </c>
      <c r="D2134" t="n">
        <v>1</v>
      </c>
      <c r="E2134" t="s">
        <v>2128</v>
      </c>
      <c r="F2134" t="s"/>
      <c r="G2134" t="s"/>
      <c r="H2134" t="s"/>
      <c r="I2134" t="s"/>
      <c r="J2134" t="n">
        <v>0</v>
      </c>
      <c r="K2134" t="n">
        <v>0</v>
      </c>
      <c r="L2134" t="n">
        <v>1</v>
      </c>
      <c r="M2134" t="n">
        <v>0</v>
      </c>
    </row>
    <row r="2135" spans="1:13">
      <c r="A2135" s="1">
        <f>HYPERLINK("http://www.twitter.com/NathanBLawrence/status/991743346312908801", "991743346312908801")</f>
        <v/>
      </c>
      <c r="B2135" s="2" t="n">
        <v>43222.76173611111</v>
      </c>
      <c r="C2135" t="n">
        <v>0</v>
      </c>
      <c r="D2135" t="n">
        <v>1</v>
      </c>
      <c r="E2135" t="s">
        <v>2129</v>
      </c>
      <c r="F2135" t="s"/>
      <c r="G2135" t="s"/>
      <c r="H2135" t="s"/>
      <c r="I2135" t="s"/>
      <c r="J2135" t="n">
        <v>0.6758999999999999</v>
      </c>
      <c r="K2135" t="n">
        <v>0</v>
      </c>
      <c r="L2135" t="n">
        <v>0.754</v>
      </c>
      <c r="M2135" t="n">
        <v>0.246</v>
      </c>
    </row>
    <row r="2136" spans="1:13">
      <c r="A2136" s="1">
        <f>HYPERLINK("http://www.twitter.com/NathanBLawrence/status/991743321050636290", "991743321050636290")</f>
        <v/>
      </c>
      <c r="B2136" s="2" t="n">
        <v>43222.76166666667</v>
      </c>
      <c r="C2136" t="n">
        <v>2</v>
      </c>
      <c r="D2136" t="n">
        <v>2</v>
      </c>
      <c r="E2136" t="s">
        <v>2130</v>
      </c>
      <c r="F2136" t="s"/>
      <c r="G2136" t="s"/>
      <c r="H2136" t="s"/>
      <c r="I2136" t="s"/>
      <c r="J2136" t="n">
        <v>0.2732</v>
      </c>
      <c r="K2136" t="n">
        <v>0</v>
      </c>
      <c r="L2136" t="n">
        <v>0.488</v>
      </c>
      <c r="M2136" t="n">
        <v>0.512</v>
      </c>
    </row>
    <row r="2137" spans="1:13">
      <c r="A2137" s="1">
        <f>HYPERLINK("http://www.twitter.com/NathanBLawrence/status/991743240612302848", "991743240612302848")</f>
        <v/>
      </c>
      <c r="B2137" s="2" t="n">
        <v>43222.76143518519</v>
      </c>
      <c r="C2137" t="n">
        <v>0</v>
      </c>
      <c r="D2137" t="n">
        <v>49</v>
      </c>
      <c r="E2137" t="s">
        <v>2131</v>
      </c>
      <c r="F2137" t="s"/>
      <c r="G2137" t="s"/>
      <c r="H2137" t="s"/>
      <c r="I2137" t="s"/>
      <c r="J2137" t="n">
        <v>0</v>
      </c>
      <c r="K2137" t="n">
        <v>0</v>
      </c>
      <c r="L2137" t="n">
        <v>1</v>
      </c>
      <c r="M2137" t="n">
        <v>0</v>
      </c>
    </row>
    <row r="2138" spans="1:13">
      <c r="A2138" s="1">
        <f>HYPERLINK("http://www.twitter.com/NathanBLawrence/status/991742520492216321", "991742520492216321")</f>
        <v/>
      </c>
      <c r="B2138" s="2" t="n">
        <v>43222.75945601852</v>
      </c>
      <c r="C2138" t="n">
        <v>0</v>
      </c>
      <c r="D2138" t="n">
        <v>0</v>
      </c>
      <c r="E2138" t="s">
        <v>2132</v>
      </c>
      <c r="F2138" t="s"/>
      <c r="G2138" t="s"/>
      <c r="H2138" t="s"/>
      <c r="I2138" t="s"/>
      <c r="J2138" t="n">
        <v>0.8270999999999999</v>
      </c>
      <c r="K2138" t="n">
        <v>0</v>
      </c>
      <c r="L2138" t="n">
        <v>0.791</v>
      </c>
      <c r="M2138" t="n">
        <v>0.209</v>
      </c>
    </row>
    <row r="2139" spans="1:13">
      <c r="A2139" s="1">
        <f>HYPERLINK("http://www.twitter.com/NathanBLawrence/status/991741448629473280", "991741448629473280")</f>
        <v/>
      </c>
      <c r="B2139" s="2" t="n">
        <v>43222.75649305555</v>
      </c>
      <c r="C2139" t="n">
        <v>0</v>
      </c>
      <c r="D2139" t="n">
        <v>0</v>
      </c>
      <c r="E2139" t="s">
        <v>2133</v>
      </c>
      <c r="F2139" t="s"/>
      <c r="G2139" t="s"/>
      <c r="H2139" t="s"/>
      <c r="I2139" t="s"/>
      <c r="J2139" t="n">
        <v>0.8966</v>
      </c>
      <c r="K2139" t="n">
        <v>0</v>
      </c>
      <c r="L2139" t="n">
        <v>0.726</v>
      </c>
      <c r="M2139" t="n">
        <v>0.274</v>
      </c>
    </row>
    <row r="2140" spans="1:13">
      <c r="A2140" s="1">
        <f>HYPERLINK("http://www.twitter.com/NathanBLawrence/status/991738378872901632", "991738378872901632")</f>
        <v/>
      </c>
      <c r="B2140" s="2" t="n">
        <v>43222.74802083334</v>
      </c>
      <c r="C2140" t="n">
        <v>1</v>
      </c>
      <c r="D2140" t="n">
        <v>0</v>
      </c>
      <c r="E2140" t="s">
        <v>2134</v>
      </c>
      <c r="F2140" t="s"/>
      <c r="G2140" t="s"/>
      <c r="H2140" t="s"/>
      <c r="I2140" t="s"/>
      <c r="J2140" t="n">
        <v>0</v>
      </c>
      <c r="K2140" t="n">
        <v>0</v>
      </c>
      <c r="L2140" t="n">
        <v>1</v>
      </c>
      <c r="M2140" t="n">
        <v>0</v>
      </c>
    </row>
    <row r="2141" spans="1:13">
      <c r="A2141" s="1">
        <f>HYPERLINK("http://www.twitter.com/NathanBLawrence/status/991738125931175936", "991738125931175936")</f>
        <v/>
      </c>
      <c r="B2141" s="2" t="n">
        <v>43222.74732638889</v>
      </c>
      <c r="C2141" t="n">
        <v>4</v>
      </c>
      <c r="D2141" t="n">
        <v>2</v>
      </c>
      <c r="E2141" t="s">
        <v>2135</v>
      </c>
      <c r="F2141" t="s"/>
      <c r="G2141" t="s"/>
      <c r="H2141" t="s"/>
      <c r="I2141" t="s"/>
      <c r="J2141" t="n">
        <v>-0.0258</v>
      </c>
      <c r="K2141" t="n">
        <v>0.08400000000000001</v>
      </c>
      <c r="L2141" t="n">
        <v>0.916</v>
      </c>
      <c r="M2141" t="n">
        <v>0</v>
      </c>
    </row>
    <row r="2142" spans="1:13">
      <c r="A2142" s="1">
        <f>HYPERLINK("http://www.twitter.com/NathanBLawrence/status/991738051486453766", "991738051486453766")</f>
        <v/>
      </c>
      <c r="B2142" s="2" t="n">
        <v>43222.74711805556</v>
      </c>
      <c r="C2142" t="n">
        <v>0</v>
      </c>
      <c r="D2142" t="n">
        <v>15</v>
      </c>
      <c r="E2142" t="s">
        <v>2136</v>
      </c>
      <c r="F2142" t="s"/>
      <c r="G2142" t="s"/>
      <c r="H2142" t="s"/>
      <c r="I2142" t="s"/>
      <c r="J2142" t="n">
        <v>0</v>
      </c>
      <c r="K2142" t="n">
        <v>0</v>
      </c>
      <c r="L2142" t="n">
        <v>1</v>
      </c>
      <c r="M2142" t="n">
        <v>0</v>
      </c>
    </row>
    <row r="2143" spans="1:13">
      <c r="A2143" s="1">
        <f>HYPERLINK("http://www.twitter.com/NathanBLawrence/status/991737945517420544", "991737945517420544")</f>
        <v/>
      </c>
      <c r="B2143" s="2" t="n">
        <v>43222.7468287037</v>
      </c>
      <c r="C2143" t="n">
        <v>0</v>
      </c>
      <c r="D2143" t="n">
        <v>0</v>
      </c>
      <c r="E2143" t="s">
        <v>2137</v>
      </c>
      <c r="F2143">
        <f>HYPERLINK("http://pbs.twimg.com/media/DcNcZrBV4AA5mXS.jpg", "http://pbs.twimg.com/media/DcNcZrBV4AA5mXS.jpg")</f>
        <v/>
      </c>
      <c r="G2143" t="s"/>
      <c r="H2143" t="s"/>
      <c r="I2143" t="s"/>
      <c r="J2143" t="n">
        <v>0</v>
      </c>
      <c r="K2143" t="n">
        <v>0</v>
      </c>
      <c r="L2143" t="n">
        <v>1</v>
      </c>
      <c r="M2143" t="n">
        <v>0</v>
      </c>
    </row>
    <row r="2144" spans="1:13">
      <c r="A2144" s="1">
        <f>HYPERLINK("http://www.twitter.com/NathanBLawrence/status/991737662552838146", "991737662552838146")</f>
        <v/>
      </c>
      <c r="B2144" s="2" t="n">
        <v>43222.74605324074</v>
      </c>
      <c r="C2144" t="n">
        <v>0</v>
      </c>
      <c r="D2144" t="n">
        <v>49</v>
      </c>
      <c r="E2144" t="s">
        <v>2138</v>
      </c>
      <c r="F2144" t="s"/>
      <c r="G2144" t="s"/>
      <c r="H2144" t="s"/>
      <c r="I2144" t="s"/>
      <c r="J2144" t="n">
        <v>0.8622</v>
      </c>
      <c r="K2144" t="n">
        <v>0</v>
      </c>
      <c r="L2144" t="n">
        <v>0.538</v>
      </c>
      <c r="M2144" t="n">
        <v>0.462</v>
      </c>
    </row>
    <row r="2145" spans="1:13">
      <c r="A2145" s="1">
        <f>HYPERLINK("http://www.twitter.com/NathanBLawrence/status/991737635868725249", "991737635868725249")</f>
        <v/>
      </c>
      <c r="B2145" s="2" t="n">
        <v>43222.74597222222</v>
      </c>
      <c r="C2145" t="n">
        <v>0</v>
      </c>
      <c r="D2145" t="n">
        <v>2426</v>
      </c>
      <c r="E2145" t="s">
        <v>2139</v>
      </c>
      <c r="F2145">
        <f>HYPERLINK("http://pbs.twimg.com/media/DcNbhOTUwAAbcIV.jpg", "http://pbs.twimg.com/media/DcNbhOTUwAAbcIV.jpg")</f>
        <v/>
      </c>
      <c r="G2145" t="s"/>
      <c r="H2145" t="s"/>
      <c r="I2145" t="s"/>
      <c r="J2145" t="n">
        <v>0</v>
      </c>
      <c r="K2145" t="n">
        <v>0</v>
      </c>
      <c r="L2145" t="n">
        <v>1</v>
      </c>
      <c r="M2145" t="n">
        <v>0</v>
      </c>
    </row>
    <row r="2146" spans="1:13">
      <c r="A2146" s="1">
        <f>HYPERLINK("http://www.twitter.com/NathanBLawrence/status/991737587076423681", "991737587076423681")</f>
        <v/>
      </c>
      <c r="B2146" s="2" t="n">
        <v>43222.7458449074</v>
      </c>
      <c r="C2146" t="n">
        <v>0</v>
      </c>
      <c r="D2146" t="n">
        <v>0</v>
      </c>
      <c r="E2146" t="s">
        <v>2140</v>
      </c>
      <c r="F2146" t="s"/>
      <c r="G2146" t="s"/>
      <c r="H2146" t="s"/>
      <c r="I2146" t="s"/>
      <c r="J2146" t="n">
        <v>0.0772</v>
      </c>
      <c r="K2146" t="n">
        <v>0</v>
      </c>
      <c r="L2146" t="n">
        <v>0.902</v>
      </c>
      <c r="M2146" t="n">
        <v>0.098</v>
      </c>
    </row>
    <row r="2147" spans="1:13">
      <c r="A2147" s="1">
        <f>HYPERLINK("http://www.twitter.com/NathanBLawrence/status/991737373833785344", "991737373833785344")</f>
        <v/>
      </c>
      <c r="B2147" s="2" t="n">
        <v>43222.74525462963</v>
      </c>
      <c r="C2147" t="n">
        <v>1</v>
      </c>
      <c r="D2147" t="n">
        <v>1</v>
      </c>
      <c r="E2147" t="s">
        <v>2141</v>
      </c>
      <c r="F2147" t="s"/>
      <c r="G2147" t="s"/>
      <c r="H2147" t="s"/>
      <c r="I2147" t="s"/>
      <c r="J2147" t="n">
        <v>0.2732</v>
      </c>
      <c r="K2147" t="n">
        <v>0</v>
      </c>
      <c r="L2147" t="n">
        <v>0.826</v>
      </c>
      <c r="M2147" t="n">
        <v>0.174</v>
      </c>
    </row>
    <row r="2148" spans="1:13">
      <c r="A2148" s="1">
        <f>HYPERLINK("http://www.twitter.com/NathanBLawrence/status/991736975743967234", "991736975743967234")</f>
        <v/>
      </c>
      <c r="B2148" s="2" t="n">
        <v>43222.74415509259</v>
      </c>
      <c r="C2148" t="n">
        <v>0</v>
      </c>
      <c r="D2148" t="n">
        <v>6</v>
      </c>
      <c r="E2148" t="s">
        <v>2142</v>
      </c>
      <c r="F2148" t="s"/>
      <c r="G2148" t="s"/>
      <c r="H2148" t="s"/>
      <c r="I2148" t="s"/>
      <c r="J2148" t="n">
        <v>0.5106000000000001</v>
      </c>
      <c r="K2148" t="n">
        <v>0</v>
      </c>
      <c r="L2148" t="n">
        <v>0.858</v>
      </c>
      <c r="M2148" t="n">
        <v>0.142</v>
      </c>
    </row>
    <row r="2149" spans="1:13">
      <c r="A2149" s="1">
        <f>HYPERLINK("http://www.twitter.com/NathanBLawrence/status/991736863441473536", "991736863441473536")</f>
        <v/>
      </c>
      <c r="B2149" s="2" t="n">
        <v>43222.74384259259</v>
      </c>
      <c r="C2149" t="n">
        <v>169</v>
      </c>
      <c r="D2149" t="n">
        <v>103</v>
      </c>
      <c r="E2149" t="s">
        <v>2143</v>
      </c>
      <c r="F2149" t="s"/>
      <c r="G2149" t="s"/>
      <c r="H2149" t="s"/>
      <c r="I2149" t="s"/>
      <c r="J2149" t="n">
        <v>0.2235</v>
      </c>
      <c r="K2149" t="n">
        <v>0</v>
      </c>
      <c r="L2149" t="n">
        <v>0.9320000000000001</v>
      </c>
      <c r="M2149" t="n">
        <v>0.068</v>
      </c>
    </row>
    <row r="2150" spans="1:13">
      <c r="A2150" s="1">
        <f>HYPERLINK("http://www.twitter.com/NathanBLawrence/status/991736038354800641", "991736038354800641")</f>
        <v/>
      </c>
      <c r="B2150" s="2" t="n">
        <v>43222.7415625</v>
      </c>
      <c r="C2150" t="n">
        <v>0</v>
      </c>
      <c r="D2150" t="n">
        <v>17</v>
      </c>
      <c r="E2150" t="s">
        <v>2144</v>
      </c>
      <c r="F2150" t="s"/>
      <c r="G2150" t="s"/>
      <c r="H2150" t="s"/>
      <c r="I2150" t="s"/>
      <c r="J2150" t="n">
        <v>-0.3476</v>
      </c>
      <c r="K2150" t="n">
        <v>0.173</v>
      </c>
      <c r="L2150" t="n">
        <v>0.729</v>
      </c>
      <c r="M2150" t="n">
        <v>0.098</v>
      </c>
    </row>
    <row r="2151" spans="1:13">
      <c r="A2151" s="1">
        <f>HYPERLINK("http://www.twitter.com/NathanBLawrence/status/991735993299619841", "991735993299619841")</f>
        <v/>
      </c>
      <c r="B2151" s="2" t="n">
        <v>43222.74144675926</v>
      </c>
      <c r="C2151" t="n">
        <v>0</v>
      </c>
      <c r="D2151" t="n">
        <v>0</v>
      </c>
      <c r="E2151" t="s">
        <v>2145</v>
      </c>
      <c r="F2151" t="s"/>
      <c r="G2151" t="s"/>
      <c r="H2151" t="s"/>
      <c r="I2151" t="s"/>
      <c r="J2151" t="n">
        <v>-0.8481</v>
      </c>
      <c r="K2151" t="n">
        <v>0.804</v>
      </c>
      <c r="L2151" t="n">
        <v>0.196</v>
      </c>
      <c r="M2151" t="n">
        <v>0</v>
      </c>
    </row>
    <row r="2152" spans="1:13">
      <c r="A2152" s="1">
        <f>HYPERLINK("http://www.twitter.com/NathanBLawrence/status/991735718857924608", "991735718857924608")</f>
        <v/>
      </c>
      <c r="B2152" s="2" t="n">
        <v>43222.74068287037</v>
      </c>
      <c r="C2152" t="n">
        <v>0</v>
      </c>
      <c r="D2152" t="n">
        <v>2</v>
      </c>
      <c r="E2152" t="s">
        <v>2146</v>
      </c>
      <c r="F2152" t="s"/>
      <c r="G2152" t="s"/>
      <c r="H2152" t="s"/>
      <c r="I2152" t="s"/>
      <c r="J2152" t="n">
        <v>0</v>
      </c>
      <c r="K2152" t="n">
        <v>0</v>
      </c>
      <c r="L2152" t="n">
        <v>1</v>
      </c>
      <c r="M2152" t="n">
        <v>0</v>
      </c>
    </row>
    <row r="2153" spans="1:13">
      <c r="A2153" s="1">
        <f>HYPERLINK("http://www.twitter.com/NathanBLawrence/status/991735539782086657", "991735539782086657")</f>
        <v/>
      </c>
      <c r="B2153" s="2" t="n">
        <v>43222.74018518518</v>
      </c>
      <c r="C2153" t="n">
        <v>1</v>
      </c>
      <c r="D2153" t="n">
        <v>0</v>
      </c>
      <c r="E2153" t="s">
        <v>2147</v>
      </c>
      <c r="F2153" t="s"/>
      <c r="G2153" t="s"/>
      <c r="H2153" t="s"/>
      <c r="I2153" t="s"/>
      <c r="J2153" t="n">
        <v>0.4588</v>
      </c>
      <c r="K2153" t="n">
        <v>0</v>
      </c>
      <c r="L2153" t="n">
        <v>0.25</v>
      </c>
      <c r="M2153" t="n">
        <v>0.75</v>
      </c>
    </row>
    <row r="2154" spans="1:13">
      <c r="A2154" s="1">
        <f>HYPERLINK("http://www.twitter.com/NathanBLawrence/status/991735245438365701", "991735245438365701")</f>
        <v/>
      </c>
      <c r="B2154" s="2" t="n">
        <v>43222.739375</v>
      </c>
      <c r="C2154" t="n">
        <v>0</v>
      </c>
      <c r="D2154" t="n">
        <v>4496</v>
      </c>
      <c r="E2154" t="s">
        <v>2148</v>
      </c>
      <c r="F2154" t="s"/>
      <c r="G2154" t="s"/>
      <c r="H2154" t="s"/>
      <c r="I2154" t="s"/>
      <c r="J2154" t="n">
        <v>0.0516</v>
      </c>
      <c r="K2154" t="n">
        <v>0.08599999999999999</v>
      </c>
      <c r="L2154" t="n">
        <v>0.781</v>
      </c>
      <c r="M2154" t="n">
        <v>0.133</v>
      </c>
    </row>
    <row r="2155" spans="1:13">
      <c r="A2155" s="1">
        <f>HYPERLINK("http://www.twitter.com/NathanBLawrence/status/991735133878345729", "991735133878345729")</f>
        <v/>
      </c>
      <c r="B2155" s="2" t="n">
        <v>43222.73907407407</v>
      </c>
      <c r="C2155" t="n">
        <v>4</v>
      </c>
      <c r="D2155" t="n">
        <v>0</v>
      </c>
      <c r="E2155" t="s">
        <v>2149</v>
      </c>
      <c r="F2155" t="s"/>
      <c r="G2155" t="s"/>
      <c r="H2155" t="s"/>
      <c r="I2155" t="s"/>
      <c r="J2155" t="n">
        <v>0.1531</v>
      </c>
      <c r="K2155" t="n">
        <v>0</v>
      </c>
      <c r="L2155" t="n">
        <v>0.758</v>
      </c>
      <c r="M2155" t="n">
        <v>0.242</v>
      </c>
    </row>
    <row r="2156" spans="1:13">
      <c r="A2156" s="1">
        <f>HYPERLINK("http://www.twitter.com/NathanBLawrence/status/991734669342330881", "991734669342330881")</f>
        <v/>
      </c>
      <c r="B2156" s="2" t="n">
        <v>43222.73778935185</v>
      </c>
      <c r="C2156" t="n">
        <v>0</v>
      </c>
      <c r="D2156" t="n">
        <v>45</v>
      </c>
      <c r="E2156" t="s">
        <v>2150</v>
      </c>
      <c r="F2156" t="s"/>
      <c r="G2156" t="s"/>
      <c r="H2156" t="s"/>
      <c r="I2156" t="s"/>
      <c r="J2156" t="n">
        <v>0</v>
      </c>
      <c r="K2156" t="n">
        <v>0</v>
      </c>
      <c r="L2156" t="n">
        <v>1</v>
      </c>
      <c r="M2156" t="n">
        <v>0</v>
      </c>
    </row>
    <row r="2157" spans="1:13">
      <c r="A2157" s="1">
        <f>HYPERLINK("http://www.twitter.com/NathanBLawrence/status/991734630184300547", "991734630184300547")</f>
        <v/>
      </c>
      <c r="B2157" s="2" t="n">
        <v>43222.73768518519</v>
      </c>
      <c r="C2157" t="n">
        <v>0</v>
      </c>
      <c r="D2157" t="n">
        <v>8</v>
      </c>
      <c r="E2157" t="s">
        <v>2151</v>
      </c>
      <c r="F2157">
        <f>HYPERLINK("http://pbs.twimg.com/media/DcHOvGvXcAAWZ-_.jpg", "http://pbs.twimg.com/media/DcHOvGvXcAAWZ-_.jpg")</f>
        <v/>
      </c>
      <c r="G2157" t="s"/>
      <c r="H2157" t="s"/>
      <c r="I2157" t="s"/>
      <c r="J2157" t="n">
        <v>0.6597</v>
      </c>
      <c r="K2157" t="n">
        <v>0</v>
      </c>
      <c r="L2157" t="n">
        <v>0.8100000000000001</v>
      </c>
      <c r="M2157" t="n">
        <v>0.19</v>
      </c>
    </row>
    <row r="2158" spans="1:13">
      <c r="A2158" s="1">
        <f>HYPERLINK("http://www.twitter.com/NathanBLawrence/status/991734513951760386", "991734513951760386")</f>
        <v/>
      </c>
      <c r="B2158" s="2" t="n">
        <v>43222.73736111111</v>
      </c>
      <c r="C2158" t="n">
        <v>0</v>
      </c>
      <c r="D2158" t="n">
        <v>0</v>
      </c>
      <c r="E2158" t="s">
        <v>2152</v>
      </c>
      <c r="F2158" t="s"/>
      <c r="G2158" t="s"/>
      <c r="H2158" t="s"/>
      <c r="I2158" t="s"/>
      <c r="J2158" t="n">
        <v>0.2235</v>
      </c>
      <c r="K2158" t="n">
        <v>0</v>
      </c>
      <c r="L2158" t="n">
        <v>0.761</v>
      </c>
      <c r="M2158" t="n">
        <v>0.239</v>
      </c>
    </row>
    <row r="2159" spans="1:13">
      <c r="A2159" s="1">
        <f>HYPERLINK("http://www.twitter.com/NathanBLawrence/status/991734396167258112", "991734396167258112")</f>
        <v/>
      </c>
      <c r="B2159" s="2" t="n">
        <v>43222.73703703703</v>
      </c>
      <c r="C2159" t="n">
        <v>0</v>
      </c>
      <c r="D2159" t="n">
        <v>5</v>
      </c>
      <c r="E2159" t="s">
        <v>2153</v>
      </c>
      <c r="F2159" t="s"/>
      <c r="G2159" t="s"/>
      <c r="H2159" t="s"/>
      <c r="I2159" t="s"/>
      <c r="J2159" t="n">
        <v>0.4939</v>
      </c>
      <c r="K2159" t="n">
        <v>0</v>
      </c>
      <c r="L2159" t="n">
        <v>0.6860000000000001</v>
      </c>
      <c r="M2159" t="n">
        <v>0.314</v>
      </c>
    </row>
    <row r="2160" spans="1:13">
      <c r="A2160" s="1">
        <f>HYPERLINK("http://www.twitter.com/NathanBLawrence/status/991734356908630016", "991734356908630016")</f>
        <v/>
      </c>
      <c r="B2160" s="2" t="n">
        <v>43222.73692129629</v>
      </c>
      <c r="C2160" t="n">
        <v>0</v>
      </c>
      <c r="D2160" t="n">
        <v>12</v>
      </c>
      <c r="E2160" t="s">
        <v>2154</v>
      </c>
      <c r="F2160" t="s"/>
      <c r="G2160" t="s"/>
      <c r="H2160" t="s"/>
      <c r="I2160" t="s"/>
      <c r="J2160" t="n">
        <v>0.4404</v>
      </c>
      <c r="K2160" t="n">
        <v>0.049</v>
      </c>
      <c r="L2160" t="n">
        <v>0.782</v>
      </c>
      <c r="M2160" t="n">
        <v>0.169</v>
      </c>
    </row>
    <row r="2161" spans="1:13">
      <c r="A2161" s="1">
        <f>HYPERLINK("http://www.twitter.com/NathanBLawrence/status/991733932579262465", "991733932579262465")</f>
        <v/>
      </c>
      <c r="B2161" s="2" t="n">
        <v>43222.73575231482</v>
      </c>
      <c r="C2161" t="n">
        <v>0</v>
      </c>
      <c r="D2161" t="n">
        <v>856</v>
      </c>
      <c r="E2161" t="s">
        <v>2155</v>
      </c>
      <c r="F2161" t="s"/>
      <c r="G2161" t="s"/>
      <c r="H2161" t="s"/>
      <c r="I2161" t="s"/>
      <c r="J2161" t="n">
        <v>-0.296</v>
      </c>
      <c r="K2161" t="n">
        <v>0.138</v>
      </c>
      <c r="L2161" t="n">
        <v>0.731</v>
      </c>
      <c r="M2161" t="n">
        <v>0.131</v>
      </c>
    </row>
    <row r="2162" spans="1:13">
      <c r="A2162" s="1">
        <f>HYPERLINK("http://www.twitter.com/NathanBLawrence/status/991733903412154369", "991733903412154369")</f>
        <v/>
      </c>
      <c r="B2162" s="2" t="n">
        <v>43222.73567129629</v>
      </c>
      <c r="C2162" t="n">
        <v>0</v>
      </c>
      <c r="D2162" t="n">
        <v>1716</v>
      </c>
      <c r="E2162" t="s">
        <v>2156</v>
      </c>
      <c r="F2162" t="s"/>
      <c r="G2162" t="s"/>
      <c r="H2162" t="s"/>
      <c r="I2162" t="s"/>
      <c r="J2162" t="n">
        <v>-0.8668</v>
      </c>
      <c r="K2162" t="n">
        <v>0.327</v>
      </c>
      <c r="L2162" t="n">
        <v>0.673</v>
      </c>
      <c r="M2162" t="n">
        <v>0</v>
      </c>
    </row>
    <row r="2163" spans="1:13">
      <c r="A2163" s="1">
        <f>HYPERLINK("http://www.twitter.com/NathanBLawrence/status/991733845258129409", "991733845258129409")</f>
        <v/>
      </c>
      <c r="B2163" s="2" t="n">
        <v>43222.73550925926</v>
      </c>
      <c r="C2163" t="n">
        <v>0</v>
      </c>
      <c r="D2163" t="n">
        <v>304</v>
      </c>
      <c r="E2163" t="s">
        <v>2157</v>
      </c>
      <c r="F2163" t="s"/>
      <c r="G2163" t="s"/>
      <c r="H2163" t="s"/>
      <c r="I2163" t="s"/>
      <c r="J2163" t="n">
        <v>0</v>
      </c>
      <c r="K2163" t="n">
        <v>0</v>
      </c>
      <c r="L2163" t="n">
        <v>1</v>
      </c>
      <c r="M2163" t="n">
        <v>0</v>
      </c>
    </row>
    <row r="2164" spans="1:13">
      <c r="A2164" s="1">
        <f>HYPERLINK("http://www.twitter.com/NathanBLawrence/status/991733809728061440", "991733809728061440")</f>
        <v/>
      </c>
      <c r="B2164" s="2" t="n">
        <v>43222.73541666667</v>
      </c>
      <c r="C2164" t="n">
        <v>0</v>
      </c>
      <c r="D2164" t="n">
        <v>1</v>
      </c>
      <c r="E2164" t="s">
        <v>2158</v>
      </c>
      <c r="F2164" t="s"/>
      <c r="G2164" t="s"/>
      <c r="H2164" t="s"/>
      <c r="I2164" t="s"/>
      <c r="J2164" t="n">
        <v>-0.5574</v>
      </c>
      <c r="K2164" t="n">
        <v>0.221</v>
      </c>
      <c r="L2164" t="n">
        <v>0.6879999999999999</v>
      </c>
      <c r="M2164" t="n">
        <v>0.091</v>
      </c>
    </row>
    <row r="2165" spans="1:13">
      <c r="A2165" s="1">
        <f>HYPERLINK("http://www.twitter.com/NathanBLawrence/status/991733549618352128", "991733549618352128")</f>
        <v/>
      </c>
      <c r="B2165" s="2" t="n">
        <v>43222.73469907408</v>
      </c>
      <c r="C2165" t="n">
        <v>2</v>
      </c>
      <c r="D2165" t="n">
        <v>0</v>
      </c>
      <c r="E2165" t="s">
        <v>2159</v>
      </c>
      <c r="F2165" t="s"/>
      <c r="G2165" t="s"/>
      <c r="H2165" t="s"/>
      <c r="I2165" t="s"/>
      <c r="J2165" t="n">
        <v>0.3182</v>
      </c>
      <c r="K2165" t="n">
        <v>0</v>
      </c>
      <c r="L2165" t="n">
        <v>0.962</v>
      </c>
      <c r="M2165" t="n">
        <v>0.038</v>
      </c>
    </row>
    <row r="2166" spans="1:13">
      <c r="A2166" s="1">
        <f>HYPERLINK("http://www.twitter.com/NathanBLawrence/status/991733199641415681", "991733199641415681")</f>
        <v/>
      </c>
      <c r="B2166" s="2" t="n">
        <v>43222.73372685185</v>
      </c>
      <c r="C2166" t="n">
        <v>0</v>
      </c>
      <c r="D2166" t="n">
        <v>4</v>
      </c>
      <c r="E2166" t="s">
        <v>2160</v>
      </c>
      <c r="F2166" t="s"/>
      <c r="G2166" t="s"/>
      <c r="H2166" t="s"/>
      <c r="I2166" t="s"/>
      <c r="J2166" t="n">
        <v>0.296</v>
      </c>
      <c r="K2166" t="n">
        <v>0.073</v>
      </c>
      <c r="L2166" t="n">
        <v>0.787</v>
      </c>
      <c r="M2166" t="n">
        <v>0.14</v>
      </c>
    </row>
    <row r="2167" spans="1:13">
      <c r="A2167" s="1">
        <f>HYPERLINK("http://www.twitter.com/NathanBLawrence/status/991733160307195904", "991733160307195904")</f>
        <v/>
      </c>
      <c r="B2167" s="2" t="n">
        <v>43222.73362268518</v>
      </c>
      <c r="C2167" t="n">
        <v>0</v>
      </c>
      <c r="D2167" t="n">
        <v>0</v>
      </c>
      <c r="E2167" t="s">
        <v>2161</v>
      </c>
      <c r="F2167" t="s"/>
      <c r="G2167" t="s"/>
      <c r="H2167" t="s"/>
      <c r="I2167" t="s"/>
      <c r="J2167" t="n">
        <v>0</v>
      </c>
      <c r="K2167" t="n">
        <v>0</v>
      </c>
      <c r="L2167" t="n">
        <v>1</v>
      </c>
      <c r="M2167" t="n">
        <v>0</v>
      </c>
    </row>
    <row r="2168" spans="1:13">
      <c r="A2168" s="1">
        <f>HYPERLINK("http://www.twitter.com/NathanBLawrence/status/991733007286497281", "991733007286497281")</f>
        <v/>
      </c>
      <c r="B2168" s="2" t="n">
        <v>43222.73320601852</v>
      </c>
      <c r="C2168" t="n">
        <v>0</v>
      </c>
      <c r="D2168" t="n">
        <v>2</v>
      </c>
      <c r="E2168" t="s">
        <v>2162</v>
      </c>
      <c r="F2168" t="s"/>
      <c r="G2168" t="s"/>
      <c r="H2168" t="s"/>
      <c r="I2168" t="s"/>
      <c r="J2168" t="n">
        <v>0</v>
      </c>
      <c r="K2168" t="n">
        <v>0</v>
      </c>
      <c r="L2168" t="n">
        <v>1</v>
      </c>
      <c r="M2168" t="n">
        <v>0</v>
      </c>
    </row>
    <row r="2169" spans="1:13">
      <c r="A2169" s="1">
        <f>HYPERLINK("http://www.twitter.com/NathanBLawrence/status/991732734941900801", "991732734941900801")</f>
        <v/>
      </c>
      <c r="B2169" s="2" t="n">
        <v>43222.73245370371</v>
      </c>
      <c r="C2169" t="n">
        <v>0</v>
      </c>
      <c r="D2169" t="n">
        <v>2</v>
      </c>
      <c r="E2169" t="s">
        <v>2163</v>
      </c>
      <c r="F2169" t="s"/>
      <c r="G2169" t="s"/>
      <c r="H2169" t="s"/>
      <c r="I2169" t="s"/>
      <c r="J2169" t="n">
        <v>0</v>
      </c>
      <c r="K2169" t="n">
        <v>0</v>
      </c>
      <c r="L2169" t="n">
        <v>1</v>
      </c>
      <c r="M2169" t="n">
        <v>0</v>
      </c>
    </row>
    <row r="2170" spans="1:13">
      <c r="A2170" s="1">
        <f>HYPERLINK("http://www.twitter.com/NathanBLawrence/status/991732419152752640", "991732419152752640")</f>
        <v/>
      </c>
      <c r="B2170" s="2" t="n">
        <v>43222.73157407407</v>
      </c>
      <c r="C2170" t="n">
        <v>0</v>
      </c>
      <c r="D2170" t="n">
        <v>2</v>
      </c>
      <c r="E2170" t="s">
        <v>2164</v>
      </c>
      <c r="F2170" t="s"/>
      <c r="G2170" t="s"/>
      <c r="H2170" t="s"/>
      <c r="I2170" t="s"/>
      <c r="J2170" t="n">
        <v>0</v>
      </c>
      <c r="K2170" t="n">
        <v>0</v>
      </c>
      <c r="L2170" t="n">
        <v>1</v>
      </c>
      <c r="M2170" t="n">
        <v>0</v>
      </c>
    </row>
    <row r="2171" spans="1:13">
      <c r="A2171" s="1">
        <f>HYPERLINK("http://www.twitter.com/NathanBLawrence/status/991731500012965888", "991731500012965888")</f>
        <v/>
      </c>
      <c r="B2171" s="2" t="n">
        <v>43222.72903935185</v>
      </c>
      <c r="C2171" t="n">
        <v>6</v>
      </c>
      <c r="D2171" t="n">
        <v>5</v>
      </c>
      <c r="E2171" t="s">
        <v>2165</v>
      </c>
      <c r="F2171" t="s"/>
      <c r="G2171" t="s"/>
      <c r="H2171" t="s"/>
      <c r="I2171" t="s"/>
      <c r="J2171" t="n">
        <v>0</v>
      </c>
      <c r="K2171" t="n">
        <v>0</v>
      </c>
      <c r="L2171" t="n">
        <v>1</v>
      </c>
      <c r="M2171" t="n">
        <v>0</v>
      </c>
    </row>
    <row r="2172" spans="1:13">
      <c r="A2172" s="1">
        <f>HYPERLINK("http://www.twitter.com/NathanBLawrence/status/991730150101471234", "991730150101471234")</f>
        <v/>
      </c>
      <c r="B2172" s="2" t="n">
        <v>43222.7253125</v>
      </c>
      <c r="C2172" t="n">
        <v>1</v>
      </c>
      <c r="D2172" t="n">
        <v>0</v>
      </c>
      <c r="E2172" t="s">
        <v>2166</v>
      </c>
      <c r="F2172" t="s"/>
      <c r="G2172" t="s"/>
      <c r="H2172" t="s"/>
      <c r="I2172" t="s"/>
      <c r="J2172" t="n">
        <v>0.4404</v>
      </c>
      <c r="K2172" t="n">
        <v>0</v>
      </c>
      <c r="L2172" t="n">
        <v>0.707</v>
      </c>
      <c r="M2172" t="n">
        <v>0.293</v>
      </c>
    </row>
    <row r="2173" spans="1:13">
      <c r="A2173" s="1">
        <f>HYPERLINK("http://www.twitter.com/NathanBLawrence/status/991729894106288130", "991729894106288130")</f>
        <v/>
      </c>
      <c r="B2173" s="2" t="n">
        <v>43222.72460648148</v>
      </c>
      <c r="C2173" t="n">
        <v>0</v>
      </c>
      <c r="D2173" t="n">
        <v>1053</v>
      </c>
      <c r="E2173" t="s">
        <v>405</v>
      </c>
      <c r="F2173">
        <f>HYPERLINK("https://video.twimg.com/ext_tw_video/948993496337170432/pu/vid/1280x720/hO5MUMfmehHoIH5k.mp4", "https://video.twimg.com/ext_tw_video/948993496337170432/pu/vid/1280x720/hO5MUMfmehHoIH5k.mp4")</f>
        <v/>
      </c>
      <c r="G2173" t="s"/>
      <c r="H2173" t="s"/>
      <c r="I2173" t="s"/>
      <c r="J2173" t="n">
        <v>0</v>
      </c>
      <c r="K2173" t="n">
        <v>0</v>
      </c>
      <c r="L2173" t="n">
        <v>1</v>
      </c>
      <c r="M2173" t="n">
        <v>0</v>
      </c>
    </row>
    <row r="2174" spans="1:13">
      <c r="A2174" s="1">
        <f>HYPERLINK("http://www.twitter.com/NathanBLawrence/status/991729799969337344", "991729799969337344")</f>
        <v/>
      </c>
      <c r="B2174" s="2" t="n">
        <v>43222.72435185185</v>
      </c>
      <c r="C2174" t="n">
        <v>0</v>
      </c>
      <c r="D2174" t="n">
        <v>0</v>
      </c>
      <c r="E2174" t="s">
        <v>2167</v>
      </c>
      <c r="F2174" t="s"/>
      <c r="G2174" t="s"/>
      <c r="H2174" t="s"/>
      <c r="I2174" t="s"/>
      <c r="J2174" t="n">
        <v>0.3182</v>
      </c>
      <c r="K2174" t="n">
        <v>0</v>
      </c>
      <c r="L2174" t="n">
        <v>0.958</v>
      </c>
      <c r="M2174" t="n">
        <v>0.042</v>
      </c>
    </row>
    <row r="2175" spans="1:13">
      <c r="A2175" s="1">
        <f>HYPERLINK("http://www.twitter.com/NathanBLawrence/status/991728128031633408", "991728128031633408")</f>
        <v/>
      </c>
      <c r="B2175" s="2" t="n">
        <v>43222.71973379629</v>
      </c>
      <c r="C2175" t="n">
        <v>0</v>
      </c>
      <c r="D2175" t="n">
        <v>1</v>
      </c>
      <c r="E2175" t="s">
        <v>2168</v>
      </c>
      <c r="F2175" t="s"/>
      <c r="G2175" t="s"/>
      <c r="H2175" t="s"/>
      <c r="I2175" t="s"/>
      <c r="J2175" t="n">
        <v>-0.2481</v>
      </c>
      <c r="K2175" t="n">
        <v>0.153</v>
      </c>
      <c r="L2175" t="n">
        <v>0.672</v>
      </c>
      <c r="M2175" t="n">
        <v>0.175</v>
      </c>
    </row>
    <row r="2176" spans="1:13">
      <c r="A2176" s="1">
        <f>HYPERLINK("http://www.twitter.com/NathanBLawrence/status/991727234892337154", "991727234892337154")</f>
        <v/>
      </c>
      <c r="B2176" s="2" t="n">
        <v>43222.71726851852</v>
      </c>
      <c r="C2176" t="n">
        <v>13</v>
      </c>
      <c r="D2176" t="n">
        <v>10</v>
      </c>
      <c r="E2176" t="s">
        <v>2169</v>
      </c>
      <c r="F2176">
        <f>HYPERLINK("http://pbs.twimg.com/media/DcNSqG2VAAMn4Xc.png", "http://pbs.twimg.com/media/DcNSqG2VAAMn4Xc.png")</f>
        <v/>
      </c>
      <c r="G2176" t="s"/>
      <c r="H2176" t="s"/>
      <c r="I2176" t="s"/>
      <c r="J2176" t="n">
        <v>0</v>
      </c>
      <c r="K2176" t="n">
        <v>0</v>
      </c>
      <c r="L2176" t="n">
        <v>1</v>
      </c>
      <c r="M2176" t="n">
        <v>0</v>
      </c>
    </row>
    <row r="2177" spans="1:13">
      <c r="A2177" s="1">
        <f>HYPERLINK("http://www.twitter.com/NathanBLawrence/status/991727222758301697", "991727222758301697")</f>
        <v/>
      </c>
      <c r="B2177" s="2" t="n">
        <v>43222.7172337963</v>
      </c>
      <c r="C2177" t="n">
        <v>18</v>
      </c>
      <c r="D2177" t="n">
        <v>10</v>
      </c>
      <c r="E2177" t="s">
        <v>2170</v>
      </c>
      <c r="F2177">
        <f>HYPERLINK("http://pbs.twimg.com/media/DcNSpX9VQAYclBL.jpg", "http://pbs.twimg.com/media/DcNSpX9VQAYclBL.jpg")</f>
        <v/>
      </c>
      <c r="G2177" t="s"/>
      <c r="H2177" t="s"/>
      <c r="I2177" t="s"/>
      <c r="J2177" t="n">
        <v>0.3612</v>
      </c>
      <c r="K2177" t="n">
        <v>0</v>
      </c>
      <c r="L2177" t="n">
        <v>0.667</v>
      </c>
      <c r="M2177" t="n">
        <v>0.333</v>
      </c>
    </row>
    <row r="2178" spans="1:13">
      <c r="A2178" s="1">
        <f>HYPERLINK("http://www.twitter.com/NathanBLawrence/status/991727206551482371", "991727206551482371")</f>
        <v/>
      </c>
      <c r="B2178" s="2" t="n">
        <v>43222.71719907408</v>
      </c>
      <c r="C2178" t="n">
        <v>16</v>
      </c>
      <c r="D2178" t="n">
        <v>13</v>
      </c>
      <c r="E2178" t="s">
        <v>2171</v>
      </c>
      <c r="F2178">
        <f>HYPERLINK("http://pbs.twimg.com/media/DcNSodyVQAAbQvO.jpg", "http://pbs.twimg.com/media/DcNSodyVQAAbQvO.jpg")</f>
        <v/>
      </c>
      <c r="G2178" t="s"/>
      <c r="H2178" t="s"/>
      <c r="I2178" t="s"/>
      <c r="J2178" t="n">
        <v>-0.3818</v>
      </c>
      <c r="K2178" t="n">
        <v>0.342</v>
      </c>
      <c r="L2178" t="n">
        <v>0.658</v>
      </c>
      <c r="M2178" t="n">
        <v>0</v>
      </c>
    </row>
    <row r="2179" spans="1:13">
      <c r="A2179" s="1">
        <f>HYPERLINK("http://www.twitter.com/NathanBLawrence/status/991727190218768384", "991727190218768384")</f>
        <v/>
      </c>
      <c r="B2179" s="2" t="n">
        <v>43222.71715277778</v>
      </c>
      <c r="C2179" t="n">
        <v>11</v>
      </c>
      <c r="D2179" t="n">
        <v>9</v>
      </c>
      <c r="E2179" t="s">
        <v>2172</v>
      </c>
      <c r="F2179">
        <f>HYPERLINK("http://pbs.twimg.com/media/DcNSnkVU8AAGfG4.jpg", "http://pbs.twimg.com/media/DcNSnkVU8AAGfG4.jpg")</f>
        <v/>
      </c>
      <c r="G2179" t="s"/>
      <c r="H2179" t="s"/>
      <c r="I2179" t="s"/>
      <c r="J2179" t="n">
        <v>0</v>
      </c>
      <c r="K2179" t="n">
        <v>0</v>
      </c>
      <c r="L2179" t="n">
        <v>1</v>
      </c>
      <c r="M2179" t="n">
        <v>0</v>
      </c>
    </row>
    <row r="2180" spans="1:13">
      <c r="A2180" s="1">
        <f>HYPERLINK("http://www.twitter.com/NathanBLawrence/status/991727179246555136", "991727179246555136")</f>
        <v/>
      </c>
      <c r="B2180" s="2" t="n">
        <v>43222.71711805555</v>
      </c>
      <c r="C2180" t="n">
        <v>13</v>
      </c>
      <c r="D2180" t="n">
        <v>8</v>
      </c>
      <c r="E2180" t="s">
        <v>2173</v>
      </c>
      <c r="F2180">
        <f>HYPERLINK("http://pbs.twimg.com/media/DcNSm2bVQAAo1Gn.jpg", "http://pbs.twimg.com/media/DcNSm2bVQAAo1Gn.jpg")</f>
        <v/>
      </c>
      <c r="G2180" t="s"/>
      <c r="H2180" t="s"/>
      <c r="I2180" t="s"/>
      <c r="J2180" t="n">
        <v>0</v>
      </c>
      <c r="K2180" t="n">
        <v>0</v>
      </c>
      <c r="L2180" t="n">
        <v>1</v>
      </c>
      <c r="M2180" t="n">
        <v>0</v>
      </c>
    </row>
    <row r="2181" spans="1:13">
      <c r="A2181" s="1">
        <f>HYPERLINK("http://www.twitter.com/NathanBLawrence/status/991727166986440705", "991727166986440705")</f>
        <v/>
      </c>
      <c r="B2181" s="2" t="n">
        <v>43222.71708333334</v>
      </c>
      <c r="C2181" t="n">
        <v>39</v>
      </c>
      <c r="D2181" t="n">
        <v>34</v>
      </c>
      <c r="E2181" t="s">
        <v>2174</v>
      </c>
      <c r="F2181">
        <f>HYPERLINK("http://pbs.twimg.com/media/DcNSmHcVwAAufBa.jpg", "http://pbs.twimg.com/media/DcNSmHcVwAAufBa.jpg")</f>
        <v/>
      </c>
      <c r="G2181" t="s"/>
      <c r="H2181" t="s"/>
      <c r="I2181" t="s"/>
      <c r="J2181" t="n">
        <v>0</v>
      </c>
      <c r="K2181" t="n">
        <v>0</v>
      </c>
      <c r="L2181" t="n">
        <v>1</v>
      </c>
      <c r="M2181" t="n">
        <v>0</v>
      </c>
    </row>
    <row r="2182" spans="1:13">
      <c r="A2182" s="1">
        <f>HYPERLINK("http://www.twitter.com/NathanBLawrence/status/991727154445643777", "991727154445643777")</f>
        <v/>
      </c>
      <c r="B2182" s="2" t="n">
        <v>43222.71704861111</v>
      </c>
      <c r="C2182" t="n">
        <v>16</v>
      </c>
      <c r="D2182" t="n">
        <v>15</v>
      </c>
      <c r="E2182" t="s">
        <v>2175</v>
      </c>
      <c r="F2182">
        <f>HYPERLINK("http://pbs.twimg.com/media/DcNSla9V0AAg2pJ.jpg", "http://pbs.twimg.com/media/DcNSla9V0AAg2pJ.jpg")</f>
        <v/>
      </c>
      <c r="G2182" t="s"/>
      <c r="H2182" t="s"/>
      <c r="I2182" t="s"/>
      <c r="J2182" t="n">
        <v>0.4404</v>
      </c>
      <c r="K2182" t="n">
        <v>0</v>
      </c>
      <c r="L2182" t="n">
        <v>0.642</v>
      </c>
      <c r="M2182" t="n">
        <v>0.358</v>
      </c>
    </row>
    <row r="2183" spans="1:13">
      <c r="A2183" s="1">
        <f>HYPERLINK("http://www.twitter.com/NathanBLawrence/status/991727140868673536", "991727140868673536")</f>
        <v/>
      </c>
      <c r="B2183" s="2" t="n">
        <v>43222.71701388889</v>
      </c>
      <c r="C2183" t="n">
        <v>10</v>
      </c>
      <c r="D2183" t="n">
        <v>10</v>
      </c>
      <c r="E2183" t="s">
        <v>2176</v>
      </c>
      <c r="F2183">
        <f>HYPERLINK("http://pbs.twimg.com/media/DcNSkrYUQAAsvS3.jpg", "http://pbs.twimg.com/media/DcNSkrYUQAAsvS3.jpg")</f>
        <v/>
      </c>
      <c r="G2183" t="s"/>
      <c r="H2183" t="s"/>
      <c r="I2183" t="s"/>
      <c r="J2183" t="n">
        <v>0</v>
      </c>
      <c r="K2183" t="n">
        <v>0</v>
      </c>
      <c r="L2183" t="n">
        <v>1</v>
      </c>
      <c r="M2183" t="n">
        <v>0</v>
      </c>
    </row>
    <row r="2184" spans="1:13">
      <c r="A2184" s="1">
        <f>HYPERLINK("http://www.twitter.com/NathanBLawrence/status/991727128914821126", "991727128914821126")</f>
        <v/>
      </c>
      <c r="B2184" s="2" t="n">
        <v>43222.71697916667</v>
      </c>
      <c r="C2184" t="n">
        <v>35</v>
      </c>
      <c r="D2184" t="n">
        <v>34</v>
      </c>
      <c r="E2184" t="s">
        <v>2177</v>
      </c>
      <c r="F2184">
        <f>HYPERLINK("http://pbs.twimg.com/media/DcNSjs2VMAEKbuQ.jpg", "http://pbs.twimg.com/media/DcNSjs2VMAEKbuQ.jpg")</f>
        <v/>
      </c>
      <c r="G2184" t="s"/>
      <c r="H2184" t="s"/>
      <c r="I2184" t="s"/>
      <c r="J2184" t="n">
        <v>0</v>
      </c>
      <c r="K2184" t="n">
        <v>0</v>
      </c>
      <c r="L2184" t="n">
        <v>1</v>
      </c>
      <c r="M2184" t="n">
        <v>0</v>
      </c>
    </row>
    <row r="2185" spans="1:13">
      <c r="A2185" s="1">
        <f>HYPERLINK("http://www.twitter.com/NathanBLawrence/status/991720643254243328", "991720643254243328")</f>
        <v/>
      </c>
      <c r="B2185" s="2" t="n">
        <v>43222.69908564815</v>
      </c>
      <c r="C2185" t="n">
        <v>0</v>
      </c>
      <c r="D2185" t="n">
        <v>2976</v>
      </c>
      <c r="E2185" t="s">
        <v>2178</v>
      </c>
      <c r="F2185" t="s"/>
      <c r="G2185" t="s"/>
      <c r="H2185" t="s"/>
      <c r="I2185" t="s"/>
      <c r="J2185" t="n">
        <v>0.7783</v>
      </c>
      <c r="K2185" t="n">
        <v>0</v>
      </c>
      <c r="L2185" t="n">
        <v>0.618</v>
      </c>
      <c r="M2185" t="n">
        <v>0.382</v>
      </c>
    </row>
    <row r="2186" spans="1:13">
      <c r="A2186" s="1">
        <f>HYPERLINK("http://www.twitter.com/NathanBLawrence/status/991720589470650369", "991720589470650369")</f>
        <v/>
      </c>
      <c r="B2186" s="2" t="n">
        <v>43222.69893518519</v>
      </c>
      <c r="C2186" t="n">
        <v>0</v>
      </c>
      <c r="D2186" t="n">
        <v>27</v>
      </c>
      <c r="E2186" t="s">
        <v>2179</v>
      </c>
      <c r="F2186" t="s"/>
      <c r="G2186" t="s"/>
      <c r="H2186" t="s"/>
      <c r="I2186" t="s"/>
      <c r="J2186" t="n">
        <v>0.7783</v>
      </c>
      <c r="K2186" t="n">
        <v>0</v>
      </c>
      <c r="L2186" t="n">
        <v>0.764</v>
      </c>
      <c r="M2186" t="n">
        <v>0.236</v>
      </c>
    </row>
    <row r="2187" spans="1:13">
      <c r="A2187" s="1">
        <f>HYPERLINK("http://www.twitter.com/NathanBLawrence/status/991719208798117888", "991719208798117888")</f>
        <v/>
      </c>
      <c r="B2187" s="2" t="n">
        <v>43222.69512731482</v>
      </c>
      <c r="C2187" t="n">
        <v>8</v>
      </c>
      <c r="D2187" t="n">
        <v>1</v>
      </c>
      <c r="E2187" t="s">
        <v>2180</v>
      </c>
      <c r="F2187" t="s"/>
      <c r="G2187" t="s"/>
      <c r="H2187" t="s"/>
      <c r="I2187" t="s"/>
      <c r="J2187" t="n">
        <v>0</v>
      </c>
      <c r="K2187" t="n">
        <v>0</v>
      </c>
      <c r="L2187" t="n">
        <v>1</v>
      </c>
      <c r="M2187" t="n">
        <v>0</v>
      </c>
    </row>
    <row r="2188" spans="1:13">
      <c r="A2188" s="1">
        <f>HYPERLINK("http://www.twitter.com/NathanBLawrence/status/991717926989377536", "991717926989377536")</f>
        <v/>
      </c>
      <c r="B2188" s="2" t="n">
        <v>43222.69158564815</v>
      </c>
      <c r="C2188" t="n">
        <v>10</v>
      </c>
      <c r="D2188" t="n">
        <v>6</v>
      </c>
      <c r="E2188" t="s">
        <v>2181</v>
      </c>
      <c r="F2188">
        <f>HYPERLINK("https://video.twimg.com/ext_tw_video/991717782554271744/pu/vid/1280x720/OOo-FNMSk1iEBFTc.mp4?tag=3", "https://video.twimg.com/ext_tw_video/991717782554271744/pu/vid/1280x720/OOo-FNMSk1iEBFTc.mp4?tag=3")</f>
        <v/>
      </c>
      <c r="G2188" t="s"/>
      <c r="H2188" t="s"/>
      <c r="I2188" t="s"/>
      <c r="J2188" t="n">
        <v>0</v>
      </c>
      <c r="K2188" t="n">
        <v>0</v>
      </c>
      <c r="L2188" t="n">
        <v>1</v>
      </c>
      <c r="M2188" t="n">
        <v>0</v>
      </c>
    </row>
    <row r="2189" spans="1:13">
      <c r="A2189" s="1">
        <f>HYPERLINK("http://www.twitter.com/NathanBLawrence/status/991715608751497217", "991715608751497217")</f>
        <v/>
      </c>
      <c r="B2189" s="2" t="n">
        <v>43222.68518518518</v>
      </c>
      <c r="C2189" t="n">
        <v>0</v>
      </c>
      <c r="D2189" t="n">
        <v>0</v>
      </c>
      <c r="E2189" t="s">
        <v>2182</v>
      </c>
      <c r="F2189" t="s"/>
      <c r="G2189" t="s"/>
      <c r="H2189" t="s"/>
      <c r="I2189" t="s"/>
      <c r="J2189" t="n">
        <v>0.5719</v>
      </c>
      <c r="K2189" t="n">
        <v>0</v>
      </c>
      <c r="L2189" t="n">
        <v>0.213</v>
      </c>
      <c r="M2189" t="n">
        <v>0.787</v>
      </c>
    </row>
    <row r="2190" spans="1:13">
      <c r="A2190" s="1">
        <f>HYPERLINK("http://www.twitter.com/NathanBLawrence/status/991715267066716160", "991715267066716160")</f>
        <v/>
      </c>
      <c r="B2190" s="2" t="n">
        <v>43222.68424768518</v>
      </c>
      <c r="C2190" t="n">
        <v>19</v>
      </c>
      <c r="D2190" t="n">
        <v>2</v>
      </c>
      <c r="E2190" t="s">
        <v>2183</v>
      </c>
      <c r="F2190" t="s"/>
      <c r="G2190" t="s"/>
      <c r="H2190" t="s"/>
      <c r="I2190" t="s"/>
      <c r="J2190" t="n">
        <v>0.3291</v>
      </c>
      <c r="K2190" t="n">
        <v>0</v>
      </c>
      <c r="L2190" t="n">
        <v>0.914</v>
      </c>
      <c r="M2190" t="n">
        <v>0.08599999999999999</v>
      </c>
    </row>
    <row r="2191" spans="1:13">
      <c r="A2191" s="1">
        <f>HYPERLINK("http://www.twitter.com/NathanBLawrence/status/991714483642003456", "991714483642003456")</f>
        <v/>
      </c>
      <c r="B2191" s="2" t="n">
        <v>43222.68208333333</v>
      </c>
      <c r="C2191" t="n">
        <v>0</v>
      </c>
      <c r="D2191" t="n">
        <v>3321</v>
      </c>
      <c r="E2191" t="s">
        <v>2184</v>
      </c>
      <c r="F2191" t="s"/>
      <c r="G2191" t="s"/>
      <c r="H2191" t="s"/>
      <c r="I2191" t="s"/>
      <c r="J2191" t="n">
        <v>0.2975</v>
      </c>
      <c r="K2191" t="n">
        <v>0</v>
      </c>
      <c r="L2191" t="n">
        <v>0.896</v>
      </c>
      <c r="M2191" t="n">
        <v>0.104</v>
      </c>
    </row>
    <row r="2192" spans="1:13">
      <c r="A2192" s="1">
        <f>HYPERLINK("http://www.twitter.com/NathanBLawrence/status/991714301667880960", "991714301667880960")</f>
        <v/>
      </c>
      <c r="B2192" s="2" t="n">
        <v>43222.68158564815</v>
      </c>
      <c r="C2192" t="n">
        <v>28</v>
      </c>
      <c r="D2192" t="n">
        <v>23</v>
      </c>
      <c r="E2192" t="s">
        <v>2185</v>
      </c>
      <c r="F2192" t="s"/>
      <c r="G2192" t="s"/>
      <c r="H2192" t="s"/>
      <c r="I2192" t="s"/>
      <c r="J2192" t="n">
        <v>-0.3182</v>
      </c>
      <c r="K2192" t="n">
        <v>0.201</v>
      </c>
      <c r="L2192" t="n">
        <v>0.606</v>
      </c>
      <c r="M2192" t="n">
        <v>0.193</v>
      </c>
    </row>
    <row r="2193" spans="1:13">
      <c r="A2193" s="1">
        <f>HYPERLINK("http://www.twitter.com/NathanBLawrence/status/991710444074266625", "991710444074266625")</f>
        <v/>
      </c>
      <c r="B2193" s="2" t="n">
        <v>43222.6709375</v>
      </c>
      <c r="C2193" t="n">
        <v>1</v>
      </c>
      <c r="D2193" t="n">
        <v>0</v>
      </c>
      <c r="E2193" t="s">
        <v>2186</v>
      </c>
      <c r="F2193" t="s"/>
      <c r="G2193" t="s"/>
      <c r="H2193" t="s"/>
      <c r="I2193" t="s"/>
      <c r="J2193" t="n">
        <v>0</v>
      </c>
      <c r="K2193" t="n">
        <v>0</v>
      </c>
      <c r="L2193" t="n">
        <v>1</v>
      </c>
      <c r="M2193" t="n">
        <v>0</v>
      </c>
    </row>
    <row r="2194" spans="1:13">
      <c r="A2194" s="1">
        <f>HYPERLINK("http://www.twitter.com/NathanBLawrence/status/991710258602172416", "991710258602172416")</f>
        <v/>
      </c>
      <c r="B2194" s="2" t="n">
        <v>43222.67042824074</v>
      </c>
      <c r="C2194" t="n">
        <v>0</v>
      </c>
      <c r="D2194" t="n">
        <v>16</v>
      </c>
      <c r="E2194" t="s">
        <v>2187</v>
      </c>
      <c r="F2194">
        <f>HYPERLINK("http://pbs.twimg.com/media/DcMtz9JUwAA3F_m.jpg", "http://pbs.twimg.com/media/DcMtz9JUwAA3F_m.jpg")</f>
        <v/>
      </c>
      <c r="G2194" t="s"/>
      <c r="H2194" t="s"/>
      <c r="I2194" t="s"/>
      <c r="J2194" t="n">
        <v>0</v>
      </c>
      <c r="K2194" t="n">
        <v>0</v>
      </c>
      <c r="L2194" t="n">
        <v>1</v>
      </c>
      <c r="M2194" t="n">
        <v>0</v>
      </c>
    </row>
    <row r="2195" spans="1:13">
      <c r="A2195" s="1">
        <f>HYPERLINK("http://www.twitter.com/NathanBLawrence/status/991708187777753088", "991708187777753088")</f>
        <v/>
      </c>
      <c r="B2195" s="2" t="n">
        <v>43222.66471064815</v>
      </c>
      <c r="C2195" t="n">
        <v>42</v>
      </c>
      <c r="D2195" t="n">
        <v>36</v>
      </c>
      <c r="E2195" t="s">
        <v>2188</v>
      </c>
      <c r="F2195" t="s"/>
      <c r="G2195" t="s"/>
      <c r="H2195" t="s"/>
      <c r="I2195" t="s"/>
      <c r="J2195" t="n">
        <v>-0.2453</v>
      </c>
      <c r="K2195" t="n">
        <v>0.097</v>
      </c>
      <c r="L2195" t="n">
        <v>0.829</v>
      </c>
      <c r="M2195" t="n">
        <v>0.074</v>
      </c>
    </row>
    <row r="2196" spans="1:13">
      <c r="A2196" s="1">
        <f>HYPERLINK("http://www.twitter.com/NathanBLawrence/status/991706786154668032", "991706786154668032")</f>
        <v/>
      </c>
      <c r="B2196" s="2" t="n">
        <v>43222.6608449074</v>
      </c>
      <c r="C2196" t="n">
        <v>0</v>
      </c>
      <c r="D2196" t="n">
        <v>58</v>
      </c>
      <c r="E2196" t="s">
        <v>2189</v>
      </c>
      <c r="F2196">
        <f>HYPERLINK("http://pbs.twimg.com/media/DcM1ZxRVwAAXhGU.jpg", "http://pbs.twimg.com/media/DcM1ZxRVwAAXhGU.jpg")</f>
        <v/>
      </c>
      <c r="G2196" t="s"/>
      <c r="H2196" t="s"/>
      <c r="I2196" t="s"/>
      <c r="J2196" t="n">
        <v>0</v>
      </c>
      <c r="K2196" t="n">
        <v>0</v>
      </c>
      <c r="L2196" t="n">
        <v>1</v>
      </c>
      <c r="M2196" t="n">
        <v>0</v>
      </c>
    </row>
    <row r="2197" spans="1:13">
      <c r="A2197" s="1">
        <f>HYPERLINK("http://www.twitter.com/NathanBLawrence/status/991706638531940353", "991706638531940353")</f>
        <v/>
      </c>
      <c r="B2197" s="2" t="n">
        <v>43222.66043981481</v>
      </c>
      <c r="C2197" t="n">
        <v>0</v>
      </c>
      <c r="D2197" t="n">
        <v>30</v>
      </c>
      <c r="E2197" t="s">
        <v>2190</v>
      </c>
      <c r="F2197" t="s"/>
      <c r="G2197" t="s"/>
      <c r="H2197" t="s"/>
      <c r="I2197" t="s"/>
      <c r="J2197" t="n">
        <v>0</v>
      </c>
      <c r="K2197" t="n">
        <v>0</v>
      </c>
      <c r="L2197" t="n">
        <v>1</v>
      </c>
      <c r="M2197" t="n">
        <v>0</v>
      </c>
    </row>
    <row r="2198" spans="1:13">
      <c r="A2198" s="1">
        <f>HYPERLINK("http://www.twitter.com/NathanBLawrence/status/991706369823858688", "991706369823858688")</f>
        <v/>
      </c>
      <c r="B2198" s="2" t="n">
        <v>43222.65969907407</v>
      </c>
      <c r="C2198" t="n">
        <v>1</v>
      </c>
      <c r="D2198" t="n">
        <v>0</v>
      </c>
      <c r="E2198" t="s">
        <v>2191</v>
      </c>
      <c r="F2198" t="s"/>
      <c r="G2198" t="s"/>
      <c r="H2198" t="s"/>
      <c r="I2198" t="s"/>
      <c r="J2198" t="n">
        <v>0</v>
      </c>
      <c r="K2198" t="n">
        <v>0</v>
      </c>
      <c r="L2198" t="n">
        <v>1</v>
      </c>
      <c r="M2198" t="n">
        <v>0</v>
      </c>
    </row>
    <row r="2199" spans="1:13">
      <c r="A2199" s="1">
        <f>HYPERLINK("http://www.twitter.com/NathanBLawrence/status/991705892373528576", "991705892373528576")</f>
        <v/>
      </c>
      <c r="B2199" s="2" t="n">
        <v>43222.65837962963</v>
      </c>
      <c r="C2199" t="n">
        <v>5</v>
      </c>
      <c r="D2199" t="n">
        <v>4</v>
      </c>
      <c r="E2199" t="s">
        <v>2192</v>
      </c>
      <c r="F2199" t="s"/>
      <c r="G2199" t="s"/>
      <c r="H2199" t="s"/>
      <c r="I2199" t="s"/>
      <c r="J2199" t="n">
        <v>0.6124000000000001</v>
      </c>
      <c r="K2199" t="n">
        <v>0</v>
      </c>
      <c r="L2199" t="n">
        <v>0.75</v>
      </c>
      <c r="M2199" t="n">
        <v>0.25</v>
      </c>
    </row>
    <row r="2200" spans="1:13">
      <c r="A2200" s="1">
        <f>HYPERLINK("http://www.twitter.com/NathanBLawrence/status/991705579537272832", "991705579537272832")</f>
        <v/>
      </c>
      <c r="B2200" s="2" t="n">
        <v>43222.65751157407</v>
      </c>
      <c r="C2200" t="n">
        <v>0</v>
      </c>
      <c r="D2200" t="n">
        <v>1694</v>
      </c>
      <c r="E2200" t="s">
        <v>2193</v>
      </c>
      <c r="F2200" t="s"/>
      <c r="G2200" t="s"/>
      <c r="H2200" t="s"/>
      <c r="I2200" t="s"/>
      <c r="J2200" t="n">
        <v>0</v>
      </c>
      <c r="K2200" t="n">
        <v>0</v>
      </c>
      <c r="L2200" t="n">
        <v>1</v>
      </c>
      <c r="M2200" t="n">
        <v>0</v>
      </c>
    </row>
    <row r="2201" spans="1:13">
      <c r="A2201" s="1">
        <f>HYPERLINK("http://www.twitter.com/NathanBLawrence/status/991704977944047616", "991704977944047616")</f>
        <v/>
      </c>
      <c r="B2201" s="2" t="n">
        <v>43222.65585648148</v>
      </c>
      <c r="C2201" t="n">
        <v>3</v>
      </c>
      <c r="D2201" t="n">
        <v>1</v>
      </c>
      <c r="E2201" t="s">
        <v>2194</v>
      </c>
      <c r="F2201" t="s"/>
      <c r="G2201" t="s"/>
      <c r="H2201" t="s"/>
      <c r="I2201" t="s"/>
      <c r="J2201" t="n">
        <v>0.3182</v>
      </c>
      <c r="K2201" t="n">
        <v>0</v>
      </c>
      <c r="L2201" t="n">
        <v>0.796</v>
      </c>
      <c r="M2201" t="n">
        <v>0.204</v>
      </c>
    </row>
    <row r="2202" spans="1:13">
      <c r="A2202" s="1">
        <f>HYPERLINK("http://www.twitter.com/NathanBLawrence/status/991704744199671810", "991704744199671810")</f>
        <v/>
      </c>
      <c r="B2202" s="2" t="n">
        <v>43222.65520833333</v>
      </c>
      <c r="C2202" t="n">
        <v>0</v>
      </c>
      <c r="D2202" t="n">
        <v>513</v>
      </c>
      <c r="E2202" t="s">
        <v>2195</v>
      </c>
      <c r="F2202" t="s"/>
      <c r="G2202" t="s"/>
      <c r="H2202" t="s"/>
      <c r="I2202" t="s"/>
      <c r="J2202" t="n">
        <v>0</v>
      </c>
      <c r="K2202" t="n">
        <v>0</v>
      </c>
      <c r="L2202" t="n">
        <v>1</v>
      </c>
      <c r="M2202" t="n">
        <v>0</v>
      </c>
    </row>
    <row r="2203" spans="1:13">
      <c r="A2203" s="1">
        <f>HYPERLINK("http://www.twitter.com/NathanBLawrence/status/991704618865393664", "991704618865393664")</f>
        <v/>
      </c>
      <c r="B2203" s="2" t="n">
        <v>43222.65486111111</v>
      </c>
      <c r="C2203" t="n">
        <v>0</v>
      </c>
      <c r="D2203" t="n">
        <v>1</v>
      </c>
      <c r="E2203" t="s">
        <v>2196</v>
      </c>
      <c r="F2203" t="s"/>
      <c r="G2203" t="s"/>
      <c r="H2203" t="s"/>
      <c r="I2203" t="s"/>
      <c r="J2203" t="n">
        <v>0</v>
      </c>
      <c r="K2203" t="n">
        <v>0</v>
      </c>
      <c r="L2203" t="n">
        <v>1</v>
      </c>
      <c r="M2203" t="n">
        <v>0</v>
      </c>
    </row>
    <row r="2204" spans="1:13">
      <c r="A2204" s="1">
        <f>HYPERLINK("http://www.twitter.com/NathanBLawrence/status/991704288996020226", "991704288996020226")</f>
        <v/>
      </c>
      <c r="B2204" s="2" t="n">
        <v>43222.65395833334</v>
      </c>
      <c r="C2204" t="n">
        <v>0</v>
      </c>
      <c r="D2204" t="n">
        <v>1</v>
      </c>
      <c r="E2204" t="s">
        <v>2197</v>
      </c>
      <c r="F2204" t="s"/>
      <c r="G2204" t="s"/>
      <c r="H2204" t="s"/>
      <c r="I2204" t="s"/>
      <c r="J2204" t="n">
        <v>0.5859</v>
      </c>
      <c r="K2204" t="n">
        <v>0</v>
      </c>
      <c r="L2204" t="n">
        <v>0.759</v>
      </c>
      <c r="M2204" t="n">
        <v>0.241</v>
      </c>
    </row>
    <row r="2205" spans="1:13">
      <c r="A2205" s="1">
        <f>HYPERLINK("http://www.twitter.com/NathanBLawrence/status/991704074973339648", "991704074973339648")</f>
        <v/>
      </c>
      <c r="B2205" s="2" t="n">
        <v>43222.65336805556</v>
      </c>
      <c r="C2205" t="n">
        <v>0</v>
      </c>
      <c r="D2205" t="n">
        <v>45</v>
      </c>
      <c r="E2205" t="s">
        <v>2198</v>
      </c>
      <c r="F2205" t="s"/>
      <c r="G2205" t="s"/>
      <c r="H2205" t="s"/>
      <c r="I2205" t="s"/>
      <c r="J2205" t="n">
        <v>-0.25</v>
      </c>
      <c r="K2205" t="n">
        <v>0.128</v>
      </c>
      <c r="L2205" t="n">
        <v>0.785</v>
      </c>
      <c r="M2205" t="n">
        <v>0.08699999999999999</v>
      </c>
    </row>
    <row r="2206" spans="1:13">
      <c r="A2206" s="1">
        <f>HYPERLINK("http://www.twitter.com/NathanBLawrence/status/991703925488316417", "991703925488316417")</f>
        <v/>
      </c>
      <c r="B2206" s="2" t="n">
        <v>43222.65295138889</v>
      </c>
      <c r="C2206" t="n">
        <v>0</v>
      </c>
      <c r="D2206" t="n">
        <v>132</v>
      </c>
      <c r="E2206" t="s">
        <v>2199</v>
      </c>
      <c r="F2206">
        <f>HYPERLINK("http://pbs.twimg.com/media/DcM0HMhVwAAAuX7.jpg", "http://pbs.twimg.com/media/DcM0HMhVwAAAuX7.jpg")</f>
        <v/>
      </c>
      <c r="G2206">
        <f>HYPERLINK("http://pbs.twimg.com/media/DcM0H9VV0AAtwqe.jpg", "http://pbs.twimg.com/media/DcM0H9VV0AAtwqe.jpg")</f>
        <v/>
      </c>
      <c r="H2206" t="s"/>
      <c r="I2206" t="s"/>
      <c r="J2206" t="n">
        <v>-0.6249</v>
      </c>
      <c r="K2206" t="n">
        <v>0.194</v>
      </c>
      <c r="L2206" t="n">
        <v>0.806</v>
      </c>
      <c r="M2206" t="n">
        <v>0</v>
      </c>
    </row>
    <row r="2207" spans="1:13">
      <c r="A2207" s="1">
        <f>HYPERLINK("http://www.twitter.com/NathanBLawrence/status/991703873701273601", "991703873701273601")</f>
        <v/>
      </c>
      <c r="B2207" s="2" t="n">
        <v>43222.6528125</v>
      </c>
      <c r="C2207" t="n">
        <v>0</v>
      </c>
      <c r="D2207" t="n">
        <v>41</v>
      </c>
      <c r="E2207" t="s">
        <v>2200</v>
      </c>
      <c r="F2207" t="s"/>
      <c r="G2207" t="s"/>
      <c r="H2207" t="s"/>
      <c r="I2207" t="s"/>
      <c r="J2207" t="n">
        <v>0.5106000000000001</v>
      </c>
      <c r="K2207" t="n">
        <v>0</v>
      </c>
      <c r="L2207" t="n">
        <v>0.845</v>
      </c>
      <c r="M2207" t="n">
        <v>0.155</v>
      </c>
    </row>
    <row r="2208" spans="1:13">
      <c r="A2208" s="1">
        <f>HYPERLINK("http://www.twitter.com/NathanBLawrence/status/991703838137700352", "991703838137700352")</f>
        <v/>
      </c>
      <c r="B2208" s="2" t="n">
        <v>43222.65270833333</v>
      </c>
      <c r="C2208" t="n">
        <v>0</v>
      </c>
      <c r="D2208" t="n">
        <v>38</v>
      </c>
      <c r="E2208" t="s">
        <v>2201</v>
      </c>
      <c r="F2208">
        <f>HYPERLINK("http://pbs.twimg.com/media/DcM6ndZUQAEWuF7.jpg", "http://pbs.twimg.com/media/DcM6ndZUQAEWuF7.jpg")</f>
        <v/>
      </c>
      <c r="G2208" t="s"/>
      <c r="H2208" t="s"/>
      <c r="I2208" t="s"/>
      <c r="J2208" t="n">
        <v>-0.6841</v>
      </c>
      <c r="K2208" t="n">
        <v>0.205</v>
      </c>
      <c r="L2208" t="n">
        <v>0.795</v>
      </c>
      <c r="M2208" t="n">
        <v>0</v>
      </c>
    </row>
    <row r="2209" spans="1:13">
      <c r="A2209" s="1">
        <f>HYPERLINK("http://www.twitter.com/NathanBLawrence/status/991703363661295616", "991703363661295616")</f>
        <v/>
      </c>
      <c r="B2209" s="2" t="n">
        <v>43222.65140046296</v>
      </c>
      <c r="C2209" t="n">
        <v>32</v>
      </c>
      <c r="D2209" t="n">
        <v>16</v>
      </c>
      <c r="E2209" t="s">
        <v>2202</v>
      </c>
      <c r="F2209" t="s"/>
      <c r="G2209" t="s"/>
      <c r="H2209" t="s"/>
      <c r="I2209" t="s"/>
      <c r="J2209" t="n">
        <v>-0.2516</v>
      </c>
      <c r="K2209" t="n">
        <v>0.139</v>
      </c>
      <c r="L2209" t="n">
        <v>0.773</v>
      </c>
      <c r="M2209" t="n">
        <v>0.08699999999999999</v>
      </c>
    </row>
    <row r="2210" spans="1:13">
      <c r="A2210" s="1">
        <f>HYPERLINK("http://www.twitter.com/NathanBLawrence/status/991702516374130689", "991702516374130689")</f>
        <v/>
      </c>
      <c r="B2210" s="2" t="n">
        <v>43222.6490625</v>
      </c>
      <c r="C2210" t="n">
        <v>0</v>
      </c>
      <c r="D2210" t="n">
        <v>45</v>
      </c>
      <c r="E2210" t="s">
        <v>2203</v>
      </c>
      <c r="F2210" t="s"/>
      <c r="G2210" t="s"/>
      <c r="H2210" t="s"/>
      <c r="I2210" t="s"/>
      <c r="J2210" t="n">
        <v>0.8885</v>
      </c>
      <c r="K2210" t="n">
        <v>0</v>
      </c>
      <c r="L2210" t="n">
        <v>0.667</v>
      </c>
      <c r="M2210" t="n">
        <v>0.333</v>
      </c>
    </row>
    <row r="2211" spans="1:13">
      <c r="A2211" s="1">
        <f>HYPERLINK("http://www.twitter.com/NathanBLawrence/status/991701997186420736", "991701997186420736")</f>
        <v/>
      </c>
      <c r="B2211" s="2" t="n">
        <v>43222.64762731481</v>
      </c>
      <c r="C2211" t="n">
        <v>7</v>
      </c>
      <c r="D2211" t="n">
        <v>3</v>
      </c>
      <c r="E2211" t="s">
        <v>2204</v>
      </c>
      <c r="F2211" t="s"/>
      <c r="G2211" t="s"/>
      <c r="H2211" t="s"/>
      <c r="I2211" t="s"/>
      <c r="J2211" t="n">
        <v>-0.2263</v>
      </c>
      <c r="K2211" t="n">
        <v>0.106</v>
      </c>
      <c r="L2211" t="n">
        <v>0.894</v>
      </c>
      <c r="M2211" t="n">
        <v>0</v>
      </c>
    </row>
    <row r="2212" spans="1:13">
      <c r="A2212" s="1">
        <f>HYPERLINK("http://www.twitter.com/NathanBLawrence/status/991701184028250114", "991701184028250114")</f>
        <v/>
      </c>
      <c r="B2212" s="2" t="n">
        <v>43222.64538194444</v>
      </c>
      <c r="C2212" t="n">
        <v>0</v>
      </c>
      <c r="D2212" t="n">
        <v>0</v>
      </c>
      <c r="E2212" t="s">
        <v>2205</v>
      </c>
      <c r="F2212" t="s"/>
      <c r="G2212" t="s"/>
      <c r="H2212" t="s"/>
      <c r="I2212" t="s"/>
      <c r="J2212" t="n">
        <v>0.4472</v>
      </c>
      <c r="K2212" t="n">
        <v>0</v>
      </c>
      <c r="L2212" t="n">
        <v>0.696</v>
      </c>
      <c r="M2212" t="n">
        <v>0.304</v>
      </c>
    </row>
    <row r="2213" spans="1:13">
      <c r="A2213" s="1">
        <f>HYPERLINK("http://www.twitter.com/NathanBLawrence/status/991700919535497216", "991700919535497216")</f>
        <v/>
      </c>
      <c r="B2213" s="2" t="n">
        <v>43222.64465277778</v>
      </c>
      <c r="C2213" t="n">
        <v>14</v>
      </c>
      <c r="D2213" t="n">
        <v>1</v>
      </c>
      <c r="E2213" t="s">
        <v>2206</v>
      </c>
      <c r="F2213">
        <f>HYPERLINK("https://video.twimg.com/ext_tw_video/991700542270328833/pu/vid/492x360/zeBav31_KHBh1wYJ.mp4?tag=3", "https://video.twimg.com/ext_tw_video/991700542270328833/pu/vid/492x360/zeBav31_KHBh1wYJ.mp4?tag=3")</f>
        <v/>
      </c>
      <c r="G2213" t="s"/>
      <c r="H2213" t="s"/>
      <c r="I2213" t="s"/>
      <c r="J2213" t="n">
        <v>0</v>
      </c>
      <c r="K2213" t="n">
        <v>0</v>
      </c>
      <c r="L2213" t="n">
        <v>1</v>
      </c>
      <c r="M2213" t="n">
        <v>0</v>
      </c>
    </row>
    <row r="2214" spans="1:13">
      <c r="A2214" s="1">
        <f>HYPERLINK("http://www.twitter.com/NathanBLawrence/status/991699308482387968", "991699308482387968")</f>
        <v/>
      </c>
      <c r="B2214" s="2" t="n">
        <v>43222.64020833333</v>
      </c>
      <c r="C2214" t="n">
        <v>0</v>
      </c>
      <c r="D2214" t="n">
        <v>1619</v>
      </c>
      <c r="E2214" t="s">
        <v>2207</v>
      </c>
      <c r="F2214" t="s"/>
      <c r="G2214" t="s"/>
      <c r="H2214" t="s"/>
      <c r="I2214" t="s"/>
      <c r="J2214" t="n">
        <v>0.4939</v>
      </c>
      <c r="K2214" t="n">
        <v>0.077</v>
      </c>
      <c r="L2214" t="n">
        <v>0.734</v>
      </c>
      <c r="M2214" t="n">
        <v>0.189</v>
      </c>
    </row>
    <row r="2215" spans="1:13">
      <c r="A2215" s="1">
        <f>HYPERLINK("http://www.twitter.com/NathanBLawrence/status/991699093746577410", "991699093746577410")</f>
        <v/>
      </c>
      <c r="B2215" s="2" t="n">
        <v>43222.63961805555</v>
      </c>
      <c r="C2215" t="n">
        <v>0</v>
      </c>
      <c r="D2215" t="n">
        <v>40</v>
      </c>
      <c r="E2215" t="s">
        <v>2208</v>
      </c>
      <c r="F2215" t="s"/>
      <c r="G2215" t="s"/>
      <c r="H2215" t="s"/>
      <c r="I2215" t="s"/>
      <c r="J2215" t="n">
        <v>-0.34</v>
      </c>
      <c r="K2215" t="n">
        <v>0.094</v>
      </c>
      <c r="L2215" t="n">
        <v>0.906</v>
      </c>
      <c r="M2215" t="n">
        <v>0</v>
      </c>
    </row>
    <row r="2216" spans="1:13">
      <c r="A2216" s="1">
        <f>HYPERLINK("http://www.twitter.com/NathanBLawrence/status/991698726883340290", "991698726883340290")</f>
        <v/>
      </c>
      <c r="B2216" s="2" t="n">
        <v>43222.63861111111</v>
      </c>
      <c r="C2216" t="n">
        <v>2</v>
      </c>
      <c r="D2216" t="n">
        <v>1</v>
      </c>
      <c r="E2216" t="s">
        <v>2209</v>
      </c>
      <c r="F2216">
        <f>HYPERLINK("http://pbs.twimg.com/media/DcM4uxXVAAAex0L.jpg", "http://pbs.twimg.com/media/DcM4uxXVAAAex0L.jpg")</f>
        <v/>
      </c>
      <c r="G2216" t="s"/>
      <c r="H2216" t="s"/>
      <c r="I2216" t="s"/>
      <c r="J2216" t="n">
        <v>0</v>
      </c>
      <c r="K2216" t="n">
        <v>0</v>
      </c>
      <c r="L2216" t="n">
        <v>1</v>
      </c>
      <c r="M2216" t="n">
        <v>0</v>
      </c>
    </row>
    <row r="2217" spans="1:13">
      <c r="A2217" s="1">
        <f>HYPERLINK("http://www.twitter.com/NathanBLawrence/status/991694211950039041", "991694211950039041")</f>
        <v/>
      </c>
      <c r="B2217" s="2" t="n">
        <v>43222.62614583333</v>
      </c>
      <c r="C2217" t="n">
        <v>0</v>
      </c>
      <c r="D2217" t="n">
        <v>21</v>
      </c>
      <c r="E2217" t="s">
        <v>2210</v>
      </c>
      <c r="F2217">
        <f>HYPERLINK("http://pbs.twimg.com/media/DcMna6KVwAApRFT.jpg", "http://pbs.twimg.com/media/DcMna6KVwAApRFT.jpg")</f>
        <v/>
      </c>
      <c r="G2217" t="s"/>
      <c r="H2217" t="s"/>
      <c r="I2217" t="s"/>
      <c r="J2217" t="n">
        <v>0</v>
      </c>
      <c r="K2217" t="n">
        <v>0</v>
      </c>
      <c r="L2217" t="n">
        <v>1</v>
      </c>
      <c r="M2217" t="n">
        <v>0</v>
      </c>
    </row>
    <row r="2218" spans="1:13">
      <c r="A2218" s="1">
        <f>HYPERLINK("http://www.twitter.com/NathanBLawrence/status/991693796290301952", "991693796290301952")</f>
        <v/>
      </c>
      <c r="B2218" s="2" t="n">
        <v>43222.625</v>
      </c>
      <c r="C2218" t="n">
        <v>0</v>
      </c>
      <c r="D2218" t="n">
        <v>1</v>
      </c>
      <c r="E2218" t="s">
        <v>2211</v>
      </c>
      <c r="F2218" t="s"/>
      <c r="G2218" t="s"/>
      <c r="H2218" t="s"/>
      <c r="I2218" t="s"/>
      <c r="J2218" t="n">
        <v>0</v>
      </c>
      <c r="K2218" t="n">
        <v>0</v>
      </c>
      <c r="L2218" t="n">
        <v>1</v>
      </c>
      <c r="M2218" t="n">
        <v>0</v>
      </c>
    </row>
    <row r="2219" spans="1:13">
      <c r="A2219" s="1">
        <f>HYPERLINK("http://www.twitter.com/NathanBLawrence/status/991693427384430593", "991693427384430593")</f>
        <v/>
      </c>
      <c r="B2219" s="2" t="n">
        <v>43222.62398148148</v>
      </c>
      <c r="C2219" t="n">
        <v>7</v>
      </c>
      <c r="D2219" t="n">
        <v>1</v>
      </c>
      <c r="E2219" t="s">
        <v>2212</v>
      </c>
      <c r="F2219" t="s"/>
      <c r="G2219" t="s"/>
      <c r="H2219" t="s"/>
      <c r="I2219" t="s"/>
      <c r="J2219" t="n">
        <v>0</v>
      </c>
      <c r="K2219" t="n">
        <v>0</v>
      </c>
      <c r="L2219" t="n">
        <v>1</v>
      </c>
      <c r="M2219" t="n">
        <v>0</v>
      </c>
    </row>
    <row r="2220" spans="1:13">
      <c r="A2220" s="1">
        <f>HYPERLINK("http://www.twitter.com/NathanBLawrence/status/991693175969509378", "991693175969509378")</f>
        <v/>
      </c>
      <c r="B2220" s="2" t="n">
        <v>43222.62328703704</v>
      </c>
      <c r="C2220" t="n">
        <v>0</v>
      </c>
      <c r="D2220" t="n">
        <v>18</v>
      </c>
      <c r="E2220" t="s">
        <v>2213</v>
      </c>
      <c r="F2220">
        <f>HYPERLINK("http://pbs.twimg.com/media/DcMssT1X0AADr5k.jpg", "http://pbs.twimg.com/media/DcMssT1X0AADr5k.jpg")</f>
        <v/>
      </c>
      <c r="G2220" t="s"/>
      <c r="H2220" t="s"/>
      <c r="I2220" t="s"/>
      <c r="J2220" t="n">
        <v>0</v>
      </c>
      <c r="K2220" t="n">
        <v>0</v>
      </c>
      <c r="L2220" t="n">
        <v>1</v>
      </c>
      <c r="M2220" t="n">
        <v>0</v>
      </c>
    </row>
    <row r="2221" spans="1:13">
      <c r="A2221" s="1">
        <f>HYPERLINK("http://www.twitter.com/NathanBLawrence/status/991692992426774528", "991692992426774528")</f>
        <v/>
      </c>
      <c r="B2221" s="2" t="n">
        <v>43222.62277777777</v>
      </c>
      <c r="C2221" t="n">
        <v>23</v>
      </c>
      <c r="D2221" t="n">
        <v>15</v>
      </c>
      <c r="E2221" t="s">
        <v>2214</v>
      </c>
      <c r="F2221">
        <f>HYPERLINK("http://pbs.twimg.com/media/DcMzhCBVQAAWc5E.jpg", "http://pbs.twimg.com/media/DcMzhCBVQAAWc5E.jpg")</f>
        <v/>
      </c>
      <c r="G2221" t="s"/>
      <c r="H2221" t="s"/>
      <c r="I2221" t="s"/>
      <c r="J2221" t="n">
        <v>0</v>
      </c>
      <c r="K2221" t="n">
        <v>0</v>
      </c>
      <c r="L2221" t="n">
        <v>1</v>
      </c>
      <c r="M2221" t="n">
        <v>0</v>
      </c>
    </row>
    <row r="2222" spans="1:13">
      <c r="A2222" s="1">
        <f>HYPERLINK("http://www.twitter.com/NathanBLawrence/status/991690764106289154", "991690764106289154")</f>
        <v/>
      </c>
      <c r="B2222" s="2" t="n">
        <v>43222.61663194445</v>
      </c>
      <c r="C2222" t="n">
        <v>0</v>
      </c>
      <c r="D2222" t="n">
        <v>31484</v>
      </c>
      <c r="E2222" t="s">
        <v>2215</v>
      </c>
      <c r="F2222" t="s"/>
      <c r="G2222" t="s"/>
      <c r="H2222" t="s"/>
      <c r="I2222" t="s"/>
      <c r="J2222" t="n">
        <v>-0.3736</v>
      </c>
      <c r="K2222" t="n">
        <v>0.118</v>
      </c>
      <c r="L2222" t="n">
        <v>0.828</v>
      </c>
      <c r="M2222" t="n">
        <v>0.054</v>
      </c>
    </row>
    <row r="2223" spans="1:13">
      <c r="A2223" s="1">
        <f>HYPERLINK("http://www.twitter.com/NathanBLawrence/status/991685407476781056", "991685407476781056")</f>
        <v/>
      </c>
      <c r="B2223" s="2" t="n">
        <v>43222.60185185185</v>
      </c>
      <c r="C2223" t="n">
        <v>0</v>
      </c>
      <c r="D2223" t="n">
        <v>6</v>
      </c>
      <c r="E2223" t="s">
        <v>2216</v>
      </c>
      <c r="F2223">
        <f>HYPERLINK("http://pbs.twimg.com/media/DcMsBv-UwAEu6E7.jpg", "http://pbs.twimg.com/media/DcMsBv-UwAEu6E7.jpg")</f>
        <v/>
      </c>
      <c r="G2223" t="s"/>
      <c r="H2223" t="s"/>
      <c r="I2223" t="s"/>
      <c r="J2223" t="n">
        <v>0</v>
      </c>
      <c r="K2223" t="n">
        <v>0</v>
      </c>
      <c r="L2223" t="n">
        <v>1</v>
      </c>
      <c r="M2223" t="n">
        <v>0</v>
      </c>
    </row>
    <row r="2224" spans="1:13">
      <c r="A2224" s="1">
        <f>HYPERLINK("http://www.twitter.com/NathanBLawrence/status/991679949126987777", "991679949126987777")</f>
        <v/>
      </c>
      <c r="B2224" s="2" t="n">
        <v>43222.58679398148</v>
      </c>
      <c r="C2224" t="n">
        <v>0</v>
      </c>
      <c r="D2224" t="n">
        <v>1255</v>
      </c>
      <c r="E2224" t="s">
        <v>2217</v>
      </c>
      <c r="F2224" t="s"/>
      <c r="G2224" t="s"/>
      <c r="H2224" t="s"/>
      <c r="I2224" t="s"/>
      <c r="J2224" t="n">
        <v>0.8511</v>
      </c>
      <c r="K2224" t="n">
        <v>0</v>
      </c>
      <c r="L2224" t="n">
        <v>0.633</v>
      </c>
      <c r="M2224" t="n">
        <v>0.367</v>
      </c>
    </row>
    <row r="2225" spans="1:13">
      <c r="A2225" s="1">
        <f>HYPERLINK("http://www.twitter.com/NathanBLawrence/status/991669420899659782", "991669420899659782")</f>
        <v/>
      </c>
      <c r="B2225" s="2" t="n">
        <v>43222.55773148148</v>
      </c>
      <c r="C2225" t="n">
        <v>8</v>
      </c>
      <c r="D2225" t="n">
        <v>6</v>
      </c>
      <c r="E2225" t="s">
        <v>2218</v>
      </c>
      <c r="F2225">
        <f>HYPERLINK("http://pbs.twimg.com/media/DcMeE6YU0AAxg-A.jpg", "http://pbs.twimg.com/media/DcMeE6YU0AAxg-A.jpg")</f>
        <v/>
      </c>
      <c r="G2225" t="s"/>
      <c r="H2225" t="s"/>
      <c r="I2225" t="s"/>
      <c r="J2225" t="n">
        <v>0.0516</v>
      </c>
      <c r="K2225" t="n">
        <v>0.129</v>
      </c>
      <c r="L2225" t="n">
        <v>0.73</v>
      </c>
      <c r="M2225" t="n">
        <v>0.14</v>
      </c>
    </row>
    <row r="2226" spans="1:13">
      <c r="A2226" s="1">
        <f>HYPERLINK("http://www.twitter.com/NathanBLawrence/status/991668304572973056", "991668304572973056")</f>
        <v/>
      </c>
      <c r="B2226" s="2" t="n">
        <v>43222.55465277778</v>
      </c>
      <c r="C2226" t="n">
        <v>0</v>
      </c>
      <c r="D2226" t="n">
        <v>11</v>
      </c>
      <c r="E2226" t="s">
        <v>2219</v>
      </c>
      <c r="F2226">
        <f>HYPERLINK("http://pbs.twimg.com/media/DcIhiujW0AYlxVF.jpg", "http://pbs.twimg.com/media/DcIhiujW0AYlxVF.jpg")</f>
        <v/>
      </c>
      <c r="G2226" t="s"/>
      <c r="H2226" t="s"/>
      <c r="I2226" t="s"/>
      <c r="J2226" t="n">
        <v>0</v>
      </c>
      <c r="K2226" t="n">
        <v>0</v>
      </c>
      <c r="L2226" t="n">
        <v>1</v>
      </c>
      <c r="M2226" t="n">
        <v>0</v>
      </c>
    </row>
    <row r="2227" spans="1:13">
      <c r="A2227" s="1">
        <f>HYPERLINK("http://www.twitter.com/NathanBLawrence/status/991668062788210688", "991668062788210688")</f>
        <v/>
      </c>
      <c r="B2227" s="2" t="n">
        <v>43222.55399305555</v>
      </c>
      <c r="C2227" t="n">
        <v>10</v>
      </c>
      <c r="D2227" t="n">
        <v>1</v>
      </c>
      <c r="E2227" t="s">
        <v>2220</v>
      </c>
      <c r="F2227" t="s"/>
      <c r="G2227" t="s"/>
      <c r="H2227" t="s"/>
      <c r="I2227" t="s"/>
      <c r="J2227" t="n">
        <v>-0.6369</v>
      </c>
      <c r="K2227" t="n">
        <v>0.254</v>
      </c>
      <c r="L2227" t="n">
        <v>0.654</v>
      </c>
      <c r="M2227" t="n">
        <v>0.092</v>
      </c>
    </row>
    <row r="2228" spans="1:13">
      <c r="A2228" s="1">
        <f>HYPERLINK("http://www.twitter.com/NathanBLawrence/status/991667661934297089", "991667661934297089")</f>
        <v/>
      </c>
      <c r="B2228" s="2" t="n">
        <v>43222.55288194444</v>
      </c>
      <c r="C2228" t="n">
        <v>0</v>
      </c>
      <c r="D2228" t="n">
        <v>857</v>
      </c>
      <c r="E2228" t="s">
        <v>2221</v>
      </c>
      <c r="F2228" t="s"/>
      <c r="G2228" t="s"/>
      <c r="H2228" t="s"/>
      <c r="I2228" t="s"/>
      <c r="J2228" t="n">
        <v>0</v>
      </c>
      <c r="K2228" t="n">
        <v>0</v>
      </c>
      <c r="L2228" t="n">
        <v>1</v>
      </c>
      <c r="M2228" t="n">
        <v>0</v>
      </c>
    </row>
    <row r="2229" spans="1:13">
      <c r="A2229" s="1">
        <f>HYPERLINK("http://www.twitter.com/NathanBLawrence/status/991667396015542273", "991667396015542273")</f>
        <v/>
      </c>
      <c r="B2229" s="2" t="n">
        <v>43222.55215277777</v>
      </c>
      <c r="C2229" t="n">
        <v>0</v>
      </c>
      <c r="D2229" t="n">
        <v>1106</v>
      </c>
      <c r="E2229" t="s">
        <v>2222</v>
      </c>
      <c r="F2229">
        <f>HYPERLINK("http://pbs.twimg.com/media/DcJ5iayUQAAIHV6.jpg", "http://pbs.twimg.com/media/DcJ5iayUQAAIHV6.jpg")</f>
        <v/>
      </c>
      <c r="G2229" t="s"/>
      <c r="H2229" t="s"/>
      <c r="I2229" t="s"/>
      <c r="J2229" t="n">
        <v>-0.0422</v>
      </c>
      <c r="K2229" t="n">
        <v>0.136</v>
      </c>
      <c r="L2229" t="n">
        <v>0.702</v>
      </c>
      <c r="M2229" t="n">
        <v>0.162</v>
      </c>
    </row>
    <row r="2230" spans="1:13">
      <c r="A2230" s="1">
        <f>HYPERLINK("http://www.twitter.com/NathanBLawrence/status/991667356207284224", "991667356207284224")</f>
        <v/>
      </c>
      <c r="B2230" s="2" t="n">
        <v>43222.55203703704</v>
      </c>
      <c r="C2230" t="n">
        <v>0</v>
      </c>
      <c r="D2230" t="n">
        <v>1</v>
      </c>
      <c r="E2230" t="s">
        <v>2223</v>
      </c>
      <c r="F2230" t="s"/>
      <c r="G2230" t="s"/>
      <c r="H2230" t="s"/>
      <c r="I2230" t="s"/>
      <c r="J2230" t="n">
        <v>0</v>
      </c>
      <c r="K2230" t="n">
        <v>0</v>
      </c>
      <c r="L2230" t="n">
        <v>1</v>
      </c>
      <c r="M2230" t="n">
        <v>0</v>
      </c>
    </row>
    <row r="2231" spans="1:13">
      <c r="A2231" s="1">
        <f>HYPERLINK("http://www.twitter.com/NathanBLawrence/status/991667319695962112", "991667319695962112")</f>
        <v/>
      </c>
      <c r="B2231" s="2" t="n">
        <v>43222.55193287037</v>
      </c>
      <c r="C2231" t="n">
        <v>11</v>
      </c>
      <c r="D2231" t="n">
        <v>5</v>
      </c>
      <c r="E2231" t="s">
        <v>2224</v>
      </c>
      <c r="F2231" t="s"/>
      <c r="G2231" t="s"/>
      <c r="H2231" t="s"/>
      <c r="I2231" t="s"/>
      <c r="J2231" t="n">
        <v>-0.4767</v>
      </c>
      <c r="K2231" t="n">
        <v>0.179</v>
      </c>
      <c r="L2231" t="n">
        <v>0.746</v>
      </c>
      <c r="M2231" t="n">
        <v>0.075</v>
      </c>
    </row>
    <row r="2232" spans="1:13">
      <c r="A2232" s="1">
        <f>HYPERLINK("http://www.twitter.com/NathanBLawrence/status/991666548699025409", "991666548699025409")</f>
        <v/>
      </c>
      <c r="B2232" s="2" t="n">
        <v>43222.54981481482</v>
      </c>
      <c r="C2232" t="n">
        <v>0</v>
      </c>
      <c r="D2232" t="n">
        <v>1011</v>
      </c>
      <c r="E2232" t="s">
        <v>2225</v>
      </c>
      <c r="F2232" t="s"/>
      <c r="G2232" t="s"/>
      <c r="H2232" t="s"/>
      <c r="I2232" t="s"/>
      <c r="J2232" t="n">
        <v>-0.8139</v>
      </c>
      <c r="K2232" t="n">
        <v>0.304</v>
      </c>
      <c r="L2232" t="n">
        <v>0.696</v>
      </c>
      <c r="M2232" t="n">
        <v>0</v>
      </c>
    </row>
    <row r="2233" spans="1:13">
      <c r="A2233" s="1">
        <f>HYPERLINK("http://www.twitter.com/NathanBLawrence/status/991666100382429185", "991666100382429185")</f>
        <v/>
      </c>
      <c r="B2233" s="2" t="n">
        <v>43222.54857638889</v>
      </c>
      <c r="C2233" t="n">
        <v>35</v>
      </c>
      <c r="D2233" t="n">
        <v>40</v>
      </c>
      <c r="E2233" t="s">
        <v>2226</v>
      </c>
      <c r="F2233" t="s"/>
      <c r="G2233" t="s"/>
      <c r="H2233" t="s"/>
      <c r="I2233" t="s"/>
      <c r="J2233" t="n">
        <v>-0.34</v>
      </c>
      <c r="K2233" t="n">
        <v>0.054</v>
      </c>
      <c r="L2233" t="n">
        <v>0.946</v>
      </c>
      <c r="M2233" t="n">
        <v>0</v>
      </c>
    </row>
    <row r="2234" spans="1:13">
      <c r="A2234" s="1">
        <f>HYPERLINK("http://www.twitter.com/NathanBLawrence/status/991660869342941184", "991660869342941184")</f>
        <v/>
      </c>
      <c r="B2234" s="2" t="n">
        <v>43222.53414351852</v>
      </c>
      <c r="C2234" t="n">
        <v>1</v>
      </c>
      <c r="D2234" t="n">
        <v>0</v>
      </c>
      <c r="E2234" t="s">
        <v>2227</v>
      </c>
      <c r="F2234" t="s"/>
      <c r="G2234" t="s"/>
      <c r="H2234" t="s"/>
      <c r="I2234" t="s"/>
      <c r="J2234" t="n">
        <v>0.7351</v>
      </c>
      <c r="K2234" t="n">
        <v>0</v>
      </c>
      <c r="L2234" t="n">
        <v>0.446</v>
      </c>
      <c r="M2234" t="n">
        <v>0.554</v>
      </c>
    </row>
    <row r="2235" spans="1:13">
      <c r="A2235" s="1">
        <f>HYPERLINK("http://www.twitter.com/NathanBLawrence/status/991660575410343936", "991660575410343936")</f>
        <v/>
      </c>
      <c r="B2235" s="2" t="n">
        <v>43222.53332175926</v>
      </c>
      <c r="C2235" t="n">
        <v>4</v>
      </c>
      <c r="D2235" t="n">
        <v>0</v>
      </c>
      <c r="E2235" t="s">
        <v>2228</v>
      </c>
      <c r="F2235" t="s"/>
      <c r="G2235" t="s"/>
      <c r="H2235" t="s"/>
      <c r="I2235" t="s"/>
      <c r="J2235" t="n">
        <v>0</v>
      </c>
      <c r="K2235" t="n">
        <v>0</v>
      </c>
      <c r="L2235" t="n">
        <v>1</v>
      </c>
      <c r="M2235" t="n">
        <v>0</v>
      </c>
    </row>
    <row r="2236" spans="1:13">
      <c r="A2236" s="1">
        <f>HYPERLINK("http://www.twitter.com/NathanBLawrence/status/991659744237637633", "991659744237637633")</f>
        <v/>
      </c>
      <c r="B2236" s="2" t="n">
        <v>43222.53103009259</v>
      </c>
      <c r="C2236" t="n">
        <v>0</v>
      </c>
      <c r="D2236" t="n">
        <v>1017</v>
      </c>
      <c r="E2236" t="s">
        <v>2229</v>
      </c>
      <c r="F2236">
        <f>HYPERLINK("https://video.twimg.com/ext_tw_video/991656959479869441/pu/vid/1280x720/4LmISsOqyjr5OzMX.mp4?tag=3", "https://video.twimg.com/ext_tw_video/991656959479869441/pu/vid/1280x720/4LmISsOqyjr5OzMX.mp4?tag=3")</f>
        <v/>
      </c>
      <c r="G2236" t="s"/>
      <c r="H2236" t="s"/>
      <c r="I2236" t="s"/>
      <c r="J2236" t="n">
        <v>-0.4404</v>
      </c>
      <c r="K2236" t="n">
        <v>0.266</v>
      </c>
      <c r="L2236" t="n">
        <v>0.734</v>
      </c>
      <c r="M2236" t="n">
        <v>0</v>
      </c>
    </row>
    <row r="2237" spans="1:13">
      <c r="A2237" s="1">
        <f>HYPERLINK("http://www.twitter.com/NathanBLawrence/status/991657288569114626", "991657288569114626")</f>
        <v/>
      </c>
      <c r="B2237" s="2" t="n">
        <v>43222.52425925926</v>
      </c>
      <c r="C2237" t="n">
        <v>12</v>
      </c>
      <c r="D2237" t="n">
        <v>19</v>
      </c>
      <c r="E2237" t="s">
        <v>2230</v>
      </c>
      <c r="F2237" t="s"/>
      <c r="G2237" t="s"/>
      <c r="H2237" t="s"/>
      <c r="I2237" t="s"/>
      <c r="J2237" t="n">
        <v>0.6486</v>
      </c>
      <c r="K2237" t="n">
        <v>0</v>
      </c>
      <c r="L2237" t="n">
        <v>0.819</v>
      </c>
      <c r="M2237" t="n">
        <v>0.181</v>
      </c>
    </row>
    <row r="2238" spans="1:13">
      <c r="A2238" s="1">
        <f>HYPERLINK("http://www.twitter.com/NathanBLawrence/status/991654522169839616", "991654522169839616")</f>
        <v/>
      </c>
      <c r="B2238" s="2" t="n">
        <v>43222.51662037037</v>
      </c>
      <c r="C2238" t="n">
        <v>0</v>
      </c>
      <c r="D2238" t="n">
        <v>5</v>
      </c>
      <c r="E2238" t="s">
        <v>2231</v>
      </c>
      <c r="F2238" t="s"/>
      <c r="G2238" t="s"/>
      <c r="H2238" t="s"/>
      <c r="I2238" t="s"/>
      <c r="J2238" t="n">
        <v>0</v>
      </c>
      <c r="K2238" t="n">
        <v>0</v>
      </c>
      <c r="L2238" t="n">
        <v>1</v>
      </c>
      <c r="M2238" t="n">
        <v>0</v>
      </c>
    </row>
    <row r="2239" spans="1:13">
      <c r="A2239" s="1">
        <f>HYPERLINK("http://www.twitter.com/NathanBLawrence/status/991654460492566530", "991654460492566530")</f>
        <v/>
      </c>
      <c r="B2239" s="2" t="n">
        <v>43222.51645833333</v>
      </c>
      <c r="C2239" t="n">
        <v>0</v>
      </c>
      <c r="D2239" t="n">
        <v>1</v>
      </c>
      <c r="E2239" t="s">
        <v>2232</v>
      </c>
      <c r="F2239" t="s"/>
      <c r="G2239" t="s"/>
      <c r="H2239" t="s"/>
      <c r="I2239" t="s"/>
      <c r="J2239" t="n">
        <v>-0.4019</v>
      </c>
      <c r="K2239" t="n">
        <v>0.192</v>
      </c>
      <c r="L2239" t="n">
        <v>0.707</v>
      </c>
      <c r="M2239" t="n">
        <v>0.101</v>
      </c>
    </row>
    <row r="2240" spans="1:13">
      <c r="A2240" s="1">
        <f>HYPERLINK("http://www.twitter.com/NathanBLawrence/status/991520148707299328", "991520148707299328")</f>
        <v/>
      </c>
      <c r="B2240" s="2" t="n">
        <v>43222.14582175926</v>
      </c>
      <c r="C2240" t="n">
        <v>0</v>
      </c>
      <c r="D2240" t="n">
        <v>0</v>
      </c>
      <c r="E2240" t="s">
        <v>2233</v>
      </c>
      <c r="F2240" t="s"/>
      <c r="G2240" t="s"/>
      <c r="H2240" t="s"/>
      <c r="I2240" t="s"/>
      <c r="J2240" t="n">
        <v>0</v>
      </c>
      <c r="K2240" t="n">
        <v>0</v>
      </c>
      <c r="L2240" t="n">
        <v>1</v>
      </c>
      <c r="M2240" t="n">
        <v>0</v>
      </c>
    </row>
    <row r="2241" spans="1:13">
      <c r="A2241" s="1">
        <f>HYPERLINK("http://www.twitter.com/NathanBLawrence/status/991519102580723713", "991519102580723713")</f>
        <v/>
      </c>
      <c r="B2241" s="2" t="n">
        <v>43222.14293981482</v>
      </c>
      <c r="C2241" t="n">
        <v>0</v>
      </c>
      <c r="D2241" t="n">
        <v>0</v>
      </c>
      <c r="E2241" t="s">
        <v>2234</v>
      </c>
      <c r="F2241" t="s"/>
      <c r="G2241" t="s"/>
      <c r="H2241" t="s"/>
      <c r="I2241" t="s"/>
      <c r="J2241" t="n">
        <v>0</v>
      </c>
      <c r="K2241" t="n">
        <v>0</v>
      </c>
      <c r="L2241" t="n">
        <v>1</v>
      </c>
      <c r="M2241" t="n">
        <v>0</v>
      </c>
    </row>
    <row r="2242" spans="1:13">
      <c r="A2242" s="1">
        <f>HYPERLINK("http://www.twitter.com/NathanBLawrence/status/991506148347056128", "991506148347056128")</f>
        <v/>
      </c>
      <c r="B2242" s="2" t="n">
        <v>43222.1071875</v>
      </c>
      <c r="C2242" t="n">
        <v>0</v>
      </c>
      <c r="D2242" t="n">
        <v>0</v>
      </c>
      <c r="E2242" t="s">
        <v>2235</v>
      </c>
      <c r="F2242" t="s"/>
      <c r="G2242" t="s"/>
      <c r="H2242" t="s"/>
      <c r="I2242" t="s"/>
      <c r="J2242" t="n">
        <v>0</v>
      </c>
      <c r="K2242" t="n">
        <v>0</v>
      </c>
      <c r="L2242" t="n">
        <v>1</v>
      </c>
      <c r="M2242" t="n">
        <v>0</v>
      </c>
    </row>
    <row r="2243" spans="1:13">
      <c r="A2243" s="1">
        <f>HYPERLINK("http://www.twitter.com/NathanBLawrence/status/991505033240989696", "991505033240989696")</f>
        <v/>
      </c>
      <c r="B2243" s="2" t="n">
        <v>43222.10410879629</v>
      </c>
      <c r="C2243" t="n">
        <v>0</v>
      </c>
      <c r="D2243" t="n">
        <v>10963</v>
      </c>
      <c r="E2243" t="s">
        <v>2236</v>
      </c>
      <c r="F2243" t="s"/>
      <c r="G2243" t="s"/>
      <c r="H2243" t="s"/>
      <c r="I2243" t="s"/>
      <c r="J2243" t="n">
        <v>0.6597</v>
      </c>
      <c r="K2243" t="n">
        <v>0</v>
      </c>
      <c r="L2243" t="n">
        <v>0.769</v>
      </c>
      <c r="M2243" t="n">
        <v>0.231</v>
      </c>
    </row>
    <row r="2244" spans="1:13">
      <c r="A2244" s="1">
        <f>HYPERLINK("http://www.twitter.com/NathanBLawrence/status/991505017189404677", "991505017189404677")</f>
        <v/>
      </c>
      <c r="B2244" s="2" t="n">
        <v>43222.10407407407</v>
      </c>
      <c r="C2244" t="n">
        <v>0</v>
      </c>
      <c r="D2244" t="n">
        <v>19646</v>
      </c>
      <c r="E2244" t="s">
        <v>2237</v>
      </c>
      <c r="F2244" t="s"/>
      <c r="G2244" t="s"/>
      <c r="H2244" t="s"/>
      <c r="I2244" t="s"/>
      <c r="J2244" t="n">
        <v>-0.4019</v>
      </c>
      <c r="K2244" t="n">
        <v>0.194</v>
      </c>
      <c r="L2244" t="n">
        <v>0.72</v>
      </c>
      <c r="M2244" t="n">
        <v>0.08599999999999999</v>
      </c>
    </row>
    <row r="2245" spans="1:13">
      <c r="A2245" s="1">
        <f>HYPERLINK("http://www.twitter.com/NathanBLawrence/status/991479713276289024", "991479713276289024")</f>
        <v/>
      </c>
      <c r="B2245" s="2" t="n">
        <v>43222.03424768519</v>
      </c>
      <c r="C2245" t="n">
        <v>0</v>
      </c>
      <c r="D2245" t="n">
        <v>0</v>
      </c>
      <c r="E2245" t="s">
        <v>2238</v>
      </c>
      <c r="F2245" t="s"/>
      <c r="G2245" t="s"/>
      <c r="H2245" t="s"/>
      <c r="I2245" t="s"/>
      <c r="J2245" t="n">
        <v>0.8398</v>
      </c>
      <c r="K2245" t="n">
        <v>0</v>
      </c>
      <c r="L2245" t="n">
        <v>0.527</v>
      </c>
      <c r="M2245" t="n">
        <v>0.473</v>
      </c>
    </row>
    <row r="2246" spans="1:13">
      <c r="A2246" s="1">
        <f>HYPERLINK("http://www.twitter.com/NathanBLawrence/status/991464295325106176", "991464295325106176")</f>
        <v/>
      </c>
      <c r="B2246" s="2" t="n">
        <v>43221.99170138889</v>
      </c>
      <c r="C2246" t="n">
        <v>0</v>
      </c>
      <c r="D2246" t="n">
        <v>134</v>
      </c>
      <c r="E2246" t="s">
        <v>2239</v>
      </c>
      <c r="F2246" t="s"/>
      <c r="G2246" t="s"/>
      <c r="H2246" t="s"/>
      <c r="I2246" t="s"/>
      <c r="J2246" t="n">
        <v>-0.4767</v>
      </c>
      <c r="K2246" t="n">
        <v>0.237</v>
      </c>
      <c r="L2246" t="n">
        <v>0.613</v>
      </c>
      <c r="M2246" t="n">
        <v>0.15</v>
      </c>
    </row>
    <row r="2247" spans="1:13">
      <c r="A2247" s="1">
        <f>HYPERLINK("http://www.twitter.com/NathanBLawrence/status/991444591999160321", "991444591999160321")</f>
        <v/>
      </c>
      <c r="B2247" s="2" t="n">
        <v>43221.93732638889</v>
      </c>
      <c r="C2247" t="n">
        <v>0</v>
      </c>
      <c r="D2247" t="n">
        <v>1</v>
      </c>
      <c r="E2247" t="s">
        <v>2240</v>
      </c>
      <c r="F2247" t="s"/>
      <c r="G2247" t="s"/>
      <c r="H2247" t="s"/>
      <c r="I2247" t="s"/>
      <c r="J2247" t="n">
        <v>0.4019</v>
      </c>
      <c r="K2247" t="n">
        <v>0</v>
      </c>
      <c r="L2247" t="n">
        <v>0.87</v>
      </c>
      <c r="M2247" t="n">
        <v>0.13</v>
      </c>
    </row>
    <row r="2248" spans="1:13">
      <c r="A2248" s="1">
        <f>HYPERLINK("http://www.twitter.com/NathanBLawrence/status/991444533618577418", "991444533618577418")</f>
        <v/>
      </c>
      <c r="B2248" s="2" t="n">
        <v>43221.93716435185</v>
      </c>
      <c r="C2248" t="n">
        <v>0</v>
      </c>
      <c r="D2248" t="n">
        <v>3</v>
      </c>
      <c r="E2248" t="s">
        <v>2241</v>
      </c>
      <c r="F2248">
        <f>HYPERLINK("http://pbs.twimg.com/media/DcH2w-DU0AEluK5.jpg", "http://pbs.twimg.com/media/DcH2w-DU0AEluK5.jpg")</f>
        <v/>
      </c>
      <c r="G2248" t="s"/>
      <c r="H2248" t="s"/>
      <c r="I2248" t="s"/>
      <c r="J2248" t="n">
        <v>0</v>
      </c>
      <c r="K2248" t="n">
        <v>0</v>
      </c>
      <c r="L2248" t="n">
        <v>1</v>
      </c>
      <c r="M2248" t="n">
        <v>0</v>
      </c>
    </row>
    <row r="2249" spans="1:13">
      <c r="A2249" s="1">
        <f>HYPERLINK("http://www.twitter.com/NathanBLawrence/status/991444492371812352", "991444492371812352")</f>
        <v/>
      </c>
      <c r="B2249" s="2" t="n">
        <v>43221.93704861111</v>
      </c>
      <c r="C2249" t="n">
        <v>0</v>
      </c>
      <c r="D2249" t="n">
        <v>2</v>
      </c>
      <c r="E2249" t="s">
        <v>2242</v>
      </c>
      <c r="F2249">
        <f>HYPERLINK("http://pbs.twimg.com/media/DcCUohZX0AADNBG.jpg", "http://pbs.twimg.com/media/DcCUohZX0AADNBG.jpg")</f>
        <v/>
      </c>
      <c r="G2249" t="s"/>
      <c r="H2249" t="s"/>
      <c r="I2249" t="s"/>
      <c r="J2249" t="n">
        <v>0.1882</v>
      </c>
      <c r="K2249" t="n">
        <v>0.117</v>
      </c>
      <c r="L2249" t="n">
        <v>0.727</v>
      </c>
      <c r="M2249" t="n">
        <v>0.156</v>
      </c>
    </row>
    <row r="2250" spans="1:13">
      <c r="A2250" s="1">
        <f>HYPERLINK("http://www.twitter.com/NathanBLawrence/status/991427950410125312", "991427950410125312")</f>
        <v/>
      </c>
      <c r="B2250" s="2" t="n">
        <v>43221.89140046296</v>
      </c>
      <c r="C2250" t="n">
        <v>0</v>
      </c>
      <c r="D2250" t="n">
        <v>5</v>
      </c>
      <c r="E2250" t="s">
        <v>2243</v>
      </c>
      <c r="F2250" t="s"/>
      <c r="G2250" t="s"/>
      <c r="H2250" t="s"/>
      <c r="I2250" t="s"/>
      <c r="J2250" t="n">
        <v>0.836</v>
      </c>
      <c r="K2250" t="n">
        <v>0.093</v>
      </c>
      <c r="L2250" t="n">
        <v>0.506</v>
      </c>
      <c r="M2250" t="n">
        <v>0.401</v>
      </c>
    </row>
    <row r="2251" spans="1:13">
      <c r="A2251" s="1">
        <f>HYPERLINK("http://www.twitter.com/NathanBLawrence/status/991427762551508992", "991427762551508992")</f>
        <v/>
      </c>
      <c r="B2251" s="2" t="n">
        <v>43221.8908912037</v>
      </c>
      <c r="C2251" t="n">
        <v>1</v>
      </c>
      <c r="D2251" t="n">
        <v>0</v>
      </c>
      <c r="E2251" t="s">
        <v>2244</v>
      </c>
      <c r="F2251" t="s"/>
      <c r="G2251" t="s"/>
      <c r="H2251" t="s"/>
      <c r="I2251" t="s"/>
      <c r="J2251" t="n">
        <v>0.3182</v>
      </c>
      <c r="K2251" t="n">
        <v>0</v>
      </c>
      <c r="L2251" t="n">
        <v>0.5659999999999999</v>
      </c>
      <c r="M2251" t="n">
        <v>0.434</v>
      </c>
    </row>
    <row r="2252" spans="1:13">
      <c r="A2252" s="1">
        <f>HYPERLINK("http://www.twitter.com/NathanBLawrence/status/991427700156977152", "991427700156977152")</f>
        <v/>
      </c>
      <c r="B2252" s="2" t="n">
        <v>43221.89071759259</v>
      </c>
      <c r="C2252" t="n">
        <v>0</v>
      </c>
      <c r="D2252" t="n">
        <v>1</v>
      </c>
      <c r="E2252" t="s">
        <v>2245</v>
      </c>
      <c r="F2252" t="s"/>
      <c r="G2252" t="s"/>
      <c r="H2252" t="s"/>
      <c r="I2252" t="s"/>
      <c r="J2252" t="n">
        <v>0.3182</v>
      </c>
      <c r="K2252" t="n">
        <v>0</v>
      </c>
      <c r="L2252" t="n">
        <v>0.8129999999999999</v>
      </c>
      <c r="M2252" t="n">
        <v>0.187</v>
      </c>
    </row>
    <row r="2253" spans="1:13">
      <c r="A2253" s="1">
        <f>HYPERLINK("http://www.twitter.com/NathanBLawrence/status/991427563636559872", "991427563636559872")</f>
        <v/>
      </c>
      <c r="B2253" s="2" t="n">
        <v>43221.89033564815</v>
      </c>
      <c r="C2253" t="n">
        <v>0</v>
      </c>
      <c r="D2253" t="n">
        <v>1</v>
      </c>
      <c r="E2253" t="s">
        <v>2246</v>
      </c>
      <c r="F2253" t="s"/>
      <c r="G2253" t="s"/>
      <c r="H2253" t="s"/>
      <c r="I2253" t="s"/>
      <c r="J2253" t="n">
        <v>-0.2732</v>
      </c>
      <c r="K2253" t="n">
        <v>0.08400000000000001</v>
      </c>
      <c r="L2253" t="n">
        <v>0.916</v>
      </c>
      <c r="M2253" t="n">
        <v>0</v>
      </c>
    </row>
    <row r="2254" spans="1:13">
      <c r="A2254" s="1">
        <f>HYPERLINK("http://www.twitter.com/NathanBLawrence/status/991427313106653186", "991427313106653186")</f>
        <v/>
      </c>
      <c r="B2254" s="2" t="n">
        <v>43221.88964120371</v>
      </c>
      <c r="C2254" t="n">
        <v>0</v>
      </c>
      <c r="D2254" t="n">
        <v>8</v>
      </c>
      <c r="E2254" t="s">
        <v>2247</v>
      </c>
      <c r="F2254" t="s"/>
      <c r="G2254" t="s"/>
      <c r="H2254" t="s"/>
      <c r="I2254" t="s"/>
      <c r="J2254" t="n">
        <v>0</v>
      </c>
      <c r="K2254" t="n">
        <v>0</v>
      </c>
      <c r="L2254" t="n">
        <v>1</v>
      </c>
      <c r="M2254" t="n">
        <v>0</v>
      </c>
    </row>
    <row r="2255" spans="1:13">
      <c r="A2255" s="1">
        <f>HYPERLINK("http://www.twitter.com/NathanBLawrence/status/991427205560446976", "991427205560446976")</f>
        <v/>
      </c>
      <c r="B2255" s="2" t="n">
        <v>43221.88935185185</v>
      </c>
      <c r="C2255" t="n">
        <v>0</v>
      </c>
      <c r="D2255" t="n">
        <v>0</v>
      </c>
      <c r="E2255" t="s">
        <v>2248</v>
      </c>
      <c r="F2255">
        <f>HYPERLINK("https://video.twimg.com/ext_tw_video/991427106104950784/pu/vid/318x180/O8pczxtXTgxBpAhJ.mp4?tag=3", "https://video.twimg.com/ext_tw_video/991427106104950784/pu/vid/318x180/O8pczxtXTgxBpAhJ.mp4?tag=3")</f>
        <v/>
      </c>
      <c r="G2255" t="s"/>
      <c r="H2255" t="s"/>
      <c r="I2255" t="s"/>
      <c r="J2255" t="n">
        <v>0</v>
      </c>
      <c r="K2255" t="n">
        <v>0</v>
      </c>
      <c r="L2255" t="n">
        <v>1</v>
      </c>
      <c r="M2255" t="n">
        <v>0</v>
      </c>
    </row>
    <row r="2256" spans="1:13">
      <c r="A2256" s="1">
        <f>HYPERLINK("http://www.twitter.com/NathanBLawrence/status/991426868225114114", "991426868225114114")</f>
        <v/>
      </c>
      <c r="B2256" s="2" t="n">
        <v>43221.88841435185</v>
      </c>
      <c r="C2256" t="n">
        <v>0</v>
      </c>
      <c r="D2256" t="n">
        <v>17</v>
      </c>
      <c r="E2256" t="s">
        <v>2249</v>
      </c>
      <c r="F2256">
        <f>HYPERLINK("https://video.twimg.com/ext_tw_video/991419927033778176/pu/vid/1280x720/Ku_zlV5la8NdQysW.mp4?tag=3", "https://video.twimg.com/ext_tw_video/991419927033778176/pu/vid/1280x720/Ku_zlV5la8NdQysW.mp4?tag=3")</f>
        <v/>
      </c>
      <c r="G2256" t="s"/>
      <c r="H2256" t="s"/>
      <c r="I2256" t="s"/>
      <c r="J2256" t="n">
        <v>-0.516</v>
      </c>
      <c r="K2256" t="n">
        <v>0.217</v>
      </c>
      <c r="L2256" t="n">
        <v>0.783</v>
      </c>
      <c r="M2256" t="n">
        <v>0</v>
      </c>
    </row>
    <row r="2257" spans="1:13">
      <c r="A2257" s="1">
        <f>HYPERLINK("http://www.twitter.com/NathanBLawrence/status/991390856665018369", "991390856665018369")</f>
        <v/>
      </c>
      <c r="B2257" s="2" t="n">
        <v>43221.78905092592</v>
      </c>
      <c r="C2257" t="n">
        <v>7</v>
      </c>
      <c r="D2257" t="n">
        <v>5</v>
      </c>
      <c r="E2257" t="s">
        <v>2250</v>
      </c>
      <c r="F2257" t="s"/>
      <c r="G2257" t="s"/>
      <c r="H2257" t="s"/>
      <c r="I2257" t="s"/>
      <c r="J2257" t="n">
        <v>0.891</v>
      </c>
      <c r="K2257" t="n">
        <v>0.082</v>
      </c>
      <c r="L2257" t="n">
        <v>0.476</v>
      </c>
      <c r="M2257" t="n">
        <v>0.442</v>
      </c>
    </row>
    <row r="2258" spans="1:13">
      <c r="A2258" s="1">
        <f>HYPERLINK("http://www.twitter.com/NathanBLawrence/status/991390288705982464", "991390288705982464")</f>
        <v/>
      </c>
      <c r="B2258" s="2" t="n">
        <v>43221.78747685185</v>
      </c>
      <c r="C2258" t="n">
        <v>0</v>
      </c>
      <c r="D2258" t="n">
        <v>3230</v>
      </c>
      <c r="E2258" t="s">
        <v>2251</v>
      </c>
      <c r="F2258">
        <f>HYPERLINK("http://pbs.twimg.com/media/DcIgCQSVQAAe1sT.jpg", "http://pbs.twimg.com/media/DcIgCQSVQAAe1sT.jpg")</f>
        <v/>
      </c>
      <c r="G2258" t="s"/>
      <c r="H2258" t="s"/>
      <c r="I2258" t="s"/>
      <c r="J2258" t="n">
        <v>-0.0258</v>
      </c>
      <c r="K2258" t="n">
        <v>0.108</v>
      </c>
      <c r="L2258" t="n">
        <v>0.788</v>
      </c>
      <c r="M2258" t="n">
        <v>0.104</v>
      </c>
    </row>
    <row r="2259" spans="1:13">
      <c r="A2259" s="1">
        <f>HYPERLINK("http://www.twitter.com/NathanBLawrence/status/991389828909617153", "991389828909617153")</f>
        <v/>
      </c>
      <c r="B2259" s="2" t="n">
        <v>43221.78621527777</v>
      </c>
      <c r="C2259" t="n">
        <v>0</v>
      </c>
      <c r="D2259" t="n">
        <v>26972</v>
      </c>
      <c r="E2259" t="s">
        <v>2252</v>
      </c>
      <c r="F2259" t="s"/>
      <c r="G2259" t="s"/>
      <c r="H2259" t="s"/>
      <c r="I2259" t="s"/>
      <c r="J2259" t="n">
        <v>0.2266</v>
      </c>
      <c r="K2259" t="n">
        <v>0.214</v>
      </c>
      <c r="L2259" t="n">
        <v>0.535</v>
      </c>
      <c r="M2259" t="n">
        <v>0.251</v>
      </c>
    </row>
    <row r="2260" spans="1:13">
      <c r="A2260" s="1">
        <f>HYPERLINK("http://www.twitter.com/NathanBLawrence/status/991389761343492096", "991389761343492096")</f>
        <v/>
      </c>
      <c r="B2260" s="2" t="n">
        <v>43221.78601851852</v>
      </c>
      <c r="C2260" t="n">
        <v>0</v>
      </c>
      <c r="D2260" t="n">
        <v>50</v>
      </c>
      <c r="E2260" t="s">
        <v>2253</v>
      </c>
      <c r="F2260">
        <f>HYPERLINK("http://pbs.twimg.com/media/DcFxU-8V0AAsXfz.jpg", "http://pbs.twimg.com/media/DcFxU-8V0AAsXfz.jpg")</f>
        <v/>
      </c>
      <c r="G2260" t="s"/>
      <c r="H2260" t="s"/>
      <c r="I2260" t="s"/>
      <c r="J2260" t="n">
        <v>-0.6249</v>
      </c>
      <c r="K2260" t="n">
        <v>0.272</v>
      </c>
      <c r="L2260" t="n">
        <v>0.728</v>
      </c>
      <c r="M2260" t="n">
        <v>0</v>
      </c>
    </row>
    <row r="2261" spans="1:13">
      <c r="A2261" s="1">
        <f>HYPERLINK("http://www.twitter.com/NathanBLawrence/status/991389669769252864", "991389669769252864")</f>
        <v/>
      </c>
      <c r="B2261" s="2" t="n">
        <v>43221.78577546297</v>
      </c>
      <c r="C2261" t="n">
        <v>0</v>
      </c>
      <c r="D2261" t="n">
        <v>3681</v>
      </c>
      <c r="E2261" t="s">
        <v>2254</v>
      </c>
      <c r="F2261">
        <f>HYPERLINK("http://pbs.twimg.com/media/Db90_vZVMAASvSy.jpg", "http://pbs.twimg.com/media/Db90_vZVMAASvSy.jpg")</f>
        <v/>
      </c>
      <c r="G2261" t="s"/>
      <c r="H2261" t="s"/>
      <c r="I2261" t="s"/>
      <c r="J2261" t="n">
        <v>0.7964</v>
      </c>
      <c r="K2261" t="n">
        <v>0</v>
      </c>
      <c r="L2261" t="n">
        <v>0.701</v>
      </c>
      <c r="M2261" t="n">
        <v>0.299</v>
      </c>
    </row>
    <row r="2262" spans="1:13">
      <c r="A2262" s="1">
        <f>HYPERLINK("http://www.twitter.com/NathanBLawrence/status/991389507151941632", "991389507151941632")</f>
        <v/>
      </c>
      <c r="B2262" s="2" t="n">
        <v>43221.78532407407</v>
      </c>
      <c r="C2262" t="n">
        <v>0</v>
      </c>
      <c r="D2262" t="n">
        <v>8575</v>
      </c>
      <c r="E2262" t="s">
        <v>2255</v>
      </c>
      <c r="F2262" t="s"/>
      <c r="G2262" t="s"/>
      <c r="H2262" t="s"/>
      <c r="I2262" t="s"/>
      <c r="J2262" t="n">
        <v>0</v>
      </c>
      <c r="K2262" t="n">
        <v>0</v>
      </c>
      <c r="L2262" t="n">
        <v>1</v>
      </c>
      <c r="M2262" t="n">
        <v>0</v>
      </c>
    </row>
    <row r="2263" spans="1:13">
      <c r="A2263" s="1">
        <f>HYPERLINK("http://www.twitter.com/NathanBLawrence/status/991370150866817025", "991370150866817025")</f>
        <v/>
      </c>
      <c r="B2263" s="2" t="n">
        <v>43221.73190972222</v>
      </c>
      <c r="C2263" t="n">
        <v>0</v>
      </c>
      <c r="D2263" t="n">
        <v>2</v>
      </c>
      <c r="E2263" t="s">
        <v>2256</v>
      </c>
      <c r="F2263" t="s"/>
      <c r="G2263" t="s"/>
      <c r="H2263" t="s"/>
      <c r="I2263" t="s"/>
      <c r="J2263" t="n">
        <v>0</v>
      </c>
      <c r="K2263" t="n">
        <v>0</v>
      </c>
      <c r="L2263" t="n">
        <v>1</v>
      </c>
      <c r="M2263" t="n">
        <v>0</v>
      </c>
    </row>
    <row r="2264" spans="1:13">
      <c r="A2264" s="1">
        <f>HYPERLINK("http://www.twitter.com/NathanBLawrence/status/991326771256709126", "991326771256709126")</f>
        <v/>
      </c>
      <c r="B2264" s="2" t="n">
        <v>43221.61219907407</v>
      </c>
      <c r="C2264" t="n">
        <v>0</v>
      </c>
      <c r="D2264" t="n">
        <v>0</v>
      </c>
      <c r="E2264" t="s">
        <v>2257</v>
      </c>
      <c r="F2264">
        <f>HYPERLINK("https://video.twimg.com/ext_tw_video/991326753795657729/pu/vid/240x180/-8snGy5O5Y121Bv5.mp4?tag=3", "https://video.twimg.com/ext_tw_video/991326753795657729/pu/vid/240x180/-8snGy5O5Y121Bv5.mp4?tag=3")</f>
        <v/>
      </c>
      <c r="G2264" t="s"/>
      <c r="H2264" t="s"/>
      <c r="I2264" t="s"/>
      <c r="J2264" t="n">
        <v>0</v>
      </c>
      <c r="K2264" t="n">
        <v>0</v>
      </c>
      <c r="L2264" t="n">
        <v>1</v>
      </c>
      <c r="M2264" t="n">
        <v>0</v>
      </c>
    </row>
    <row r="2265" spans="1:13">
      <c r="A2265" s="1">
        <f>HYPERLINK("http://www.twitter.com/NathanBLawrence/status/991326313935003649", "991326313935003649")</f>
        <v/>
      </c>
      <c r="B2265" s="2" t="n">
        <v>43221.6109375</v>
      </c>
      <c r="C2265" t="n">
        <v>0</v>
      </c>
      <c r="D2265" t="n">
        <v>1</v>
      </c>
      <c r="E2265" t="s">
        <v>2258</v>
      </c>
      <c r="F2265" t="s"/>
      <c r="G2265" t="s"/>
      <c r="H2265" t="s"/>
      <c r="I2265" t="s"/>
      <c r="J2265" t="n">
        <v>0.2335</v>
      </c>
      <c r="K2265" t="n">
        <v>0.104</v>
      </c>
      <c r="L2265" t="n">
        <v>0.743</v>
      </c>
      <c r="M2265" t="n">
        <v>0.153</v>
      </c>
    </row>
    <row r="2266" spans="1:13">
      <c r="A2266" s="1">
        <f>HYPERLINK("http://www.twitter.com/NathanBLawrence/status/991265319388962816", "991265319388962816")</f>
        <v/>
      </c>
      <c r="B2266" s="2" t="n">
        <v>43221.44262731481</v>
      </c>
      <c r="C2266" t="n">
        <v>1</v>
      </c>
      <c r="D2266" t="n">
        <v>0</v>
      </c>
      <c r="E2266" t="s">
        <v>2259</v>
      </c>
      <c r="F2266" t="s"/>
      <c r="G2266" t="s"/>
      <c r="H2266" t="s"/>
      <c r="I2266" t="s"/>
      <c r="J2266" t="n">
        <v>-0.2732</v>
      </c>
      <c r="K2266" t="n">
        <v>0.344</v>
      </c>
      <c r="L2266" t="n">
        <v>0.656</v>
      </c>
      <c r="M2266" t="n">
        <v>0</v>
      </c>
    </row>
    <row r="2267" spans="1:13">
      <c r="A2267" s="1">
        <f>HYPERLINK("http://www.twitter.com/NathanBLawrence/status/991264226558791680", "991264226558791680")</f>
        <v/>
      </c>
      <c r="B2267" s="2" t="n">
        <v>43221.43961805556</v>
      </c>
      <c r="C2267" t="n">
        <v>0</v>
      </c>
      <c r="D2267" t="n">
        <v>2</v>
      </c>
      <c r="E2267" t="s">
        <v>2260</v>
      </c>
      <c r="F2267" t="s"/>
      <c r="G2267" t="s"/>
      <c r="H2267" t="s"/>
      <c r="I2267" t="s"/>
      <c r="J2267" t="n">
        <v>0.9326</v>
      </c>
      <c r="K2267" t="n">
        <v>0</v>
      </c>
      <c r="L2267" t="n">
        <v>0.548</v>
      </c>
      <c r="M2267" t="n">
        <v>0.452</v>
      </c>
    </row>
    <row r="2268" spans="1:13">
      <c r="A2268" s="1">
        <f>HYPERLINK("http://www.twitter.com/NathanBLawrence/status/991259963480793088", "991259963480793088")</f>
        <v/>
      </c>
      <c r="B2268" s="2" t="n">
        <v>43221.42784722222</v>
      </c>
      <c r="C2268" t="n">
        <v>1</v>
      </c>
      <c r="D2268" t="n">
        <v>0</v>
      </c>
      <c r="E2268" t="s">
        <v>2261</v>
      </c>
      <c r="F2268" t="s"/>
      <c r="G2268" t="s"/>
      <c r="H2268" t="s"/>
      <c r="I2268" t="s"/>
      <c r="J2268" t="n">
        <v>0</v>
      </c>
      <c r="K2268" t="n">
        <v>0</v>
      </c>
      <c r="L2268" t="n">
        <v>1</v>
      </c>
      <c r="M2268" t="n">
        <v>0</v>
      </c>
    </row>
    <row r="2269" spans="1:13">
      <c r="A2269" s="1">
        <f>HYPERLINK("http://www.twitter.com/NathanBLawrence/status/991259201279287301", "991259201279287301")</f>
        <v/>
      </c>
      <c r="B2269" s="2" t="n">
        <v>43221.42574074074</v>
      </c>
      <c r="C2269" t="n">
        <v>3</v>
      </c>
      <c r="D2269" t="n">
        <v>1</v>
      </c>
      <c r="E2269" t="s">
        <v>2262</v>
      </c>
      <c r="F2269" t="s"/>
      <c r="G2269" t="s"/>
      <c r="H2269" t="s"/>
      <c r="I2269" t="s"/>
      <c r="J2269" t="n">
        <v>0.7269</v>
      </c>
      <c r="K2269" t="n">
        <v>0</v>
      </c>
      <c r="L2269" t="n">
        <v>0.247</v>
      </c>
      <c r="M2269" t="n">
        <v>0.753</v>
      </c>
    </row>
    <row r="2270" spans="1:13">
      <c r="A2270" s="1">
        <f>HYPERLINK("http://www.twitter.com/NathanBLawrence/status/991258903278247936", "991258903278247936")</f>
        <v/>
      </c>
      <c r="B2270" s="2" t="n">
        <v>43221.42491898148</v>
      </c>
      <c r="C2270" t="n">
        <v>0</v>
      </c>
      <c r="D2270" t="n">
        <v>1</v>
      </c>
      <c r="E2270" t="s">
        <v>2263</v>
      </c>
      <c r="F2270" t="s"/>
      <c r="G2270" t="s"/>
      <c r="H2270" t="s"/>
      <c r="I2270" t="s"/>
      <c r="J2270" t="n">
        <v>-0.6124000000000001</v>
      </c>
      <c r="K2270" t="n">
        <v>0.333</v>
      </c>
      <c r="L2270" t="n">
        <v>0.667</v>
      </c>
      <c r="M2270" t="n">
        <v>0</v>
      </c>
    </row>
    <row r="2271" spans="1:13">
      <c r="A2271" s="1">
        <f>HYPERLINK("http://www.twitter.com/NathanBLawrence/status/991257875434655744", "991257875434655744")</f>
        <v/>
      </c>
      <c r="B2271" s="2" t="n">
        <v>43221.42208333333</v>
      </c>
      <c r="C2271" t="n">
        <v>0</v>
      </c>
      <c r="D2271" t="n">
        <v>0</v>
      </c>
      <c r="E2271" t="s">
        <v>2264</v>
      </c>
      <c r="F2271" t="s"/>
      <c r="G2271" t="s"/>
      <c r="H2271" t="s"/>
      <c r="I2271" t="s"/>
      <c r="J2271" t="n">
        <v>0</v>
      </c>
      <c r="K2271" t="n">
        <v>0</v>
      </c>
      <c r="L2271" t="n">
        <v>1</v>
      </c>
      <c r="M2271" t="n">
        <v>0</v>
      </c>
    </row>
    <row r="2272" spans="1:13">
      <c r="A2272" s="1">
        <f>HYPERLINK("http://www.twitter.com/NathanBLawrence/status/991256241795104768", "991256241795104768")</f>
        <v/>
      </c>
      <c r="B2272" s="2" t="n">
        <v>43221.41758101852</v>
      </c>
      <c r="C2272" t="n">
        <v>0</v>
      </c>
      <c r="D2272" t="n">
        <v>7780</v>
      </c>
      <c r="E2272" t="s">
        <v>2265</v>
      </c>
      <c r="F2272">
        <f>HYPERLINK("http://pbs.twimg.com/media/DbZ-FvoUwAAFYiV.jpg", "http://pbs.twimg.com/media/DbZ-FvoUwAAFYiV.jpg")</f>
        <v/>
      </c>
      <c r="G2272">
        <f>HYPERLINK("http://pbs.twimg.com/media/DbZ-FvmV0AABgYv.jpg", "http://pbs.twimg.com/media/DbZ-FvmV0AABgYv.jpg")</f>
        <v/>
      </c>
      <c r="H2272">
        <f>HYPERLINK("http://pbs.twimg.com/media/DbZ-FvpU8AAxy_e.jpg", "http://pbs.twimg.com/media/DbZ-FvpU8AAxy_e.jpg")</f>
        <v/>
      </c>
      <c r="I2272">
        <f>HYPERLINK("http://pbs.twimg.com/media/DbZ-FvnUwAAqYgZ.jpg", "http://pbs.twimg.com/media/DbZ-FvnUwAAqYgZ.jpg")</f>
        <v/>
      </c>
      <c r="J2272" t="n">
        <v>0</v>
      </c>
      <c r="K2272" t="n">
        <v>0</v>
      </c>
      <c r="L2272" t="n">
        <v>1</v>
      </c>
      <c r="M2272" t="n">
        <v>0</v>
      </c>
    </row>
    <row r="2273" spans="1:13">
      <c r="A2273" s="1">
        <f>HYPERLINK("http://www.twitter.com/NathanBLawrence/status/991253843181752321", "991253843181752321")</f>
        <v/>
      </c>
      <c r="B2273" s="2" t="n">
        <v>43221.41096064815</v>
      </c>
      <c r="C2273" t="n">
        <v>5</v>
      </c>
      <c r="D2273" t="n">
        <v>0</v>
      </c>
      <c r="E2273" t="s">
        <v>2266</v>
      </c>
      <c r="F2273" t="s"/>
      <c r="G2273" t="s"/>
      <c r="H2273" t="s"/>
      <c r="I2273" t="s"/>
      <c r="J2273" t="n">
        <v>0</v>
      </c>
      <c r="K2273" t="n">
        <v>0</v>
      </c>
      <c r="L2273" t="n">
        <v>1</v>
      </c>
      <c r="M2273" t="n">
        <v>0</v>
      </c>
    </row>
    <row r="2274" spans="1:13">
      <c r="A2274" s="1">
        <f>HYPERLINK("http://www.twitter.com/NathanBLawrence/status/991249893649010688", "991249893649010688")</f>
        <v/>
      </c>
      <c r="B2274" s="2" t="n">
        <v>43221.40005787037</v>
      </c>
      <c r="C2274" t="n">
        <v>1</v>
      </c>
      <c r="D2274" t="n">
        <v>0</v>
      </c>
      <c r="E2274" t="s">
        <v>2267</v>
      </c>
      <c r="F2274" t="s"/>
      <c r="G2274" t="s"/>
      <c r="H2274" t="s"/>
      <c r="I2274" t="s"/>
      <c r="J2274" t="n">
        <v>0</v>
      </c>
      <c r="K2274" t="n">
        <v>0</v>
      </c>
      <c r="L2274" t="n">
        <v>1</v>
      </c>
      <c r="M2274" t="n">
        <v>0</v>
      </c>
    </row>
    <row r="2275" spans="1:13">
      <c r="A2275" s="1">
        <f>HYPERLINK("http://www.twitter.com/NathanBLawrence/status/991249658734313472", "991249658734313472")</f>
        <v/>
      </c>
      <c r="B2275" s="2" t="n">
        <v>43221.39940972222</v>
      </c>
      <c r="C2275" t="n">
        <v>0</v>
      </c>
      <c r="D2275" t="n">
        <v>3</v>
      </c>
      <c r="E2275" t="s">
        <v>2268</v>
      </c>
      <c r="F2275">
        <f>HYPERLINK("http://pbs.twimg.com/media/DcGfR19VQAALT-W.jpg", "http://pbs.twimg.com/media/DcGfR19VQAALT-W.jpg")</f>
        <v/>
      </c>
      <c r="G2275" t="s"/>
      <c r="H2275" t="s"/>
      <c r="I2275" t="s"/>
      <c r="J2275" t="n">
        <v>0.8126</v>
      </c>
      <c r="K2275" t="n">
        <v>0</v>
      </c>
      <c r="L2275" t="n">
        <v>0.739</v>
      </c>
      <c r="M2275" t="n">
        <v>0.261</v>
      </c>
    </row>
    <row r="2276" spans="1:13">
      <c r="A2276" s="1">
        <f>HYPERLINK("http://www.twitter.com/NathanBLawrence/status/991249127550930945", "991249127550930945")</f>
        <v/>
      </c>
      <c r="B2276" s="2" t="n">
        <v>43221.39795138889</v>
      </c>
      <c r="C2276" t="n">
        <v>0</v>
      </c>
      <c r="D2276" t="n">
        <v>4</v>
      </c>
      <c r="E2276" t="s">
        <v>2269</v>
      </c>
      <c r="F2276" t="s"/>
      <c r="G2276" t="s"/>
      <c r="H2276" t="s"/>
      <c r="I2276" t="s"/>
      <c r="J2276" t="n">
        <v>-0.5266999999999999</v>
      </c>
      <c r="K2276" t="n">
        <v>0.152</v>
      </c>
      <c r="L2276" t="n">
        <v>0.848</v>
      </c>
      <c r="M2276" t="n">
        <v>0</v>
      </c>
    </row>
    <row r="2277" spans="1:13">
      <c r="A2277" s="1">
        <f>HYPERLINK("http://www.twitter.com/NathanBLawrence/status/991248753343516672", "991248753343516672")</f>
        <v/>
      </c>
      <c r="B2277" s="2" t="n">
        <v>43221.39690972222</v>
      </c>
      <c r="C2277" t="n">
        <v>4</v>
      </c>
      <c r="D2277" t="n">
        <v>1</v>
      </c>
      <c r="E2277" t="s">
        <v>2270</v>
      </c>
      <c r="F2277" t="s"/>
      <c r="G2277" t="s"/>
      <c r="H2277" t="s"/>
      <c r="I2277" t="s"/>
      <c r="J2277" t="n">
        <v>-0.5106000000000001</v>
      </c>
      <c r="K2277" t="n">
        <v>0.121</v>
      </c>
      <c r="L2277" t="n">
        <v>0.879</v>
      </c>
      <c r="M2277" t="n">
        <v>0</v>
      </c>
    </row>
    <row r="2278" spans="1:13">
      <c r="A2278" s="1">
        <f>HYPERLINK("http://www.twitter.com/NathanBLawrence/status/991248334475100161", "991248334475100161")</f>
        <v/>
      </c>
      <c r="B2278" s="2" t="n">
        <v>43221.39576388889</v>
      </c>
      <c r="C2278" t="n">
        <v>1</v>
      </c>
      <c r="D2278" t="n">
        <v>0</v>
      </c>
      <c r="E2278" t="s">
        <v>2271</v>
      </c>
      <c r="F2278" t="s"/>
      <c r="G2278" t="s"/>
      <c r="H2278" t="s"/>
      <c r="I2278" t="s"/>
      <c r="J2278" t="n">
        <v>0</v>
      </c>
      <c r="K2278" t="n">
        <v>0</v>
      </c>
      <c r="L2278" t="n">
        <v>1</v>
      </c>
      <c r="M2278" t="n">
        <v>0</v>
      </c>
    </row>
    <row r="2279" spans="1:13">
      <c r="A2279" s="1">
        <f>HYPERLINK("http://www.twitter.com/NathanBLawrence/status/991247996548415488", "991247996548415488")</f>
        <v/>
      </c>
      <c r="B2279" s="2" t="n">
        <v>43221.39482638889</v>
      </c>
      <c r="C2279" t="n">
        <v>0</v>
      </c>
      <c r="D2279" t="n">
        <v>6</v>
      </c>
      <c r="E2279" t="s">
        <v>2272</v>
      </c>
      <c r="F2279" t="s"/>
      <c r="G2279" t="s"/>
      <c r="H2279" t="s"/>
      <c r="I2279" t="s"/>
      <c r="J2279" t="n">
        <v>0.7297</v>
      </c>
      <c r="K2279" t="n">
        <v>0</v>
      </c>
      <c r="L2279" t="n">
        <v>0.723</v>
      </c>
      <c r="M2279" t="n">
        <v>0.277</v>
      </c>
    </row>
    <row r="2280" spans="1:13">
      <c r="A2280" s="1">
        <f>HYPERLINK("http://www.twitter.com/NathanBLawrence/status/991247843288633345", "991247843288633345")</f>
        <v/>
      </c>
      <c r="B2280" s="2" t="n">
        <v>43221.39439814815</v>
      </c>
      <c r="C2280" t="n">
        <v>3</v>
      </c>
      <c r="D2280" t="n">
        <v>0</v>
      </c>
      <c r="E2280" t="s">
        <v>2273</v>
      </c>
      <c r="F2280" t="s"/>
      <c r="G2280" t="s"/>
      <c r="H2280" t="s"/>
      <c r="I2280" t="s"/>
      <c r="J2280" t="n">
        <v>0</v>
      </c>
      <c r="K2280" t="n">
        <v>0</v>
      </c>
      <c r="L2280" t="n">
        <v>1</v>
      </c>
      <c r="M2280" t="n">
        <v>0</v>
      </c>
    </row>
    <row r="2281" spans="1:13">
      <c r="A2281" s="1">
        <f>HYPERLINK("http://www.twitter.com/NathanBLawrence/status/991175623560323077", "991175623560323077")</f>
        <v/>
      </c>
      <c r="B2281" s="2" t="n">
        <v>43221.19511574074</v>
      </c>
      <c r="C2281" t="n">
        <v>0</v>
      </c>
      <c r="D2281" t="n">
        <v>2</v>
      </c>
      <c r="E2281" t="s">
        <v>2274</v>
      </c>
      <c r="F2281" t="s"/>
      <c r="G2281" t="s"/>
      <c r="H2281" t="s"/>
      <c r="I2281" t="s"/>
      <c r="J2281" t="n">
        <v>0</v>
      </c>
      <c r="K2281" t="n">
        <v>0</v>
      </c>
      <c r="L2281" t="n">
        <v>1</v>
      </c>
      <c r="M2281" t="n">
        <v>0</v>
      </c>
    </row>
    <row r="2282" spans="1:13">
      <c r="A2282" s="1">
        <f>HYPERLINK("http://www.twitter.com/NathanBLawrence/status/991155138046898181", "991155138046898181")</f>
        <v/>
      </c>
      <c r="B2282" s="2" t="n">
        <v>43221.13858796296</v>
      </c>
      <c r="C2282" t="n">
        <v>2</v>
      </c>
      <c r="D2282" t="n">
        <v>0</v>
      </c>
      <c r="E2282" t="s">
        <v>2275</v>
      </c>
      <c r="F2282" t="s"/>
      <c r="G2282" t="s"/>
      <c r="H2282" t="s"/>
      <c r="I2282" t="s"/>
      <c r="J2282" t="n">
        <v>-0.4767</v>
      </c>
      <c r="K2282" t="n">
        <v>0.437</v>
      </c>
      <c r="L2282" t="n">
        <v>0.5629999999999999</v>
      </c>
      <c r="M2282" t="n">
        <v>0</v>
      </c>
    </row>
    <row r="2283" spans="1:13">
      <c r="A2283" s="1">
        <f>HYPERLINK("http://www.twitter.com/NathanBLawrence/status/991154946438520837", "991154946438520837")</f>
        <v/>
      </c>
      <c r="B2283" s="2" t="n">
        <v>43221.13805555556</v>
      </c>
      <c r="C2283" t="n">
        <v>0</v>
      </c>
      <c r="D2283" t="n">
        <v>107</v>
      </c>
      <c r="E2283" t="s">
        <v>2276</v>
      </c>
      <c r="F2283">
        <f>HYPERLINK("http://pbs.twimg.com/media/DcERSmFWAAEV2U7.jpg", "http://pbs.twimg.com/media/DcERSmFWAAEV2U7.jpg")</f>
        <v/>
      </c>
      <c r="G2283" t="s"/>
      <c r="H2283" t="s"/>
      <c r="I2283" t="s"/>
      <c r="J2283" t="n">
        <v>0.802</v>
      </c>
      <c r="K2283" t="n">
        <v>0</v>
      </c>
      <c r="L2283" t="n">
        <v>0.6870000000000001</v>
      </c>
      <c r="M2283" t="n">
        <v>0.313</v>
      </c>
    </row>
    <row r="2284" spans="1:13">
      <c r="A2284" s="1">
        <f>HYPERLINK("http://www.twitter.com/NathanBLawrence/status/991154852284821504", "991154852284821504")</f>
        <v/>
      </c>
      <c r="B2284" s="2" t="n">
        <v>43221.13780092593</v>
      </c>
      <c r="C2284" t="n">
        <v>0</v>
      </c>
      <c r="D2284" t="n">
        <v>129</v>
      </c>
      <c r="E2284" t="s">
        <v>2277</v>
      </c>
      <c r="F2284" t="s"/>
      <c r="G2284" t="s"/>
      <c r="H2284" t="s"/>
      <c r="I2284" t="s"/>
      <c r="J2284" t="n">
        <v>-0.5754</v>
      </c>
      <c r="K2284" t="n">
        <v>0.189</v>
      </c>
      <c r="L2284" t="n">
        <v>0.8110000000000001</v>
      </c>
      <c r="M2284" t="n">
        <v>0</v>
      </c>
    </row>
    <row r="2285" spans="1:13">
      <c r="A2285" s="1">
        <f>HYPERLINK("http://www.twitter.com/NathanBLawrence/status/991154395244040192", "991154395244040192")</f>
        <v/>
      </c>
      <c r="B2285" s="2" t="n">
        <v>43221.13653935185</v>
      </c>
      <c r="C2285" t="n">
        <v>0</v>
      </c>
      <c r="D2285" t="n">
        <v>212</v>
      </c>
      <c r="E2285" t="s">
        <v>2278</v>
      </c>
      <c r="F2285" t="s"/>
      <c r="G2285" t="s"/>
      <c r="H2285" t="s"/>
      <c r="I2285" t="s"/>
      <c r="J2285" t="n">
        <v>0</v>
      </c>
      <c r="K2285" t="n">
        <v>0</v>
      </c>
      <c r="L2285" t="n">
        <v>1</v>
      </c>
      <c r="M2285" t="n">
        <v>0</v>
      </c>
    </row>
    <row r="2286" spans="1:13">
      <c r="A2286" s="1">
        <f>HYPERLINK("http://www.twitter.com/NathanBLawrence/status/991145858308636677", "991145858308636677")</f>
        <v/>
      </c>
      <c r="B2286" s="2" t="n">
        <v>43221.11297453703</v>
      </c>
      <c r="C2286" t="n">
        <v>0</v>
      </c>
      <c r="D2286" t="n">
        <v>1099</v>
      </c>
      <c r="E2286" t="s">
        <v>2279</v>
      </c>
      <c r="F2286" t="s"/>
      <c r="G2286" t="s"/>
      <c r="H2286" t="s"/>
      <c r="I2286" t="s"/>
      <c r="J2286" t="n">
        <v>0.1027</v>
      </c>
      <c r="K2286" t="n">
        <v>0.102</v>
      </c>
      <c r="L2286" t="n">
        <v>0.779</v>
      </c>
      <c r="M2286" t="n">
        <v>0.119</v>
      </c>
    </row>
    <row r="2287" spans="1:13">
      <c r="A2287" s="1">
        <f>HYPERLINK("http://www.twitter.com/NathanBLawrence/status/991145793905135616", "991145793905135616")</f>
        <v/>
      </c>
      <c r="B2287" s="2" t="n">
        <v>43221.11280092593</v>
      </c>
      <c r="C2287" t="n">
        <v>0</v>
      </c>
      <c r="D2287" t="n">
        <v>175</v>
      </c>
      <c r="E2287" t="s">
        <v>2280</v>
      </c>
      <c r="F2287">
        <f>HYPERLINK("http://pbs.twimg.com/media/Dbo-lSTVwAAfyWC.jpg", "http://pbs.twimg.com/media/Dbo-lSTVwAAfyWC.jpg")</f>
        <v/>
      </c>
      <c r="G2287" t="s"/>
      <c r="H2287" t="s"/>
      <c r="I2287" t="s"/>
      <c r="J2287" t="n">
        <v>0</v>
      </c>
      <c r="K2287" t="n">
        <v>0</v>
      </c>
      <c r="L2287" t="n">
        <v>1</v>
      </c>
      <c r="M2287" t="n">
        <v>0</v>
      </c>
    </row>
    <row r="2288" spans="1:13">
      <c r="A2288" s="1">
        <f>HYPERLINK("http://www.twitter.com/NathanBLawrence/status/991145755292389376", "991145755292389376")</f>
        <v/>
      </c>
      <c r="B2288" s="2" t="n">
        <v>43221.11269675926</v>
      </c>
      <c r="C2288" t="n">
        <v>0</v>
      </c>
      <c r="D2288" t="n">
        <v>4</v>
      </c>
      <c r="E2288" t="s">
        <v>2281</v>
      </c>
      <c r="F2288" t="s"/>
      <c r="G2288" t="s"/>
      <c r="H2288" t="s"/>
      <c r="I2288" t="s"/>
      <c r="J2288" t="n">
        <v>-0.34</v>
      </c>
      <c r="K2288" t="n">
        <v>0.156</v>
      </c>
      <c r="L2288" t="n">
        <v>0.844</v>
      </c>
      <c r="M2288" t="n">
        <v>0</v>
      </c>
    </row>
    <row r="2289" spans="1:13">
      <c r="A2289" s="1">
        <f>HYPERLINK("http://www.twitter.com/NathanBLawrence/status/991145707854802944", "991145707854802944")</f>
        <v/>
      </c>
      <c r="B2289" s="2" t="n">
        <v>43221.11256944444</v>
      </c>
      <c r="C2289" t="n">
        <v>0</v>
      </c>
      <c r="D2289" t="n">
        <v>510</v>
      </c>
      <c r="E2289" t="s">
        <v>2282</v>
      </c>
      <c r="F2289">
        <f>HYPERLINK("http://pbs.twimg.com/media/DcDfBsmV4AEeIPJ.jpg", "http://pbs.twimg.com/media/DcDfBsmV4AEeIPJ.jpg")</f>
        <v/>
      </c>
      <c r="G2289" t="s"/>
      <c r="H2289" t="s"/>
      <c r="I2289" t="s"/>
      <c r="J2289" t="n">
        <v>0.5574</v>
      </c>
      <c r="K2289" t="n">
        <v>0</v>
      </c>
      <c r="L2289" t="n">
        <v>0.865</v>
      </c>
      <c r="M2289" t="n">
        <v>0.135</v>
      </c>
    </row>
    <row r="2290" spans="1:13">
      <c r="A2290" s="1">
        <f>HYPERLINK("http://www.twitter.com/NathanBLawrence/status/991145656277524480", "991145656277524480")</f>
        <v/>
      </c>
      <c r="B2290" s="2" t="n">
        <v>43221.11241898148</v>
      </c>
      <c r="C2290" t="n">
        <v>0</v>
      </c>
      <c r="D2290" t="n">
        <v>3613</v>
      </c>
      <c r="E2290" t="s">
        <v>2283</v>
      </c>
      <c r="F2290" t="s"/>
      <c r="G2290" t="s"/>
      <c r="H2290" t="s"/>
      <c r="I2290" t="s"/>
      <c r="J2290" t="n">
        <v>-0.4588</v>
      </c>
      <c r="K2290" t="n">
        <v>0.111</v>
      </c>
      <c r="L2290" t="n">
        <v>0.889</v>
      </c>
      <c r="M2290" t="n">
        <v>0</v>
      </c>
    </row>
    <row r="2291" spans="1:13">
      <c r="A2291" s="1">
        <f>HYPERLINK("http://www.twitter.com/NathanBLawrence/status/991145529655676928", "991145529655676928")</f>
        <v/>
      </c>
      <c r="B2291" s="2" t="n">
        <v>43221.11207175926</v>
      </c>
      <c r="C2291" t="n">
        <v>0</v>
      </c>
      <c r="D2291" t="n">
        <v>1</v>
      </c>
      <c r="E2291" t="s">
        <v>2284</v>
      </c>
      <c r="F2291" t="s"/>
      <c r="G2291" t="s"/>
      <c r="H2291" t="s"/>
      <c r="I2291" t="s"/>
      <c r="J2291" t="n">
        <v>0</v>
      </c>
      <c r="K2291" t="n">
        <v>0</v>
      </c>
      <c r="L2291" t="n">
        <v>1</v>
      </c>
      <c r="M2291" t="n">
        <v>0</v>
      </c>
    </row>
    <row r="2292" spans="1:13">
      <c r="A2292" s="1">
        <f>HYPERLINK("http://www.twitter.com/NathanBLawrence/status/991145514291908608", "991145514291908608")</f>
        <v/>
      </c>
      <c r="B2292" s="2" t="n">
        <v>43221.11202546296</v>
      </c>
      <c r="C2292" t="n">
        <v>0</v>
      </c>
      <c r="D2292" t="n">
        <v>1</v>
      </c>
      <c r="E2292" t="s">
        <v>2285</v>
      </c>
      <c r="F2292" t="s"/>
      <c r="G2292" t="s"/>
      <c r="H2292" t="s"/>
      <c r="I2292" t="s"/>
      <c r="J2292" t="n">
        <v>0</v>
      </c>
      <c r="K2292" t="n">
        <v>0</v>
      </c>
      <c r="L2292" t="n">
        <v>1</v>
      </c>
      <c r="M2292" t="n">
        <v>0</v>
      </c>
    </row>
    <row r="2293" spans="1:13">
      <c r="A2293" s="1">
        <f>HYPERLINK("http://www.twitter.com/NathanBLawrence/status/991145476656390144", "991145476656390144")</f>
        <v/>
      </c>
      <c r="B2293" s="2" t="n">
        <v>43221.11192129629</v>
      </c>
      <c r="C2293" t="n">
        <v>0</v>
      </c>
      <c r="D2293" t="n">
        <v>0</v>
      </c>
      <c r="E2293" t="s">
        <v>2286</v>
      </c>
      <c r="F2293" t="s"/>
      <c r="G2293" t="s"/>
      <c r="H2293" t="s"/>
      <c r="I2293" t="s"/>
      <c r="J2293" t="n">
        <v>0.5046</v>
      </c>
      <c r="K2293" t="n">
        <v>0</v>
      </c>
      <c r="L2293" t="n">
        <v>0.71</v>
      </c>
      <c r="M2293" t="n">
        <v>0.29</v>
      </c>
    </row>
    <row r="2294" spans="1:13">
      <c r="A2294" s="1">
        <f>HYPERLINK("http://www.twitter.com/NathanBLawrence/status/991145263929659392", "991145263929659392")</f>
        <v/>
      </c>
      <c r="B2294" s="2" t="n">
        <v>43221.11134259259</v>
      </c>
      <c r="C2294" t="n">
        <v>0</v>
      </c>
      <c r="D2294" t="n">
        <v>1</v>
      </c>
      <c r="E2294" t="s">
        <v>2287</v>
      </c>
      <c r="F2294" t="s"/>
      <c r="G2294" t="s"/>
      <c r="H2294" t="s"/>
      <c r="I2294" t="s"/>
      <c r="J2294" t="n">
        <v>0</v>
      </c>
      <c r="K2294" t="n">
        <v>0</v>
      </c>
      <c r="L2294" t="n">
        <v>1</v>
      </c>
      <c r="M2294" t="n">
        <v>0</v>
      </c>
    </row>
    <row r="2295" spans="1:13">
      <c r="A2295" s="1">
        <f>HYPERLINK("http://www.twitter.com/NathanBLawrence/status/991145106626531328", "991145106626531328")</f>
        <v/>
      </c>
      <c r="B2295" s="2" t="n">
        <v>43221.11090277778</v>
      </c>
      <c r="C2295" t="n">
        <v>2</v>
      </c>
      <c r="D2295" t="n">
        <v>0</v>
      </c>
      <c r="E2295" t="s">
        <v>2288</v>
      </c>
      <c r="F2295" t="s"/>
      <c r="G2295" t="s"/>
      <c r="H2295" t="s"/>
      <c r="I2295" t="s"/>
      <c r="J2295" t="n">
        <v>0</v>
      </c>
      <c r="K2295" t="n">
        <v>0</v>
      </c>
      <c r="L2295" t="n">
        <v>1</v>
      </c>
      <c r="M2295" t="n">
        <v>0</v>
      </c>
    </row>
    <row r="2296" spans="1:13">
      <c r="A2296" s="1">
        <f>HYPERLINK("http://www.twitter.com/NathanBLawrence/status/991145070148583424", "991145070148583424")</f>
        <v/>
      </c>
      <c r="B2296" s="2" t="n">
        <v>43221.11079861111</v>
      </c>
      <c r="C2296" t="n">
        <v>0</v>
      </c>
      <c r="D2296" t="n">
        <v>1</v>
      </c>
      <c r="E2296" t="s">
        <v>2289</v>
      </c>
      <c r="F2296" t="s"/>
      <c r="G2296" t="s"/>
      <c r="H2296" t="s"/>
      <c r="I2296" t="s"/>
      <c r="J2296" t="n">
        <v>0</v>
      </c>
      <c r="K2296" t="n">
        <v>0</v>
      </c>
      <c r="L2296" t="n">
        <v>1</v>
      </c>
      <c r="M2296" t="n">
        <v>0</v>
      </c>
    </row>
    <row r="2297" spans="1:13">
      <c r="A2297" s="1">
        <f>HYPERLINK("http://www.twitter.com/NathanBLawrence/status/991124421720133638", "991124421720133638")</f>
        <v/>
      </c>
      <c r="B2297" s="2" t="n">
        <v>43221.05381944445</v>
      </c>
      <c r="C2297" t="n">
        <v>0</v>
      </c>
      <c r="D2297" t="n">
        <v>11625</v>
      </c>
      <c r="E2297" t="s">
        <v>2290</v>
      </c>
      <c r="F2297" t="s"/>
      <c r="G2297" t="s"/>
      <c r="H2297" t="s"/>
      <c r="I2297" t="s"/>
      <c r="J2297" t="n">
        <v>-0.2263</v>
      </c>
      <c r="K2297" t="n">
        <v>0.221</v>
      </c>
      <c r="L2297" t="n">
        <v>0.632</v>
      </c>
      <c r="M2297" t="n">
        <v>0.146</v>
      </c>
    </row>
    <row r="2298" spans="1:13">
      <c r="A2298" s="1">
        <f>HYPERLINK("http://www.twitter.com/NathanBLawrence/status/991124353424265217", "991124353424265217")</f>
        <v/>
      </c>
      <c r="B2298" s="2" t="n">
        <v>43221.05363425926</v>
      </c>
      <c r="C2298" t="n">
        <v>0</v>
      </c>
      <c r="D2298" t="n">
        <v>39</v>
      </c>
      <c r="E2298" t="s">
        <v>2291</v>
      </c>
      <c r="F2298">
        <f>HYPERLINK("http://pbs.twimg.com/media/DcEuDfWVQAA9b-E.jpg", "http://pbs.twimg.com/media/DcEuDfWVQAA9b-E.jpg")</f>
        <v/>
      </c>
      <c r="G2298" t="s"/>
      <c r="H2298" t="s"/>
      <c r="I2298" t="s"/>
      <c r="J2298" t="n">
        <v>-0.7096</v>
      </c>
      <c r="K2298" t="n">
        <v>0.219</v>
      </c>
      <c r="L2298" t="n">
        <v>0.781</v>
      </c>
      <c r="M2298" t="n">
        <v>0</v>
      </c>
    </row>
    <row r="2299" spans="1:13">
      <c r="A2299" s="1">
        <f>HYPERLINK("http://www.twitter.com/NathanBLawrence/status/991124220691337216", "991124220691337216")</f>
        <v/>
      </c>
      <c r="B2299" s="2" t="n">
        <v>43221.05327546296</v>
      </c>
      <c r="C2299" t="n">
        <v>1</v>
      </c>
      <c r="D2299" t="n">
        <v>0</v>
      </c>
      <c r="E2299" t="s">
        <v>2292</v>
      </c>
      <c r="F2299" t="s"/>
      <c r="G2299" t="s"/>
      <c r="H2299" t="s"/>
      <c r="I2299" t="s"/>
      <c r="J2299" t="n">
        <v>0</v>
      </c>
      <c r="K2299" t="n">
        <v>0</v>
      </c>
      <c r="L2299" t="n">
        <v>1</v>
      </c>
      <c r="M2299" t="n">
        <v>0</v>
      </c>
    </row>
    <row r="2300" spans="1:13">
      <c r="A2300" s="1">
        <f>HYPERLINK("http://www.twitter.com/NathanBLawrence/status/991122798973157376", "991122798973157376")</f>
        <v/>
      </c>
      <c r="B2300" s="2" t="n">
        <v>43221.04935185185</v>
      </c>
      <c r="C2300" t="n">
        <v>1</v>
      </c>
      <c r="D2300" t="n">
        <v>0</v>
      </c>
      <c r="E2300" t="s">
        <v>2293</v>
      </c>
      <c r="F2300" t="s"/>
      <c r="G2300" t="s"/>
      <c r="H2300" t="s"/>
      <c r="I2300" t="s"/>
      <c r="J2300" t="n">
        <v>0.34</v>
      </c>
      <c r="K2300" t="n">
        <v>0</v>
      </c>
      <c r="L2300" t="n">
        <v>0.854</v>
      </c>
      <c r="M2300" t="n">
        <v>0.146</v>
      </c>
    </row>
    <row r="2301" spans="1:13">
      <c r="A2301" s="1">
        <f>HYPERLINK("http://www.twitter.com/NathanBLawrence/status/991121831439556608", "991121831439556608")</f>
        <v/>
      </c>
      <c r="B2301" s="2" t="n">
        <v>43221.04667824074</v>
      </c>
      <c r="C2301" t="n">
        <v>0</v>
      </c>
      <c r="D2301" t="n">
        <v>1</v>
      </c>
      <c r="E2301" t="s">
        <v>2294</v>
      </c>
      <c r="F2301" t="s"/>
      <c r="G2301" t="s"/>
      <c r="H2301" t="s"/>
      <c r="I2301" t="s"/>
      <c r="J2301" t="n">
        <v>0.4215</v>
      </c>
      <c r="K2301" t="n">
        <v>0</v>
      </c>
      <c r="L2301" t="n">
        <v>0.882</v>
      </c>
      <c r="M2301" t="n">
        <v>0.118</v>
      </c>
    </row>
    <row r="2302" spans="1:13">
      <c r="A2302" s="1">
        <f>HYPERLINK("http://www.twitter.com/NathanBLawrence/status/991121632038195201", "991121632038195201")</f>
        <v/>
      </c>
      <c r="B2302" s="2" t="n">
        <v>43221.04612268518</v>
      </c>
      <c r="C2302" t="n">
        <v>0</v>
      </c>
      <c r="D2302" t="n">
        <v>1</v>
      </c>
      <c r="E2302" t="s">
        <v>2295</v>
      </c>
      <c r="F2302" t="s"/>
      <c r="G2302" t="s"/>
      <c r="H2302" t="s"/>
      <c r="I2302" t="s"/>
      <c r="J2302" t="n">
        <v>-0.636</v>
      </c>
      <c r="K2302" t="n">
        <v>0.305</v>
      </c>
      <c r="L2302" t="n">
        <v>0.595</v>
      </c>
      <c r="M2302" t="n">
        <v>0.099</v>
      </c>
    </row>
    <row r="2303" spans="1:13">
      <c r="A2303" s="1">
        <f>HYPERLINK("http://www.twitter.com/NathanBLawrence/status/991112825513836544", "991112825513836544")</f>
        <v/>
      </c>
      <c r="B2303" s="2" t="n">
        <v>43221.02182870371</v>
      </c>
      <c r="C2303" t="n">
        <v>1</v>
      </c>
      <c r="D2303" t="n">
        <v>0</v>
      </c>
      <c r="E2303" t="s">
        <v>2296</v>
      </c>
      <c r="F2303" t="s"/>
      <c r="G2303" t="s"/>
      <c r="H2303" t="s"/>
      <c r="I2303" t="s"/>
      <c r="J2303" t="n">
        <v>0.3612</v>
      </c>
      <c r="K2303" t="n">
        <v>0</v>
      </c>
      <c r="L2303" t="n">
        <v>0.444</v>
      </c>
      <c r="M2303" t="n">
        <v>0.556</v>
      </c>
    </row>
    <row r="2304" spans="1:13">
      <c r="A2304" s="1">
        <f>HYPERLINK("http://www.twitter.com/NathanBLawrence/status/991112762905579521", "991112762905579521")</f>
        <v/>
      </c>
      <c r="B2304" s="2" t="n">
        <v>43221.02165509259</v>
      </c>
      <c r="C2304" t="n">
        <v>0</v>
      </c>
      <c r="D2304" t="n">
        <v>1</v>
      </c>
      <c r="E2304" t="s">
        <v>2297</v>
      </c>
      <c r="F2304" t="s"/>
      <c r="G2304" t="s"/>
      <c r="H2304" t="s"/>
      <c r="I2304" t="s"/>
      <c r="J2304" t="n">
        <v>0.3612</v>
      </c>
      <c r="K2304" t="n">
        <v>0</v>
      </c>
      <c r="L2304" t="n">
        <v>0.8149999999999999</v>
      </c>
      <c r="M2304" t="n">
        <v>0.185</v>
      </c>
    </row>
    <row r="2305" spans="1:13">
      <c r="A2305" s="1">
        <f>HYPERLINK("http://www.twitter.com/NathanBLawrence/status/991111755953778688", "991111755953778688")</f>
        <v/>
      </c>
      <c r="B2305" s="2" t="n">
        <v>43221.01887731482</v>
      </c>
      <c r="C2305" t="n">
        <v>3</v>
      </c>
      <c r="D2305" t="n">
        <v>0</v>
      </c>
      <c r="E2305" t="s">
        <v>2298</v>
      </c>
      <c r="F2305" t="s"/>
      <c r="G2305" t="s"/>
      <c r="H2305" t="s"/>
      <c r="I2305" t="s"/>
      <c r="J2305" t="n">
        <v>0.6486</v>
      </c>
      <c r="K2305" t="n">
        <v>0</v>
      </c>
      <c r="L2305" t="n">
        <v>0.836</v>
      </c>
      <c r="M2305" t="n">
        <v>0.164</v>
      </c>
    </row>
    <row r="2306" spans="1:13">
      <c r="A2306" s="1">
        <f>HYPERLINK("http://www.twitter.com/NathanBLawrence/status/991111135507243008", "991111135507243008")</f>
        <v/>
      </c>
      <c r="B2306" s="2" t="n">
        <v>43221.01716435186</v>
      </c>
      <c r="C2306" t="n">
        <v>1</v>
      </c>
      <c r="D2306" t="n">
        <v>0</v>
      </c>
      <c r="E2306" t="s">
        <v>2299</v>
      </c>
      <c r="F2306" t="s"/>
      <c r="G2306" t="s"/>
      <c r="H2306" t="s"/>
      <c r="I2306" t="s"/>
      <c r="J2306" t="n">
        <v>0</v>
      </c>
      <c r="K2306" t="n">
        <v>0</v>
      </c>
      <c r="L2306" t="n">
        <v>1</v>
      </c>
      <c r="M2306" t="n">
        <v>0</v>
      </c>
    </row>
    <row r="2307" spans="1:13">
      <c r="A2307" s="1">
        <f>HYPERLINK("http://www.twitter.com/NathanBLawrence/status/991110876748046336", "991110876748046336")</f>
        <v/>
      </c>
      <c r="B2307" s="2" t="n">
        <v>43221.01644675926</v>
      </c>
      <c r="C2307" t="n">
        <v>1</v>
      </c>
      <c r="D2307" t="n">
        <v>0</v>
      </c>
      <c r="E2307" t="s">
        <v>2300</v>
      </c>
      <c r="F2307" t="s"/>
      <c r="G2307" t="s"/>
      <c r="H2307" t="s"/>
      <c r="I2307" t="s"/>
      <c r="J2307" t="n">
        <v>0</v>
      </c>
      <c r="K2307" t="n">
        <v>0</v>
      </c>
      <c r="L2307" t="n">
        <v>1</v>
      </c>
      <c r="M2307" t="n">
        <v>0</v>
      </c>
    </row>
    <row r="2308" spans="1:13">
      <c r="A2308" s="1">
        <f>HYPERLINK("http://www.twitter.com/NathanBLawrence/status/991110726554128384", "991110726554128384")</f>
        <v/>
      </c>
      <c r="B2308" s="2" t="n">
        <v>43221.01603009259</v>
      </c>
      <c r="C2308" t="n">
        <v>1</v>
      </c>
      <c r="D2308" t="n">
        <v>0</v>
      </c>
      <c r="E2308" t="s">
        <v>2301</v>
      </c>
      <c r="F2308" t="s"/>
      <c r="G2308" t="s"/>
      <c r="H2308" t="s"/>
      <c r="I2308" t="s"/>
      <c r="J2308" t="n">
        <v>0.6249</v>
      </c>
      <c r="K2308" t="n">
        <v>0</v>
      </c>
      <c r="L2308" t="n">
        <v>0.6870000000000001</v>
      </c>
      <c r="M2308" t="n">
        <v>0.313</v>
      </c>
    </row>
    <row r="2309" spans="1:13">
      <c r="A2309" s="1">
        <f>HYPERLINK("http://www.twitter.com/NathanBLawrence/status/991110584165916672", "991110584165916672")</f>
        <v/>
      </c>
      <c r="B2309" s="2" t="n">
        <v>43221.01563657408</v>
      </c>
      <c r="C2309" t="n">
        <v>0</v>
      </c>
      <c r="D2309" t="n">
        <v>4</v>
      </c>
      <c r="E2309" t="s">
        <v>2302</v>
      </c>
      <c r="F2309" t="s"/>
      <c r="G2309" t="s"/>
      <c r="H2309" t="s"/>
      <c r="I2309" t="s"/>
      <c r="J2309" t="n">
        <v>0</v>
      </c>
      <c r="K2309" t="n">
        <v>0</v>
      </c>
      <c r="L2309" t="n">
        <v>1</v>
      </c>
      <c r="M2309" t="n">
        <v>0</v>
      </c>
    </row>
    <row r="2310" spans="1:13">
      <c r="A2310" s="1">
        <f>HYPERLINK("http://www.twitter.com/NathanBLawrence/status/991110405547347969", "991110405547347969")</f>
        <v/>
      </c>
      <c r="B2310" s="2" t="n">
        <v>43221.01515046296</v>
      </c>
      <c r="C2310" t="n">
        <v>2</v>
      </c>
      <c r="D2310" t="n">
        <v>0</v>
      </c>
      <c r="E2310" t="s">
        <v>2303</v>
      </c>
      <c r="F2310" t="s"/>
      <c r="G2310" t="s"/>
      <c r="H2310" t="s"/>
      <c r="I2310" t="s"/>
      <c r="J2310" t="n">
        <v>0.4019</v>
      </c>
      <c r="K2310" t="n">
        <v>0</v>
      </c>
      <c r="L2310" t="n">
        <v>0.769</v>
      </c>
      <c r="M2310" t="n">
        <v>0.231</v>
      </c>
    </row>
    <row r="2311" spans="1:13">
      <c r="A2311" s="1">
        <f>HYPERLINK("http://www.twitter.com/NathanBLawrence/status/991110235174600704", "991110235174600704")</f>
        <v/>
      </c>
      <c r="B2311" s="2" t="n">
        <v>43221.01467592592</v>
      </c>
      <c r="C2311" t="n">
        <v>0</v>
      </c>
      <c r="D2311" t="n">
        <v>7</v>
      </c>
      <c r="E2311" t="s">
        <v>2304</v>
      </c>
      <c r="F2311" t="s"/>
      <c r="G2311" t="s"/>
      <c r="H2311" t="s"/>
      <c r="I2311" t="s"/>
      <c r="J2311" t="n">
        <v>-0.34</v>
      </c>
      <c r="K2311" t="n">
        <v>0.181</v>
      </c>
      <c r="L2311" t="n">
        <v>0.654</v>
      </c>
      <c r="M2311" t="n">
        <v>0.165</v>
      </c>
    </row>
    <row r="2312" spans="1:13">
      <c r="A2312" s="1">
        <f>HYPERLINK("http://www.twitter.com/NathanBLawrence/status/991110165624582144", "991110165624582144")</f>
        <v/>
      </c>
      <c r="B2312" s="2" t="n">
        <v>43221.01449074074</v>
      </c>
      <c r="C2312" t="n">
        <v>0</v>
      </c>
      <c r="D2312" t="n">
        <v>4</v>
      </c>
      <c r="E2312" t="s">
        <v>2305</v>
      </c>
      <c r="F2312" t="s"/>
      <c r="G2312" t="s"/>
      <c r="H2312" t="s"/>
      <c r="I2312" t="s"/>
      <c r="J2312" t="n">
        <v>0.4215</v>
      </c>
      <c r="K2312" t="n">
        <v>0</v>
      </c>
      <c r="L2312" t="n">
        <v>0.797</v>
      </c>
      <c r="M2312" t="n">
        <v>0.203</v>
      </c>
    </row>
    <row r="2313" spans="1:13">
      <c r="A2313" s="1">
        <f>HYPERLINK("http://www.twitter.com/NathanBLawrence/status/991110151255003142", "991110151255003142")</f>
        <v/>
      </c>
      <c r="B2313" s="2" t="n">
        <v>43221.01444444444</v>
      </c>
      <c r="C2313" t="n">
        <v>0</v>
      </c>
      <c r="D2313" t="n">
        <v>2</v>
      </c>
      <c r="E2313" t="s">
        <v>2306</v>
      </c>
      <c r="F2313" t="s"/>
      <c r="G2313" t="s"/>
      <c r="H2313" t="s"/>
      <c r="I2313" t="s"/>
      <c r="J2313" t="n">
        <v>0.296</v>
      </c>
      <c r="K2313" t="n">
        <v>0</v>
      </c>
      <c r="L2313" t="n">
        <v>0.82</v>
      </c>
      <c r="M2313" t="n">
        <v>0.18</v>
      </c>
    </row>
    <row r="2314" spans="1:13">
      <c r="A2314" s="1">
        <f>HYPERLINK("http://www.twitter.com/NathanBLawrence/status/991110120875745280", "991110120875745280")</f>
        <v/>
      </c>
      <c r="B2314" s="2" t="n">
        <v>43221.01436342593</v>
      </c>
      <c r="C2314" t="n">
        <v>0</v>
      </c>
      <c r="D2314" t="n">
        <v>2</v>
      </c>
      <c r="E2314" t="s">
        <v>2307</v>
      </c>
      <c r="F2314" t="s"/>
      <c r="G2314" t="s"/>
      <c r="H2314" t="s"/>
      <c r="I2314" t="s"/>
      <c r="J2314" t="n">
        <v>0</v>
      </c>
      <c r="K2314" t="n">
        <v>0</v>
      </c>
      <c r="L2314" t="n">
        <v>1</v>
      </c>
      <c r="M2314" t="n">
        <v>0</v>
      </c>
    </row>
    <row r="2315" spans="1:13">
      <c r="A2315" s="1">
        <f>HYPERLINK("http://www.twitter.com/NathanBLawrence/status/991110103678976000", "991110103678976000")</f>
        <v/>
      </c>
      <c r="B2315" s="2" t="n">
        <v>43221.01431712963</v>
      </c>
      <c r="C2315" t="n">
        <v>0</v>
      </c>
      <c r="D2315" t="n">
        <v>5</v>
      </c>
      <c r="E2315" t="s">
        <v>2308</v>
      </c>
      <c r="F2315" t="s"/>
      <c r="G2315" t="s"/>
      <c r="H2315" t="s"/>
      <c r="I2315" t="s"/>
      <c r="J2315" t="n">
        <v>0.8452</v>
      </c>
      <c r="K2315" t="n">
        <v>0</v>
      </c>
      <c r="L2315" t="n">
        <v>0.649</v>
      </c>
      <c r="M2315" t="n">
        <v>0.351</v>
      </c>
    </row>
    <row r="2316" spans="1:13">
      <c r="A2316" s="1">
        <f>HYPERLINK("http://www.twitter.com/NathanBLawrence/status/991110070506225665", "991110070506225665")</f>
        <v/>
      </c>
      <c r="B2316" s="2" t="n">
        <v>43221.01422453704</v>
      </c>
      <c r="C2316" t="n">
        <v>0</v>
      </c>
      <c r="D2316" t="n">
        <v>10</v>
      </c>
      <c r="E2316" t="s">
        <v>2309</v>
      </c>
      <c r="F2316" t="s"/>
      <c r="G2316" t="s"/>
      <c r="H2316" t="s"/>
      <c r="I2316" t="s"/>
      <c r="J2316" t="n">
        <v>0.6103</v>
      </c>
      <c r="K2316" t="n">
        <v>0</v>
      </c>
      <c r="L2316" t="n">
        <v>0.801</v>
      </c>
      <c r="M2316" t="n">
        <v>0.199</v>
      </c>
    </row>
    <row r="2317" spans="1:13">
      <c r="A2317" s="1">
        <f>HYPERLINK("http://www.twitter.com/NathanBLawrence/status/991110034498179073", "991110034498179073")</f>
        <v/>
      </c>
      <c r="B2317" s="2" t="n">
        <v>43221.01412037037</v>
      </c>
      <c r="C2317" t="n">
        <v>0</v>
      </c>
      <c r="D2317" t="n">
        <v>3</v>
      </c>
      <c r="E2317" t="s">
        <v>2310</v>
      </c>
      <c r="F2317" t="s"/>
      <c r="G2317" t="s"/>
      <c r="H2317" t="s"/>
      <c r="I2317" t="s"/>
      <c r="J2317" t="n">
        <v>-0.1697</v>
      </c>
      <c r="K2317" t="n">
        <v>0.242</v>
      </c>
      <c r="L2317" t="n">
        <v>0.547</v>
      </c>
      <c r="M2317" t="n">
        <v>0.211</v>
      </c>
    </row>
    <row r="2318" spans="1:13">
      <c r="A2318" s="1">
        <f>HYPERLINK("http://www.twitter.com/NathanBLawrence/status/991110015716155392", "991110015716155392")</f>
        <v/>
      </c>
      <c r="B2318" s="2" t="n">
        <v>43221.01407407408</v>
      </c>
      <c r="C2318" t="n">
        <v>0</v>
      </c>
      <c r="D2318" t="n">
        <v>157</v>
      </c>
      <c r="E2318" t="s">
        <v>2311</v>
      </c>
      <c r="F2318" t="s"/>
      <c r="G2318" t="s"/>
      <c r="H2318" t="s"/>
      <c r="I2318" t="s"/>
      <c r="J2318" t="n">
        <v>0.4767</v>
      </c>
      <c r="K2318" t="n">
        <v>0</v>
      </c>
      <c r="L2318" t="n">
        <v>0.829</v>
      </c>
      <c r="M2318" t="n">
        <v>0.171</v>
      </c>
    </row>
    <row r="2319" spans="1:13">
      <c r="A2319" s="1">
        <f>HYPERLINK("http://www.twitter.com/NathanBLawrence/status/991109946644234240", "991109946644234240")</f>
        <v/>
      </c>
      <c r="B2319" s="2" t="n">
        <v>43221.01387731481</v>
      </c>
      <c r="C2319" t="n">
        <v>0</v>
      </c>
      <c r="D2319" t="n">
        <v>8</v>
      </c>
      <c r="E2319" t="s">
        <v>2312</v>
      </c>
      <c r="F2319" t="s"/>
      <c r="G2319" t="s"/>
      <c r="H2319" t="s"/>
      <c r="I2319" t="s"/>
      <c r="J2319" t="n">
        <v>0.25</v>
      </c>
      <c r="K2319" t="n">
        <v>0</v>
      </c>
      <c r="L2319" t="n">
        <v>0.889</v>
      </c>
      <c r="M2319" t="n">
        <v>0.111</v>
      </c>
    </row>
    <row r="2320" spans="1:13">
      <c r="A2320" s="1">
        <f>HYPERLINK("http://www.twitter.com/NathanBLawrence/status/991109922774503424", "991109922774503424")</f>
        <v/>
      </c>
      <c r="B2320" s="2" t="n">
        <v>43221.01381944444</v>
      </c>
      <c r="C2320" t="n">
        <v>0</v>
      </c>
      <c r="D2320" t="n">
        <v>38</v>
      </c>
      <c r="E2320" t="s">
        <v>2313</v>
      </c>
      <c r="F2320" t="s"/>
      <c r="G2320" t="s"/>
      <c r="H2320" t="s"/>
      <c r="I2320" t="s"/>
      <c r="J2320" t="n">
        <v>-0.5994</v>
      </c>
      <c r="K2320" t="n">
        <v>0.151</v>
      </c>
      <c r="L2320" t="n">
        <v>0.849</v>
      </c>
      <c r="M2320" t="n">
        <v>0</v>
      </c>
    </row>
    <row r="2321" spans="1:13">
      <c r="A2321" s="1">
        <f>HYPERLINK("http://www.twitter.com/NathanBLawrence/status/991109734097997824", "991109734097997824")</f>
        <v/>
      </c>
      <c r="B2321" s="2" t="n">
        <v>43221.01329861111</v>
      </c>
      <c r="C2321" t="n">
        <v>1</v>
      </c>
      <c r="D2321" t="n">
        <v>0</v>
      </c>
      <c r="E2321" t="s">
        <v>2314</v>
      </c>
      <c r="F2321" t="s"/>
      <c r="G2321" t="s"/>
      <c r="H2321" t="s"/>
      <c r="I2321" t="s"/>
      <c r="J2321" t="n">
        <v>0.4588</v>
      </c>
      <c r="K2321" t="n">
        <v>0</v>
      </c>
      <c r="L2321" t="n">
        <v>0.5</v>
      </c>
      <c r="M2321" t="n">
        <v>0.5</v>
      </c>
    </row>
    <row r="2322" spans="1:13">
      <c r="A2322" s="1">
        <f>HYPERLINK("http://www.twitter.com/NathanBLawrence/status/991109471844913152", "991109471844913152")</f>
        <v/>
      </c>
      <c r="B2322" s="2" t="n">
        <v>43221.01256944444</v>
      </c>
      <c r="C2322" t="n">
        <v>0</v>
      </c>
      <c r="D2322" t="n">
        <v>0</v>
      </c>
      <c r="E2322" t="s">
        <v>2315</v>
      </c>
      <c r="F2322" t="s"/>
      <c r="G2322" t="s"/>
      <c r="H2322" t="s"/>
      <c r="I2322" t="s"/>
      <c r="J2322" t="n">
        <v>0</v>
      </c>
      <c r="K2322" t="n">
        <v>0</v>
      </c>
      <c r="L2322" t="n">
        <v>1</v>
      </c>
      <c r="M2322" t="n">
        <v>0</v>
      </c>
    </row>
    <row r="2323" spans="1:13">
      <c r="A2323" s="1">
        <f>HYPERLINK("http://www.twitter.com/NathanBLawrence/status/991109340739317761", "991109340739317761")</f>
        <v/>
      </c>
      <c r="B2323" s="2" t="n">
        <v>43221.01221064815</v>
      </c>
      <c r="C2323" t="n">
        <v>0</v>
      </c>
      <c r="D2323" t="n">
        <v>1</v>
      </c>
      <c r="E2323" t="s">
        <v>2316</v>
      </c>
      <c r="F2323" t="s"/>
      <c r="G2323" t="s"/>
      <c r="H2323" t="s"/>
      <c r="I2323" t="s"/>
      <c r="J2323" t="n">
        <v>0.8074</v>
      </c>
      <c r="K2323" t="n">
        <v>0</v>
      </c>
      <c r="L2323" t="n">
        <v>0.696</v>
      </c>
      <c r="M2323" t="n">
        <v>0.304</v>
      </c>
    </row>
    <row r="2324" spans="1:13">
      <c r="A2324" s="1">
        <f>HYPERLINK("http://www.twitter.com/NathanBLawrence/status/991109298657865728", "991109298657865728")</f>
        <v/>
      </c>
      <c r="B2324" s="2" t="n">
        <v>43221.0120949074</v>
      </c>
      <c r="C2324" t="n">
        <v>4</v>
      </c>
      <c r="D2324" t="n">
        <v>1</v>
      </c>
      <c r="E2324" t="s">
        <v>2317</v>
      </c>
      <c r="F2324" t="s"/>
      <c r="G2324" t="s"/>
      <c r="H2324" t="s"/>
      <c r="I2324" t="s"/>
      <c r="J2324" t="n">
        <v>0.6041</v>
      </c>
      <c r="K2324" t="n">
        <v>0.037</v>
      </c>
      <c r="L2324" t="n">
        <v>0.8090000000000001</v>
      </c>
      <c r="M2324" t="n">
        <v>0.155</v>
      </c>
    </row>
    <row r="2325" spans="1:13">
      <c r="A2325" s="1">
        <f>HYPERLINK("http://www.twitter.com/NathanBLawrence/status/991108701795831808", "991108701795831808")</f>
        <v/>
      </c>
      <c r="B2325" s="2" t="n">
        <v>43221.01045138889</v>
      </c>
      <c r="C2325" t="n">
        <v>0</v>
      </c>
      <c r="D2325" t="n">
        <v>1</v>
      </c>
      <c r="E2325" t="s">
        <v>2318</v>
      </c>
      <c r="F2325" t="s"/>
      <c r="G2325" t="s"/>
      <c r="H2325" t="s"/>
      <c r="I2325" t="s"/>
      <c r="J2325" t="n">
        <v>0</v>
      </c>
      <c r="K2325" t="n">
        <v>0</v>
      </c>
      <c r="L2325" t="n">
        <v>1</v>
      </c>
      <c r="M2325" t="n">
        <v>0</v>
      </c>
    </row>
    <row r="2326" spans="1:13">
      <c r="A2326" s="1">
        <f>HYPERLINK("http://www.twitter.com/NathanBLawrence/status/991108669927575552", "991108669927575552")</f>
        <v/>
      </c>
      <c r="B2326" s="2" t="n">
        <v>43221.01035879629</v>
      </c>
      <c r="C2326" t="n">
        <v>1</v>
      </c>
      <c r="D2326" t="n">
        <v>0</v>
      </c>
      <c r="E2326" t="s">
        <v>2319</v>
      </c>
      <c r="F2326" t="s"/>
      <c r="G2326" t="s"/>
      <c r="H2326" t="s"/>
      <c r="I2326" t="s"/>
      <c r="J2326" t="n">
        <v>0</v>
      </c>
      <c r="K2326" t="n">
        <v>0</v>
      </c>
      <c r="L2326" t="n">
        <v>1</v>
      </c>
      <c r="M2326" t="n">
        <v>0</v>
      </c>
    </row>
    <row r="2327" spans="1:13">
      <c r="A2327" s="1">
        <f>HYPERLINK("http://www.twitter.com/NathanBLawrence/status/991108516483084288", "991108516483084288")</f>
        <v/>
      </c>
      <c r="B2327" s="2" t="n">
        <v>43221.00993055556</v>
      </c>
      <c r="C2327" t="n">
        <v>0</v>
      </c>
      <c r="D2327" t="n">
        <v>2</v>
      </c>
      <c r="E2327" t="s">
        <v>2320</v>
      </c>
      <c r="F2327" t="s"/>
      <c r="G2327" t="s"/>
      <c r="H2327" t="s"/>
      <c r="I2327" t="s"/>
      <c r="J2327" t="n">
        <v>0</v>
      </c>
      <c r="K2327" t="n">
        <v>0</v>
      </c>
      <c r="L2327" t="n">
        <v>1</v>
      </c>
      <c r="M2327" t="n">
        <v>0</v>
      </c>
    </row>
    <row r="2328" spans="1:13">
      <c r="A2328" s="1">
        <f>HYPERLINK("http://www.twitter.com/NathanBLawrence/status/991108456991117313", "991108456991117313")</f>
        <v/>
      </c>
      <c r="B2328" s="2" t="n">
        <v>43221.00976851852</v>
      </c>
      <c r="C2328" t="n">
        <v>0</v>
      </c>
      <c r="D2328" t="n">
        <v>2</v>
      </c>
      <c r="E2328" t="s">
        <v>2321</v>
      </c>
      <c r="F2328" t="s"/>
      <c r="G2328" t="s"/>
      <c r="H2328" t="s"/>
      <c r="I2328" t="s"/>
      <c r="J2328" t="n">
        <v>0.6486</v>
      </c>
      <c r="K2328" t="n">
        <v>0</v>
      </c>
      <c r="L2328" t="n">
        <v>0.791</v>
      </c>
      <c r="M2328" t="n">
        <v>0.209</v>
      </c>
    </row>
    <row r="2329" spans="1:13">
      <c r="A2329" s="1">
        <f>HYPERLINK("http://www.twitter.com/NathanBLawrence/status/991108277432995840", "991108277432995840")</f>
        <v/>
      </c>
      <c r="B2329" s="2" t="n">
        <v>43221.00927083333</v>
      </c>
      <c r="C2329" t="n">
        <v>1</v>
      </c>
      <c r="D2329" t="n">
        <v>0</v>
      </c>
      <c r="E2329" t="s">
        <v>2322</v>
      </c>
      <c r="F2329" t="s"/>
      <c r="G2329" t="s"/>
      <c r="H2329" t="s"/>
      <c r="I2329" t="s"/>
      <c r="J2329" t="n">
        <v>-0.0516</v>
      </c>
      <c r="K2329" t="n">
        <v>0.091</v>
      </c>
      <c r="L2329" t="n">
        <v>0.909</v>
      </c>
      <c r="M2329" t="n">
        <v>0</v>
      </c>
    </row>
    <row r="2330" spans="1:13">
      <c r="A2330" s="1">
        <f>HYPERLINK("http://www.twitter.com/NathanBLawrence/status/991107765375590400", "991107765375590400")</f>
        <v/>
      </c>
      <c r="B2330" s="2" t="n">
        <v>43221.0078587963</v>
      </c>
      <c r="C2330" t="n">
        <v>0</v>
      </c>
      <c r="D2330" t="n">
        <v>13</v>
      </c>
      <c r="E2330" t="s">
        <v>2323</v>
      </c>
      <c r="F2330" t="s"/>
      <c r="G2330" t="s"/>
      <c r="H2330" t="s"/>
      <c r="I2330" t="s"/>
      <c r="J2330" t="n">
        <v>-0.4404</v>
      </c>
      <c r="K2330" t="n">
        <v>0.182</v>
      </c>
      <c r="L2330" t="n">
        <v>0.8179999999999999</v>
      </c>
      <c r="M2330" t="n">
        <v>0</v>
      </c>
    </row>
    <row r="2331" spans="1:13">
      <c r="A2331" s="1">
        <f>HYPERLINK("http://www.twitter.com/NathanBLawrence/status/991107404812247041", "991107404812247041")</f>
        <v/>
      </c>
      <c r="B2331" s="2" t="n">
        <v>43221.00686342592</v>
      </c>
      <c r="C2331" t="n">
        <v>9</v>
      </c>
      <c r="D2331" t="n">
        <v>2</v>
      </c>
      <c r="E2331" t="s">
        <v>2324</v>
      </c>
      <c r="F2331" t="s"/>
      <c r="G2331" t="s"/>
      <c r="H2331" t="s"/>
      <c r="I2331" t="s"/>
      <c r="J2331" t="n">
        <v>0.6486</v>
      </c>
      <c r="K2331" t="n">
        <v>0</v>
      </c>
      <c r="L2331" t="n">
        <v>0.773</v>
      </c>
      <c r="M2331" t="n">
        <v>0.227</v>
      </c>
    </row>
    <row r="2332" spans="1:13">
      <c r="A2332" s="1">
        <f>HYPERLINK("http://www.twitter.com/NathanBLawrence/status/991106472464568320", "991106472464568320")</f>
        <v/>
      </c>
      <c r="B2332" s="2" t="n">
        <v>43221.00429398148</v>
      </c>
      <c r="C2332" t="n">
        <v>0</v>
      </c>
      <c r="D2332" t="n">
        <v>1</v>
      </c>
      <c r="E2332" t="s">
        <v>2325</v>
      </c>
      <c r="F2332" t="s"/>
      <c r="G2332" t="s"/>
      <c r="H2332" t="s"/>
      <c r="I2332" t="s"/>
      <c r="J2332" t="n">
        <v>-0.7721</v>
      </c>
      <c r="K2332" t="n">
        <v>0.528</v>
      </c>
      <c r="L2332" t="n">
        <v>0.472</v>
      </c>
      <c r="M2332" t="n">
        <v>0</v>
      </c>
    </row>
    <row r="2333" spans="1:13">
      <c r="A2333" s="1">
        <f>HYPERLINK("http://www.twitter.com/NathanBLawrence/status/991105962055557121", "991105962055557121")</f>
        <v/>
      </c>
      <c r="B2333" s="2" t="n">
        <v>43221.00288194444</v>
      </c>
      <c r="C2333" t="n">
        <v>0</v>
      </c>
      <c r="D2333" t="n">
        <v>1</v>
      </c>
      <c r="E2333" t="s">
        <v>2326</v>
      </c>
      <c r="F2333" t="s"/>
      <c r="G2333" t="s"/>
      <c r="H2333" t="s"/>
      <c r="I2333" t="s"/>
      <c r="J2333" t="n">
        <v>0.34</v>
      </c>
      <c r="K2333" t="n">
        <v>0</v>
      </c>
      <c r="L2333" t="n">
        <v>0.841</v>
      </c>
      <c r="M2333" t="n">
        <v>0.159</v>
      </c>
    </row>
    <row r="2334" spans="1:13">
      <c r="A2334" s="1">
        <f>HYPERLINK("http://www.twitter.com/NathanBLawrence/status/991105912021635072", "991105912021635072")</f>
        <v/>
      </c>
      <c r="B2334" s="2" t="n">
        <v>43221.00274305556</v>
      </c>
      <c r="C2334" t="n">
        <v>0</v>
      </c>
      <c r="D2334" t="n">
        <v>24362</v>
      </c>
      <c r="E2334" t="s">
        <v>2327</v>
      </c>
      <c r="F2334" t="s"/>
      <c r="G2334" t="s"/>
      <c r="H2334" t="s"/>
      <c r="I2334" t="s"/>
      <c r="J2334" t="n">
        <v>-0.5266999999999999</v>
      </c>
      <c r="K2334" t="n">
        <v>0.18</v>
      </c>
      <c r="L2334" t="n">
        <v>0.82</v>
      </c>
      <c r="M2334" t="n">
        <v>0</v>
      </c>
    </row>
    <row r="2335" spans="1:13">
      <c r="A2335" s="1">
        <f>HYPERLINK("http://www.twitter.com/NathanBLawrence/status/991105869617254400", "991105869617254400")</f>
        <v/>
      </c>
      <c r="B2335" s="2" t="n">
        <v>43221.00262731482</v>
      </c>
      <c r="C2335" t="n">
        <v>0</v>
      </c>
      <c r="D2335" t="n">
        <v>503</v>
      </c>
      <c r="E2335" t="s">
        <v>2328</v>
      </c>
      <c r="F2335">
        <f>HYPERLINK("http://pbs.twimg.com/media/DcD46oRUwAAXyva.jpg", "http://pbs.twimg.com/media/DcD46oRUwAAXyva.jpg")</f>
        <v/>
      </c>
      <c r="G2335" t="s"/>
      <c r="H2335" t="s"/>
      <c r="I2335" t="s"/>
      <c r="J2335" t="n">
        <v>-0.7269</v>
      </c>
      <c r="K2335" t="n">
        <v>0.264</v>
      </c>
      <c r="L2335" t="n">
        <v>0.736</v>
      </c>
      <c r="M2335" t="n">
        <v>0</v>
      </c>
    </row>
    <row r="2336" spans="1:13">
      <c r="A2336" s="1">
        <f>HYPERLINK("http://www.twitter.com/NathanBLawrence/status/991105790885941248", "991105790885941248")</f>
        <v/>
      </c>
      <c r="B2336" s="2" t="n">
        <v>43221.00241898148</v>
      </c>
      <c r="C2336" t="n">
        <v>3</v>
      </c>
      <c r="D2336" t="n">
        <v>0</v>
      </c>
      <c r="E2336" t="s">
        <v>2329</v>
      </c>
      <c r="F2336" t="s"/>
      <c r="G2336" t="s"/>
      <c r="H2336" t="s"/>
      <c r="I2336" t="s"/>
      <c r="J2336" t="n">
        <v>0</v>
      </c>
      <c r="K2336" t="n">
        <v>0</v>
      </c>
      <c r="L2336" t="n">
        <v>1</v>
      </c>
      <c r="M2336" t="n">
        <v>0</v>
      </c>
    </row>
    <row r="2337" spans="1:13">
      <c r="A2337" s="1">
        <f>HYPERLINK("http://www.twitter.com/NathanBLawrence/status/991105731825950720", "991105731825950720")</f>
        <v/>
      </c>
      <c r="B2337" s="2" t="n">
        <v>43221.00224537037</v>
      </c>
      <c r="C2337" t="n">
        <v>0</v>
      </c>
      <c r="D2337" t="n">
        <v>98</v>
      </c>
      <c r="E2337" t="s">
        <v>2330</v>
      </c>
      <c r="F2337" t="s"/>
      <c r="G2337" t="s"/>
      <c r="H2337" t="s"/>
      <c r="I2337" t="s"/>
      <c r="J2337" t="n">
        <v>0.25</v>
      </c>
      <c r="K2337" t="n">
        <v>0.08699999999999999</v>
      </c>
      <c r="L2337" t="n">
        <v>0.785</v>
      </c>
      <c r="M2337" t="n">
        <v>0.128</v>
      </c>
    </row>
    <row r="2338" spans="1:13">
      <c r="A2338" s="1">
        <f>HYPERLINK("http://www.twitter.com/NathanBLawrence/status/991105688284880896", "991105688284880896")</f>
        <v/>
      </c>
      <c r="B2338" s="2" t="n">
        <v>43221.00212962963</v>
      </c>
      <c r="C2338" t="n">
        <v>0</v>
      </c>
      <c r="D2338" t="n">
        <v>14</v>
      </c>
      <c r="E2338" t="s">
        <v>2331</v>
      </c>
      <c r="F2338">
        <f>HYPERLINK("http://pbs.twimg.com/media/DcEZpUsVAAACSwp.jpg", "http://pbs.twimg.com/media/DcEZpUsVAAACSwp.jpg")</f>
        <v/>
      </c>
      <c r="G2338" t="s"/>
      <c r="H2338" t="s"/>
      <c r="I2338" t="s"/>
      <c r="J2338" t="n">
        <v>0.431</v>
      </c>
      <c r="K2338" t="n">
        <v>0</v>
      </c>
      <c r="L2338" t="n">
        <v>0.87</v>
      </c>
      <c r="M2338" t="n">
        <v>0.13</v>
      </c>
    </row>
    <row r="2339" spans="1:13">
      <c r="A2339" s="1">
        <f>HYPERLINK("http://www.twitter.com/NathanBLawrence/status/991105657146404864", "991105657146404864")</f>
        <v/>
      </c>
      <c r="B2339" s="2" t="n">
        <v>43221.00204861111</v>
      </c>
      <c r="C2339" t="n">
        <v>0</v>
      </c>
      <c r="D2339" t="n">
        <v>239</v>
      </c>
      <c r="E2339" t="s">
        <v>2332</v>
      </c>
      <c r="F2339" t="s"/>
      <c r="G2339" t="s"/>
      <c r="H2339" t="s"/>
      <c r="I2339" t="s"/>
      <c r="J2339" t="n">
        <v>0.6124000000000001</v>
      </c>
      <c r="K2339" t="n">
        <v>0</v>
      </c>
      <c r="L2339" t="n">
        <v>0.8080000000000001</v>
      </c>
      <c r="M2339" t="n">
        <v>0.192</v>
      </c>
    </row>
    <row r="2340" spans="1:13">
      <c r="A2340" s="1">
        <f>HYPERLINK("http://www.twitter.com/NathanBLawrence/status/991105597574705152", "991105597574705152")</f>
        <v/>
      </c>
      <c r="B2340" s="2" t="n">
        <v>43221.001875</v>
      </c>
      <c r="C2340" t="n">
        <v>6</v>
      </c>
      <c r="D2340" t="n">
        <v>5</v>
      </c>
      <c r="E2340" t="s">
        <v>2333</v>
      </c>
      <c r="F2340">
        <f>HYPERLINK("http://pbs.twimg.com/media/DcEdR92V4AAGPzg.jpg", "http://pbs.twimg.com/media/DcEdR92V4AAGPzg.jpg")</f>
        <v/>
      </c>
      <c r="G2340" t="s"/>
      <c r="H2340" t="s"/>
      <c r="I2340" t="s"/>
      <c r="J2340" t="n">
        <v>0</v>
      </c>
      <c r="K2340" t="n">
        <v>0</v>
      </c>
      <c r="L2340" t="n">
        <v>1</v>
      </c>
      <c r="M2340" t="n">
        <v>0</v>
      </c>
    </row>
    <row r="2341" spans="1:13">
      <c r="A2341" s="1">
        <f>HYPERLINK("http://www.twitter.com/NathanBLawrence/status/991105382343958530", "991105382343958530")</f>
        <v/>
      </c>
      <c r="B2341" s="2" t="n">
        <v>43221.00128472222</v>
      </c>
      <c r="C2341" t="n">
        <v>0</v>
      </c>
      <c r="D2341" t="n">
        <v>5723</v>
      </c>
      <c r="E2341" t="s">
        <v>2334</v>
      </c>
      <c r="F2341" t="s"/>
      <c r="G2341" t="s"/>
      <c r="H2341" t="s"/>
      <c r="I2341" t="s"/>
      <c r="J2341" t="n">
        <v>0</v>
      </c>
      <c r="K2341" t="n">
        <v>0</v>
      </c>
      <c r="L2341" t="n">
        <v>1</v>
      </c>
      <c r="M2341" t="n">
        <v>0</v>
      </c>
    </row>
    <row r="2342" spans="1:13">
      <c r="A2342" s="1">
        <f>HYPERLINK("http://www.twitter.com/NathanBLawrence/status/991105254342176768", "991105254342176768")</f>
        <v/>
      </c>
      <c r="B2342" s="2" t="n">
        <v>43221.0009375</v>
      </c>
      <c r="C2342" t="n">
        <v>0</v>
      </c>
      <c r="D2342" t="n">
        <v>8</v>
      </c>
      <c r="E2342" t="s">
        <v>2335</v>
      </c>
      <c r="F2342" t="s"/>
      <c r="G2342" t="s"/>
      <c r="H2342" t="s"/>
      <c r="I2342" t="s"/>
      <c r="J2342" t="n">
        <v>0.128</v>
      </c>
      <c r="K2342" t="n">
        <v>0</v>
      </c>
      <c r="L2342" t="n">
        <v>0.9330000000000001</v>
      </c>
      <c r="M2342" t="n">
        <v>0.067</v>
      </c>
    </row>
    <row r="2343" spans="1:13">
      <c r="A2343" s="1">
        <f>HYPERLINK("http://www.twitter.com/NathanBLawrence/status/991105175573225474", "991105175573225474")</f>
        <v/>
      </c>
      <c r="B2343" s="2" t="n">
        <v>43221.00071759259</v>
      </c>
      <c r="C2343" t="n">
        <v>0</v>
      </c>
      <c r="D2343" t="n">
        <v>15</v>
      </c>
      <c r="E2343" t="s">
        <v>2336</v>
      </c>
      <c r="F2343" t="s"/>
      <c r="G2343" t="s"/>
      <c r="H2343" t="s"/>
      <c r="I2343" t="s"/>
      <c r="J2343" t="n">
        <v>0.3612</v>
      </c>
      <c r="K2343" t="n">
        <v>0.112</v>
      </c>
      <c r="L2343" t="n">
        <v>0.695</v>
      </c>
      <c r="M2343" t="n">
        <v>0.193</v>
      </c>
    </row>
    <row r="2344" spans="1:13">
      <c r="A2344" s="1">
        <f>HYPERLINK("http://www.twitter.com/NathanBLawrence/status/991105139011440640", "991105139011440640")</f>
        <v/>
      </c>
      <c r="B2344" s="2" t="n">
        <v>43221.00061342592</v>
      </c>
      <c r="C2344" t="n">
        <v>0</v>
      </c>
      <c r="D2344" t="n">
        <v>16</v>
      </c>
      <c r="E2344" t="s">
        <v>2337</v>
      </c>
      <c r="F2344" t="s"/>
      <c r="G2344" t="s"/>
      <c r="H2344" t="s"/>
      <c r="I2344" t="s"/>
      <c r="J2344" t="n">
        <v>-0.5946</v>
      </c>
      <c r="K2344" t="n">
        <v>0.291</v>
      </c>
      <c r="L2344" t="n">
        <v>0.572</v>
      </c>
      <c r="M2344" t="n">
        <v>0.137</v>
      </c>
    </row>
    <row r="2345" spans="1:13">
      <c r="A2345" s="1">
        <f>HYPERLINK("http://www.twitter.com/NathanBLawrence/status/991105066273853442", "991105066273853442")</f>
        <v/>
      </c>
      <c r="B2345" s="2" t="n">
        <v>43221.00041666667</v>
      </c>
      <c r="C2345" t="n">
        <v>0</v>
      </c>
      <c r="D2345" t="n">
        <v>4</v>
      </c>
      <c r="E2345" t="s">
        <v>2338</v>
      </c>
      <c r="F2345" t="s"/>
      <c r="G2345" t="s"/>
      <c r="H2345" t="s"/>
      <c r="I2345" t="s"/>
      <c r="J2345" t="n">
        <v>-0.1779</v>
      </c>
      <c r="K2345" t="n">
        <v>0.064</v>
      </c>
      <c r="L2345" t="n">
        <v>0.9360000000000001</v>
      </c>
      <c r="M2345" t="n">
        <v>0</v>
      </c>
    </row>
    <row r="2346" spans="1:13">
      <c r="A2346" s="1">
        <f>HYPERLINK("http://www.twitter.com/NathanBLawrence/status/991104982274502658", "991104982274502658")</f>
        <v/>
      </c>
      <c r="B2346" s="2" t="n">
        <v>43221.00018518518</v>
      </c>
      <c r="C2346" t="n">
        <v>0</v>
      </c>
      <c r="D2346" t="n">
        <v>8</v>
      </c>
      <c r="E2346" t="s">
        <v>2339</v>
      </c>
      <c r="F2346" t="s"/>
      <c r="G2346" t="s"/>
      <c r="H2346" t="s"/>
      <c r="I2346" t="s"/>
      <c r="J2346" t="n">
        <v>-0.7106</v>
      </c>
      <c r="K2346" t="n">
        <v>0.257</v>
      </c>
      <c r="L2346" t="n">
        <v>0.743</v>
      </c>
      <c r="M2346" t="n">
        <v>0</v>
      </c>
    </row>
    <row r="2347" spans="1:13">
      <c r="A2347" s="1">
        <f>HYPERLINK("http://www.twitter.com/NathanBLawrence/status/991104893623644163", "991104893623644163")</f>
        <v/>
      </c>
      <c r="B2347" s="2" t="n">
        <v>43220.99994212963</v>
      </c>
      <c r="C2347" t="n">
        <v>0</v>
      </c>
      <c r="D2347" t="n">
        <v>1</v>
      </c>
      <c r="E2347" t="s">
        <v>2340</v>
      </c>
      <c r="F2347" t="s"/>
      <c r="G2347" t="s"/>
      <c r="H2347" t="s"/>
      <c r="I2347" t="s"/>
      <c r="J2347" t="n">
        <v>0</v>
      </c>
      <c r="K2347" t="n">
        <v>0</v>
      </c>
      <c r="L2347" t="n">
        <v>1</v>
      </c>
      <c r="M2347" t="n">
        <v>0</v>
      </c>
    </row>
    <row r="2348" spans="1:13">
      <c r="A2348" s="1">
        <f>HYPERLINK("http://www.twitter.com/NathanBLawrence/status/991104233566101505", "991104233566101505")</f>
        <v/>
      </c>
      <c r="B2348" s="2" t="n">
        <v>43220.99811342593</v>
      </c>
      <c r="C2348" t="n">
        <v>0</v>
      </c>
      <c r="D2348" t="n">
        <v>3</v>
      </c>
      <c r="E2348" t="s">
        <v>2341</v>
      </c>
      <c r="F2348" t="s"/>
      <c r="G2348" t="s"/>
      <c r="H2348" t="s"/>
      <c r="I2348" t="s"/>
      <c r="J2348" t="n">
        <v>0.4019</v>
      </c>
      <c r="K2348" t="n">
        <v>0</v>
      </c>
      <c r="L2348" t="n">
        <v>0.886</v>
      </c>
      <c r="M2348" t="n">
        <v>0.114</v>
      </c>
    </row>
    <row r="2349" spans="1:13">
      <c r="A2349" s="1">
        <f>HYPERLINK("http://www.twitter.com/NathanBLawrence/status/991103926991773696", "991103926991773696")</f>
        <v/>
      </c>
      <c r="B2349" s="2" t="n">
        <v>43220.99726851852</v>
      </c>
      <c r="C2349" t="n">
        <v>0</v>
      </c>
      <c r="D2349" t="n">
        <v>1</v>
      </c>
      <c r="E2349" t="s">
        <v>2342</v>
      </c>
      <c r="F2349" t="s"/>
      <c r="G2349" t="s"/>
      <c r="H2349" t="s"/>
      <c r="I2349" t="s"/>
      <c r="J2349" t="n">
        <v>-0.3612</v>
      </c>
      <c r="K2349" t="n">
        <v>0.333</v>
      </c>
      <c r="L2349" t="n">
        <v>0.667</v>
      </c>
      <c r="M2349" t="n">
        <v>0</v>
      </c>
    </row>
    <row r="2350" spans="1:13">
      <c r="A2350" s="1">
        <f>HYPERLINK("http://www.twitter.com/NathanBLawrence/status/991103825560965120", "991103825560965120")</f>
        <v/>
      </c>
      <c r="B2350" s="2" t="n">
        <v>43220.99699074074</v>
      </c>
      <c r="C2350" t="n">
        <v>0</v>
      </c>
      <c r="D2350" t="n">
        <v>40</v>
      </c>
      <c r="E2350" t="s">
        <v>2343</v>
      </c>
      <c r="F2350">
        <f>HYPERLINK("http://pbs.twimg.com/media/DcEP1EyVAAAAJtl.jpg", "http://pbs.twimg.com/media/DcEP1EyVAAAAJtl.jpg")</f>
        <v/>
      </c>
      <c r="G2350" t="s"/>
      <c r="H2350" t="s"/>
      <c r="I2350" t="s"/>
      <c r="J2350" t="n">
        <v>0</v>
      </c>
      <c r="K2350" t="n">
        <v>0</v>
      </c>
      <c r="L2350" t="n">
        <v>1</v>
      </c>
      <c r="M2350" t="n">
        <v>0</v>
      </c>
    </row>
    <row r="2351" spans="1:13">
      <c r="A2351" s="1">
        <f>HYPERLINK("http://www.twitter.com/NathanBLawrence/status/991102968928915458", "991102968928915458")</f>
        <v/>
      </c>
      <c r="B2351" s="2" t="n">
        <v>43220.99462962963</v>
      </c>
      <c r="C2351" t="n">
        <v>0</v>
      </c>
      <c r="D2351" t="n">
        <v>3</v>
      </c>
      <c r="E2351" t="s">
        <v>2344</v>
      </c>
      <c r="F2351" t="s"/>
      <c r="G2351" t="s"/>
      <c r="H2351" t="s"/>
      <c r="I2351" t="s"/>
      <c r="J2351" t="n">
        <v>0</v>
      </c>
      <c r="K2351" t="n">
        <v>0</v>
      </c>
      <c r="L2351" t="n">
        <v>1</v>
      </c>
      <c r="M2351" t="n">
        <v>0</v>
      </c>
    </row>
    <row r="2352" spans="1:13">
      <c r="A2352" s="1">
        <f>HYPERLINK("http://www.twitter.com/NathanBLawrence/status/991102872619274240", "991102872619274240")</f>
        <v/>
      </c>
      <c r="B2352" s="2" t="n">
        <v>43220.99436342593</v>
      </c>
      <c r="C2352" t="n">
        <v>0</v>
      </c>
      <c r="D2352" t="n">
        <v>1</v>
      </c>
      <c r="E2352" t="s">
        <v>2345</v>
      </c>
      <c r="F2352" t="s"/>
      <c r="G2352" t="s"/>
      <c r="H2352" t="s"/>
      <c r="I2352" t="s"/>
      <c r="J2352" t="n">
        <v>0.4404</v>
      </c>
      <c r="K2352" t="n">
        <v>0</v>
      </c>
      <c r="L2352" t="n">
        <v>0.805</v>
      </c>
      <c r="M2352" t="n">
        <v>0.195</v>
      </c>
    </row>
    <row r="2353" spans="1:13">
      <c r="A2353" s="1">
        <f>HYPERLINK("http://www.twitter.com/NathanBLawrence/status/991102677563117568", "991102677563117568")</f>
        <v/>
      </c>
      <c r="B2353" s="2" t="n">
        <v>43220.99381944445</v>
      </c>
      <c r="C2353" t="n">
        <v>1</v>
      </c>
      <c r="D2353" t="n">
        <v>0</v>
      </c>
      <c r="E2353" t="s">
        <v>2346</v>
      </c>
      <c r="F2353" t="s"/>
      <c r="G2353" t="s"/>
      <c r="H2353" t="s"/>
      <c r="I2353" t="s"/>
      <c r="J2353" t="n">
        <v>-0.2411</v>
      </c>
      <c r="K2353" t="n">
        <v>0.282</v>
      </c>
      <c r="L2353" t="n">
        <v>0.718</v>
      </c>
      <c r="M2353" t="n">
        <v>0</v>
      </c>
    </row>
    <row r="2354" spans="1:13">
      <c r="A2354" s="1">
        <f>HYPERLINK("http://www.twitter.com/NathanBLawrence/status/991101959322198016", "991101959322198016")</f>
        <v/>
      </c>
      <c r="B2354" s="2" t="n">
        <v>43220.99184027778</v>
      </c>
      <c r="C2354" t="n">
        <v>3</v>
      </c>
      <c r="D2354" t="n">
        <v>5</v>
      </c>
      <c r="E2354" t="s">
        <v>2347</v>
      </c>
      <c r="F2354" t="s"/>
      <c r="G2354" t="s"/>
      <c r="H2354" t="s"/>
      <c r="I2354" t="s"/>
      <c r="J2354" t="n">
        <v>0.0258</v>
      </c>
      <c r="K2354" t="n">
        <v>0.105</v>
      </c>
      <c r="L2354" t="n">
        <v>0.786</v>
      </c>
      <c r="M2354" t="n">
        <v>0.109</v>
      </c>
    </row>
    <row r="2355" spans="1:13">
      <c r="A2355" s="1">
        <f>HYPERLINK("http://www.twitter.com/NathanBLawrence/status/991101220310876161", "991101220310876161")</f>
        <v/>
      </c>
      <c r="B2355" s="2" t="n">
        <v>43220.98980324074</v>
      </c>
      <c r="C2355" t="n">
        <v>0</v>
      </c>
      <c r="D2355" t="n">
        <v>46</v>
      </c>
      <c r="E2355" t="s">
        <v>2348</v>
      </c>
      <c r="F2355" t="s"/>
      <c r="G2355" t="s"/>
      <c r="H2355" t="s"/>
      <c r="I2355" t="s"/>
      <c r="J2355" t="n">
        <v>0.7269</v>
      </c>
      <c r="K2355" t="n">
        <v>0</v>
      </c>
      <c r="L2355" t="n">
        <v>0.757</v>
      </c>
      <c r="M2355" t="n">
        <v>0.243</v>
      </c>
    </row>
    <row r="2356" spans="1:13">
      <c r="A2356" s="1">
        <f>HYPERLINK("http://www.twitter.com/NathanBLawrence/status/991101017587699712", "991101017587699712")</f>
        <v/>
      </c>
      <c r="B2356" s="2" t="n">
        <v>43220.98924768518</v>
      </c>
      <c r="C2356" t="n">
        <v>8</v>
      </c>
      <c r="D2356" t="n">
        <v>1</v>
      </c>
      <c r="E2356" t="s">
        <v>2349</v>
      </c>
      <c r="F2356" t="s"/>
      <c r="G2356" t="s"/>
      <c r="H2356" t="s"/>
      <c r="I2356" t="s"/>
      <c r="J2356" t="n">
        <v>-0.8176</v>
      </c>
      <c r="K2356" t="n">
        <v>0.388</v>
      </c>
      <c r="L2356" t="n">
        <v>0.612</v>
      </c>
      <c r="M2356" t="n">
        <v>0</v>
      </c>
    </row>
    <row r="2357" spans="1:13">
      <c r="A2357" s="1">
        <f>HYPERLINK("http://www.twitter.com/NathanBLawrence/status/991100107411116032", "991100107411116032")</f>
        <v/>
      </c>
      <c r="B2357" s="2" t="n">
        <v>43220.98673611111</v>
      </c>
      <c r="C2357" t="n">
        <v>0</v>
      </c>
      <c r="D2357" t="n">
        <v>10</v>
      </c>
      <c r="E2357" t="s">
        <v>2350</v>
      </c>
      <c r="F2357">
        <f>HYPERLINK("http://pbs.twimg.com/media/DcEYEuOXkAAhW1c.jpg", "http://pbs.twimg.com/media/DcEYEuOXkAAhW1c.jpg")</f>
        <v/>
      </c>
      <c r="G2357" t="s"/>
      <c r="H2357" t="s"/>
      <c r="I2357" t="s"/>
      <c r="J2357" t="n">
        <v>0.7125</v>
      </c>
      <c r="K2357" t="n">
        <v>0</v>
      </c>
      <c r="L2357" t="n">
        <v>0.794</v>
      </c>
      <c r="M2357" t="n">
        <v>0.206</v>
      </c>
    </row>
    <row r="2358" spans="1:13">
      <c r="A2358" s="1">
        <f>HYPERLINK("http://www.twitter.com/NathanBLawrence/status/991099869392785408", "991099869392785408")</f>
        <v/>
      </c>
      <c r="B2358" s="2" t="n">
        <v>43220.98607638889</v>
      </c>
      <c r="C2358" t="n">
        <v>0</v>
      </c>
      <c r="D2358" t="n">
        <v>65</v>
      </c>
      <c r="E2358" t="s">
        <v>2351</v>
      </c>
      <c r="F2358">
        <f>HYPERLINK("https://video.twimg.com/ext_tw_video/990590281983582208/pu/vid/318x180/FSu3ET0GNePnaVjZ.mp4?tag=3", "https://video.twimg.com/ext_tw_video/990590281983582208/pu/vid/318x180/FSu3ET0GNePnaVjZ.mp4?tag=3")</f>
        <v/>
      </c>
      <c r="G2358" t="s"/>
      <c r="H2358" t="s"/>
      <c r="I2358" t="s"/>
      <c r="J2358" t="n">
        <v>0</v>
      </c>
      <c r="K2358" t="n">
        <v>0</v>
      </c>
      <c r="L2358" t="n">
        <v>1</v>
      </c>
      <c r="M2358" t="n">
        <v>0</v>
      </c>
    </row>
    <row r="2359" spans="1:13">
      <c r="A2359" s="1">
        <f>HYPERLINK("http://www.twitter.com/NathanBLawrence/status/991099792318238720", "991099792318238720")</f>
        <v/>
      </c>
      <c r="B2359" s="2" t="n">
        <v>43220.98585648148</v>
      </c>
      <c r="C2359" t="n">
        <v>4</v>
      </c>
      <c r="D2359" t="n">
        <v>1</v>
      </c>
      <c r="E2359" t="s">
        <v>2352</v>
      </c>
      <c r="F2359" t="s"/>
      <c r="G2359" t="s"/>
      <c r="H2359" t="s"/>
      <c r="I2359" t="s"/>
      <c r="J2359" t="n">
        <v>0.4215</v>
      </c>
      <c r="K2359" t="n">
        <v>0</v>
      </c>
      <c r="L2359" t="n">
        <v>0.909</v>
      </c>
      <c r="M2359" t="n">
        <v>0.091</v>
      </c>
    </row>
    <row r="2360" spans="1:13">
      <c r="A2360" s="1">
        <f>HYPERLINK("http://www.twitter.com/NathanBLawrence/status/991099235893481478", "991099235893481478")</f>
        <v/>
      </c>
      <c r="B2360" s="2" t="n">
        <v>43220.9843287037</v>
      </c>
      <c r="C2360" t="n">
        <v>0</v>
      </c>
      <c r="D2360" t="n">
        <v>645</v>
      </c>
      <c r="E2360" t="s">
        <v>2353</v>
      </c>
      <c r="F2360" t="s"/>
      <c r="G2360" t="s"/>
      <c r="H2360" t="s"/>
      <c r="I2360" t="s"/>
      <c r="J2360" t="n">
        <v>0.4404</v>
      </c>
      <c r="K2360" t="n">
        <v>0</v>
      </c>
      <c r="L2360" t="n">
        <v>0.879</v>
      </c>
      <c r="M2360" t="n">
        <v>0.121</v>
      </c>
    </row>
    <row r="2361" spans="1:13">
      <c r="A2361" s="1">
        <f>HYPERLINK("http://www.twitter.com/NathanBLawrence/status/991099099536592896", "991099099536592896")</f>
        <v/>
      </c>
      <c r="B2361" s="2" t="n">
        <v>43220.98394675926</v>
      </c>
      <c r="C2361" t="n">
        <v>1</v>
      </c>
      <c r="D2361" t="n">
        <v>1</v>
      </c>
      <c r="E2361" t="s">
        <v>2354</v>
      </c>
      <c r="F2361" t="s"/>
      <c r="G2361" t="s"/>
      <c r="H2361" t="s"/>
      <c r="I2361" t="s"/>
      <c r="J2361" t="n">
        <v>-0.4226</v>
      </c>
      <c r="K2361" t="n">
        <v>0.186</v>
      </c>
      <c r="L2361" t="n">
        <v>0.73</v>
      </c>
      <c r="M2361" t="n">
        <v>0.08400000000000001</v>
      </c>
    </row>
    <row r="2362" spans="1:13">
      <c r="A2362" s="1">
        <f>HYPERLINK("http://www.twitter.com/NathanBLawrence/status/991098109395656706", "991098109395656706")</f>
        <v/>
      </c>
      <c r="B2362" s="2" t="n">
        <v>43220.98121527778</v>
      </c>
      <c r="C2362" t="n">
        <v>3</v>
      </c>
      <c r="D2362" t="n">
        <v>0</v>
      </c>
      <c r="E2362" t="s">
        <v>2355</v>
      </c>
      <c r="F2362">
        <f>HYPERLINK("https://video.twimg.com/ext_tw_video/991098089330032640/pu/vid/240x180/k6JBEgzS4k0MD3dy.mp4?tag=3", "https://video.twimg.com/ext_tw_video/991098089330032640/pu/vid/240x180/k6JBEgzS4k0MD3dy.mp4?tag=3")</f>
        <v/>
      </c>
      <c r="G2362" t="s"/>
      <c r="H2362" t="s"/>
      <c r="I2362" t="s"/>
      <c r="J2362" t="n">
        <v>0.7351</v>
      </c>
      <c r="K2362" t="n">
        <v>0.045</v>
      </c>
      <c r="L2362" t="n">
        <v>0.782</v>
      </c>
      <c r="M2362" t="n">
        <v>0.173</v>
      </c>
    </row>
    <row r="2363" spans="1:13">
      <c r="A2363" s="1">
        <f>HYPERLINK("http://www.twitter.com/NathanBLawrence/status/991093769901625344", "991093769901625344")</f>
        <v/>
      </c>
      <c r="B2363" s="2" t="n">
        <v>43220.96924768519</v>
      </c>
      <c r="C2363" t="n">
        <v>0</v>
      </c>
      <c r="D2363" t="n">
        <v>2</v>
      </c>
      <c r="E2363" t="s">
        <v>2356</v>
      </c>
      <c r="F2363" t="s"/>
      <c r="G2363" t="s"/>
      <c r="H2363" t="s"/>
      <c r="I2363" t="s"/>
      <c r="J2363" t="n">
        <v>0</v>
      </c>
      <c r="K2363" t="n">
        <v>0</v>
      </c>
      <c r="L2363" t="n">
        <v>1</v>
      </c>
      <c r="M2363" t="n">
        <v>0</v>
      </c>
    </row>
    <row r="2364" spans="1:13">
      <c r="A2364" s="1">
        <f>HYPERLINK("http://www.twitter.com/NathanBLawrence/status/991061827906830336", "991061827906830336")</f>
        <v/>
      </c>
      <c r="B2364" s="2" t="n">
        <v>43220.88109953704</v>
      </c>
      <c r="C2364" t="n">
        <v>0</v>
      </c>
      <c r="D2364" t="n">
        <v>2</v>
      </c>
      <c r="E2364" t="s">
        <v>2357</v>
      </c>
      <c r="F2364" t="s"/>
      <c r="G2364" t="s"/>
      <c r="H2364" t="s"/>
      <c r="I2364" t="s"/>
      <c r="J2364" t="n">
        <v>0</v>
      </c>
      <c r="K2364" t="n">
        <v>0</v>
      </c>
      <c r="L2364" t="n">
        <v>1</v>
      </c>
      <c r="M2364" t="n">
        <v>0</v>
      </c>
    </row>
    <row r="2365" spans="1:13">
      <c r="A2365" s="1">
        <f>HYPERLINK("http://www.twitter.com/NathanBLawrence/status/991061676177920000", "991061676177920000")</f>
        <v/>
      </c>
      <c r="B2365" s="2" t="n">
        <v>43220.88068287037</v>
      </c>
      <c r="C2365" t="n">
        <v>5</v>
      </c>
      <c r="D2365" t="n">
        <v>1</v>
      </c>
      <c r="E2365" t="s">
        <v>2358</v>
      </c>
      <c r="F2365" t="s"/>
      <c r="G2365" t="s"/>
      <c r="H2365" t="s"/>
      <c r="I2365" t="s"/>
      <c r="J2365" t="n">
        <v>0.7506</v>
      </c>
      <c r="K2365" t="n">
        <v>0</v>
      </c>
      <c r="L2365" t="n">
        <v>0.68</v>
      </c>
      <c r="M2365" t="n">
        <v>0.32</v>
      </c>
    </row>
    <row r="2366" spans="1:13">
      <c r="A2366" s="1">
        <f>HYPERLINK("http://www.twitter.com/NathanBLawrence/status/991059008822939648", "991059008822939648")</f>
        <v/>
      </c>
      <c r="B2366" s="2" t="n">
        <v>43220.87332175926</v>
      </c>
      <c r="C2366" t="n">
        <v>0</v>
      </c>
      <c r="D2366" t="n">
        <v>2</v>
      </c>
      <c r="E2366" t="s">
        <v>2359</v>
      </c>
      <c r="F2366" t="s"/>
      <c r="G2366" t="s"/>
      <c r="H2366" t="s"/>
      <c r="I2366" t="s"/>
      <c r="J2366" t="n">
        <v>0</v>
      </c>
      <c r="K2366" t="n">
        <v>0</v>
      </c>
      <c r="L2366" t="n">
        <v>1</v>
      </c>
      <c r="M2366" t="n">
        <v>0</v>
      </c>
    </row>
    <row r="2367" spans="1:13">
      <c r="A2367" s="1">
        <f>HYPERLINK("http://www.twitter.com/NathanBLawrence/status/991026754088263680", "991026754088263680")</f>
        <v/>
      </c>
      <c r="B2367" s="2" t="n">
        <v>43220.78431712963</v>
      </c>
      <c r="C2367" t="n">
        <v>0</v>
      </c>
      <c r="D2367" t="n">
        <v>5</v>
      </c>
      <c r="E2367" t="s">
        <v>2360</v>
      </c>
      <c r="F2367" t="s"/>
      <c r="G2367" t="s"/>
      <c r="H2367" t="s"/>
      <c r="I2367" t="s"/>
      <c r="J2367" t="n">
        <v>0</v>
      </c>
      <c r="K2367" t="n">
        <v>0</v>
      </c>
      <c r="L2367" t="n">
        <v>1</v>
      </c>
      <c r="M2367" t="n">
        <v>0</v>
      </c>
    </row>
    <row r="2368" spans="1:13">
      <c r="A2368" s="1">
        <f>HYPERLINK("http://www.twitter.com/NathanBLawrence/status/991026739039100928", "991026739039100928")</f>
        <v/>
      </c>
      <c r="B2368" s="2" t="n">
        <v>43220.78427083333</v>
      </c>
      <c r="C2368" t="n">
        <v>0</v>
      </c>
      <c r="D2368" t="n">
        <v>8</v>
      </c>
      <c r="E2368" t="s">
        <v>2361</v>
      </c>
      <c r="F2368" t="s"/>
      <c r="G2368" t="s"/>
      <c r="H2368" t="s"/>
      <c r="I2368" t="s"/>
      <c r="J2368" t="n">
        <v>0.4912</v>
      </c>
      <c r="K2368" t="n">
        <v>0</v>
      </c>
      <c r="L2368" t="n">
        <v>0.802</v>
      </c>
      <c r="M2368" t="n">
        <v>0.198</v>
      </c>
    </row>
    <row r="2369" spans="1:13">
      <c r="A2369" s="1">
        <f>HYPERLINK("http://www.twitter.com/NathanBLawrence/status/991026591231889413", "991026591231889413")</f>
        <v/>
      </c>
      <c r="B2369" s="2" t="n">
        <v>43220.78386574074</v>
      </c>
      <c r="C2369" t="n">
        <v>0</v>
      </c>
      <c r="D2369" t="n">
        <v>2</v>
      </c>
      <c r="E2369" t="s">
        <v>2362</v>
      </c>
      <c r="F2369" t="s"/>
      <c r="G2369" t="s"/>
      <c r="H2369" t="s"/>
      <c r="I2369" t="s"/>
      <c r="J2369" t="n">
        <v>0</v>
      </c>
      <c r="K2369" t="n">
        <v>0</v>
      </c>
      <c r="L2369" t="n">
        <v>1</v>
      </c>
      <c r="M2369" t="n">
        <v>0</v>
      </c>
    </row>
    <row r="2370" spans="1:13">
      <c r="A2370" s="1">
        <f>HYPERLINK("http://www.twitter.com/NathanBLawrence/status/991024784501825536", "991024784501825536")</f>
        <v/>
      </c>
      <c r="B2370" s="2" t="n">
        <v>43220.77887731481</v>
      </c>
      <c r="C2370" t="n">
        <v>0</v>
      </c>
      <c r="D2370" t="n">
        <v>0</v>
      </c>
      <c r="E2370" t="s">
        <v>2363</v>
      </c>
      <c r="F2370" t="s"/>
      <c r="G2370" t="s"/>
      <c r="H2370" t="s"/>
      <c r="I2370" t="s"/>
      <c r="J2370" t="n">
        <v>-0.6908</v>
      </c>
      <c r="K2370" t="n">
        <v>0.341</v>
      </c>
      <c r="L2370" t="n">
        <v>0.659</v>
      </c>
      <c r="M2370" t="n">
        <v>0</v>
      </c>
    </row>
    <row r="2371" spans="1:13">
      <c r="A2371" s="1">
        <f>HYPERLINK("http://www.twitter.com/NathanBLawrence/status/991023364180529159", "991023364180529159")</f>
        <v/>
      </c>
      <c r="B2371" s="2" t="n">
        <v>43220.77496527778</v>
      </c>
      <c r="C2371" t="n">
        <v>0</v>
      </c>
      <c r="D2371" t="n">
        <v>0</v>
      </c>
      <c r="E2371" t="s">
        <v>2364</v>
      </c>
      <c r="F2371" t="s"/>
      <c r="G2371" t="s"/>
      <c r="H2371" t="s"/>
      <c r="I2371" t="s"/>
      <c r="J2371" t="n">
        <v>0</v>
      </c>
      <c r="K2371" t="n">
        <v>0</v>
      </c>
      <c r="L2371" t="n">
        <v>1</v>
      </c>
      <c r="M2371" t="n">
        <v>0</v>
      </c>
    </row>
    <row r="2372" spans="1:13">
      <c r="A2372" s="1">
        <f>HYPERLINK("http://www.twitter.com/NathanBLawrence/status/990982581985398785", "990982581985398785")</f>
        <v/>
      </c>
      <c r="B2372" s="2" t="n">
        <v>43220.66241898148</v>
      </c>
      <c r="C2372" t="n">
        <v>2</v>
      </c>
      <c r="D2372" t="n">
        <v>1</v>
      </c>
      <c r="E2372" t="s">
        <v>2365</v>
      </c>
      <c r="F2372" t="s"/>
      <c r="G2372" t="s"/>
      <c r="H2372" t="s"/>
      <c r="I2372" t="s"/>
      <c r="J2372" t="n">
        <v>0.3612</v>
      </c>
      <c r="K2372" t="n">
        <v>0</v>
      </c>
      <c r="L2372" t="n">
        <v>0.894</v>
      </c>
      <c r="M2372" t="n">
        <v>0.106</v>
      </c>
    </row>
    <row r="2373" spans="1:13">
      <c r="A2373" s="1">
        <f>HYPERLINK("http://www.twitter.com/NathanBLawrence/status/990978353304952832", "990978353304952832")</f>
        <v/>
      </c>
      <c r="B2373" s="2" t="n">
        <v>43220.65075231482</v>
      </c>
      <c r="C2373" t="n">
        <v>9</v>
      </c>
      <c r="D2373" t="n">
        <v>5</v>
      </c>
      <c r="E2373" t="s">
        <v>2366</v>
      </c>
      <c r="F2373">
        <f>HYPERLINK("http://pbs.twimg.com/media/DcCpi66UQAA06qz.jpg", "http://pbs.twimg.com/media/DcCpi66UQAA06qz.jpg")</f>
        <v/>
      </c>
      <c r="G2373" t="s"/>
      <c r="H2373" t="s"/>
      <c r="I2373" t="s"/>
      <c r="J2373" t="n">
        <v>0.3612</v>
      </c>
      <c r="K2373" t="n">
        <v>0</v>
      </c>
      <c r="L2373" t="n">
        <v>0.762</v>
      </c>
      <c r="M2373" t="n">
        <v>0.238</v>
      </c>
    </row>
    <row r="2374" spans="1:13">
      <c r="A2374" s="1">
        <f>HYPERLINK("http://www.twitter.com/NathanBLawrence/status/990978320182464513", "990978320182464513")</f>
        <v/>
      </c>
      <c r="B2374" s="2" t="n">
        <v>43220.65065972223</v>
      </c>
      <c r="C2374" t="n">
        <v>0</v>
      </c>
      <c r="D2374" t="n">
        <v>1</v>
      </c>
      <c r="E2374" t="s">
        <v>2367</v>
      </c>
      <c r="F2374" t="s"/>
      <c r="G2374" t="s"/>
      <c r="H2374" t="s"/>
      <c r="I2374" t="s"/>
      <c r="J2374" t="n">
        <v>0</v>
      </c>
      <c r="K2374" t="n">
        <v>0</v>
      </c>
      <c r="L2374" t="n">
        <v>1</v>
      </c>
      <c r="M2374" t="n">
        <v>0</v>
      </c>
    </row>
    <row r="2375" spans="1:13">
      <c r="A2375" s="1">
        <f>HYPERLINK("http://www.twitter.com/NathanBLawrence/status/990976615705399296", "990976615705399296")</f>
        <v/>
      </c>
      <c r="B2375" s="2" t="n">
        <v>43220.64596064815</v>
      </c>
      <c r="C2375" t="n">
        <v>1</v>
      </c>
      <c r="D2375" t="n">
        <v>0</v>
      </c>
      <c r="E2375" t="s">
        <v>2368</v>
      </c>
      <c r="F2375" t="s"/>
      <c r="G2375" t="s"/>
      <c r="H2375" t="s"/>
      <c r="I2375" t="s"/>
      <c r="J2375" t="n">
        <v>0.6597</v>
      </c>
      <c r="K2375" t="n">
        <v>0</v>
      </c>
      <c r="L2375" t="n">
        <v>0.357</v>
      </c>
      <c r="M2375" t="n">
        <v>0.643</v>
      </c>
    </row>
    <row r="2376" spans="1:13">
      <c r="A2376" s="1">
        <f>HYPERLINK("http://www.twitter.com/NathanBLawrence/status/990976479654764544", "990976479654764544")</f>
        <v/>
      </c>
      <c r="B2376" s="2" t="n">
        <v>43220.6455787037</v>
      </c>
      <c r="C2376" t="n">
        <v>0</v>
      </c>
      <c r="D2376" t="n">
        <v>2</v>
      </c>
      <c r="E2376" t="s">
        <v>2369</v>
      </c>
      <c r="F2376" t="s"/>
      <c r="G2376" t="s"/>
      <c r="H2376" t="s"/>
      <c r="I2376" t="s"/>
      <c r="J2376" t="n">
        <v>0</v>
      </c>
      <c r="K2376" t="n">
        <v>0</v>
      </c>
      <c r="L2376" t="n">
        <v>1</v>
      </c>
      <c r="M2376" t="n">
        <v>0</v>
      </c>
    </row>
    <row r="2377" spans="1:13">
      <c r="A2377" s="1">
        <f>HYPERLINK("http://www.twitter.com/NathanBLawrence/status/990976251983749125", "990976251983749125")</f>
        <v/>
      </c>
      <c r="B2377" s="2" t="n">
        <v>43220.6449537037</v>
      </c>
      <c r="C2377" t="n">
        <v>0</v>
      </c>
      <c r="D2377" t="n">
        <v>15</v>
      </c>
      <c r="E2377" t="s">
        <v>2370</v>
      </c>
      <c r="F2377">
        <f>HYPERLINK("http://pbs.twimg.com/media/DcCcrR2VAAACOk6.jpg", "http://pbs.twimg.com/media/DcCcrR2VAAACOk6.jpg")</f>
        <v/>
      </c>
      <c r="G2377" t="s"/>
      <c r="H2377" t="s"/>
      <c r="I2377" t="s"/>
      <c r="J2377" t="n">
        <v>0</v>
      </c>
      <c r="K2377" t="n">
        <v>0</v>
      </c>
      <c r="L2377" t="n">
        <v>1</v>
      </c>
      <c r="M2377" t="n">
        <v>0</v>
      </c>
    </row>
    <row r="2378" spans="1:13">
      <c r="A2378" s="1">
        <f>HYPERLINK("http://www.twitter.com/NathanBLawrence/status/990976217556963330", "990976217556963330")</f>
        <v/>
      </c>
      <c r="B2378" s="2" t="n">
        <v>43220.64486111111</v>
      </c>
      <c r="C2378" t="n">
        <v>0</v>
      </c>
      <c r="D2378" t="n">
        <v>3</v>
      </c>
      <c r="E2378" t="s">
        <v>2371</v>
      </c>
      <c r="F2378" t="s"/>
      <c r="G2378" t="s"/>
      <c r="H2378" t="s"/>
      <c r="I2378" t="s"/>
      <c r="J2378" t="n">
        <v>-0.5719</v>
      </c>
      <c r="K2378" t="n">
        <v>0.346</v>
      </c>
      <c r="L2378" t="n">
        <v>0.654</v>
      </c>
      <c r="M2378" t="n">
        <v>0</v>
      </c>
    </row>
    <row r="2379" spans="1:13">
      <c r="A2379" s="1">
        <f>HYPERLINK("http://www.twitter.com/NathanBLawrence/status/990976030637772800", "990976030637772800")</f>
        <v/>
      </c>
      <c r="B2379" s="2" t="n">
        <v>43220.64434027778</v>
      </c>
      <c r="C2379" t="n">
        <v>2</v>
      </c>
      <c r="D2379" t="n">
        <v>1</v>
      </c>
      <c r="E2379" t="s">
        <v>2372</v>
      </c>
      <c r="F2379" t="s"/>
      <c r="G2379" t="s"/>
      <c r="H2379" t="s"/>
      <c r="I2379" t="s"/>
      <c r="J2379" t="n">
        <v>0</v>
      </c>
      <c r="K2379" t="n">
        <v>0</v>
      </c>
      <c r="L2379" t="n">
        <v>1</v>
      </c>
      <c r="M2379" t="n">
        <v>0</v>
      </c>
    </row>
    <row r="2380" spans="1:13">
      <c r="A2380" s="1">
        <f>HYPERLINK("http://www.twitter.com/NathanBLawrence/status/990964613356380160", "990964613356380160")</f>
        <v/>
      </c>
      <c r="B2380" s="2" t="n">
        <v>43220.61283564815</v>
      </c>
      <c r="C2380" t="n">
        <v>5</v>
      </c>
      <c r="D2380" t="n">
        <v>0</v>
      </c>
      <c r="E2380" t="s">
        <v>2373</v>
      </c>
      <c r="F2380">
        <f>HYPERLINK("http://pbs.twimg.com/media/DcCdDxIV0AEPv5a.jpg", "http://pbs.twimg.com/media/DcCdDxIV0AEPv5a.jpg")</f>
        <v/>
      </c>
      <c r="G2380" t="s"/>
      <c r="H2380" t="s"/>
      <c r="I2380" t="s"/>
      <c r="J2380" t="n">
        <v>0</v>
      </c>
      <c r="K2380" t="n">
        <v>0</v>
      </c>
      <c r="L2380" t="n">
        <v>1</v>
      </c>
      <c r="M2380" t="n">
        <v>0</v>
      </c>
    </row>
    <row r="2381" spans="1:13">
      <c r="A2381" s="1">
        <f>HYPERLINK("http://www.twitter.com/NathanBLawrence/status/990964187861053440", "990964187861053440")</f>
        <v/>
      </c>
      <c r="B2381" s="2" t="n">
        <v>43220.61166666666</v>
      </c>
      <c r="C2381" t="n">
        <v>7</v>
      </c>
      <c r="D2381" t="n">
        <v>15</v>
      </c>
      <c r="E2381" t="s">
        <v>2374</v>
      </c>
      <c r="F2381">
        <f>HYPERLINK("http://pbs.twimg.com/media/DcCcrR2VAAACOk6.jpg", "http://pbs.twimg.com/media/DcCcrR2VAAACOk6.jpg")</f>
        <v/>
      </c>
      <c r="G2381" t="s"/>
      <c r="H2381" t="s"/>
      <c r="I2381" t="s"/>
      <c r="J2381" t="n">
        <v>0</v>
      </c>
      <c r="K2381" t="n">
        <v>0</v>
      </c>
      <c r="L2381" t="n">
        <v>1</v>
      </c>
      <c r="M2381" t="n">
        <v>0</v>
      </c>
    </row>
    <row r="2382" spans="1:13">
      <c r="A2382" s="1">
        <f>HYPERLINK("http://www.twitter.com/NathanBLawrence/status/990962522856574976", "990962522856574976")</f>
        <v/>
      </c>
      <c r="B2382" s="2" t="n">
        <v>43220.60707175926</v>
      </c>
      <c r="C2382" t="n">
        <v>6</v>
      </c>
      <c r="D2382" t="n">
        <v>1</v>
      </c>
      <c r="E2382" t="s">
        <v>2375</v>
      </c>
      <c r="F2382" t="s"/>
      <c r="G2382" t="s"/>
      <c r="H2382" t="s"/>
      <c r="I2382" t="s"/>
      <c r="J2382" t="n">
        <v>-0.8176</v>
      </c>
      <c r="K2382" t="n">
        <v>0.279</v>
      </c>
      <c r="L2382" t="n">
        <v>0.721</v>
      </c>
      <c r="M2382" t="n">
        <v>0</v>
      </c>
    </row>
    <row r="2383" spans="1:13">
      <c r="A2383" s="1">
        <f>HYPERLINK("http://www.twitter.com/NathanBLawrence/status/990949749233799168", "990949749233799168")</f>
        <v/>
      </c>
      <c r="B2383" s="2" t="n">
        <v>43220.57181712963</v>
      </c>
      <c r="C2383" t="n">
        <v>7</v>
      </c>
      <c r="D2383" t="n">
        <v>1</v>
      </c>
      <c r="E2383" t="s">
        <v>2376</v>
      </c>
      <c r="F2383" t="s"/>
      <c r="G2383" t="s"/>
      <c r="H2383" t="s"/>
      <c r="I2383" t="s"/>
      <c r="J2383" t="n">
        <v>0</v>
      </c>
      <c r="K2383" t="n">
        <v>0</v>
      </c>
      <c r="L2383" t="n">
        <v>1</v>
      </c>
      <c r="M2383" t="n">
        <v>0</v>
      </c>
    </row>
    <row r="2384" spans="1:13">
      <c r="A2384" s="1">
        <f>HYPERLINK("http://www.twitter.com/NathanBLawrence/status/990949690488258560", "990949690488258560")</f>
        <v/>
      </c>
      <c r="B2384" s="2" t="n">
        <v>43220.57165509259</v>
      </c>
      <c r="C2384" t="n">
        <v>0</v>
      </c>
      <c r="D2384" t="n">
        <v>1</v>
      </c>
      <c r="E2384" t="s">
        <v>2377</v>
      </c>
      <c r="F2384" t="s"/>
      <c r="G2384" t="s"/>
      <c r="H2384" t="s"/>
      <c r="I2384" t="s"/>
      <c r="J2384" t="n">
        <v>0</v>
      </c>
      <c r="K2384" t="n">
        <v>0</v>
      </c>
      <c r="L2384" t="n">
        <v>1</v>
      </c>
      <c r="M2384" t="n">
        <v>0</v>
      </c>
    </row>
    <row r="2385" spans="1:13">
      <c r="A2385" s="1">
        <f>HYPERLINK("http://www.twitter.com/NathanBLawrence/status/990914108580155393", "990914108580155393")</f>
        <v/>
      </c>
      <c r="B2385" s="2" t="n">
        <v>43220.47347222222</v>
      </c>
      <c r="C2385" t="n">
        <v>0</v>
      </c>
      <c r="D2385" t="n">
        <v>361</v>
      </c>
      <c r="E2385" t="s">
        <v>2378</v>
      </c>
      <c r="F2385">
        <f>HYPERLINK("http://pbs.twimg.com/media/Db-v9diVMAAfBt2.jpg", "http://pbs.twimg.com/media/Db-v9diVMAAfBt2.jpg")</f>
        <v/>
      </c>
      <c r="G2385" t="s"/>
      <c r="H2385" t="s"/>
      <c r="I2385" t="s"/>
      <c r="J2385" t="n">
        <v>0.4404</v>
      </c>
      <c r="K2385" t="n">
        <v>0</v>
      </c>
      <c r="L2385" t="n">
        <v>0.791</v>
      </c>
      <c r="M2385" t="n">
        <v>0.209</v>
      </c>
    </row>
    <row r="2386" spans="1:13">
      <c r="A2386" s="1">
        <f>HYPERLINK("http://www.twitter.com/NathanBLawrence/status/990913223435210753", "990913223435210753")</f>
        <v/>
      </c>
      <c r="B2386" s="2" t="n">
        <v>43220.47103009259</v>
      </c>
      <c r="C2386" t="n">
        <v>4</v>
      </c>
      <c r="D2386" t="n">
        <v>2</v>
      </c>
      <c r="E2386" t="s">
        <v>2379</v>
      </c>
      <c r="F2386" t="s"/>
      <c r="G2386" t="s"/>
      <c r="H2386" t="s"/>
      <c r="I2386" t="s"/>
      <c r="J2386" t="n">
        <v>-0.5106000000000001</v>
      </c>
      <c r="K2386" t="n">
        <v>0.191</v>
      </c>
      <c r="L2386" t="n">
        <v>0.8090000000000001</v>
      </c>
      <c r="M2386" t="n">
        <v>0</v>
      </c>
    </row>
    <row r="2387" spans="1:13">
      <c r="A2387" s="1">
        <f>HYPERLINK("http://www.twitter.com/NathanBLawrence/status/990912785977618434", "990912785977618434")</f>
        <v/>
      </c>
      <c r="B2387" s="2" t="n">
        <v>43220.46982638889</v>
      </c>
      <c r="C2387" t="n">
        <v>0</v>
      </c>
      <c r="D2387" t="n">
        <v>1</v>
      </c>
      <c r="E2387" t="s">
        <v>2380</v>
      </c>
      <c r="F2387" t="s"/>
      <c r="G2387" t="s"/>
      <c r="H2387" t="s"/>
      <c r="I2387" t="s"/>
      <c r="J2387" t="n">
        <v>0.4019</v>
      </c>
      <c r="K2387" t="n">
        <v>0</v>
      </c>
      <c r="L2387" t="n">
        <v>0.87</v>
      </c>
      <c r="M2387" t="n">
        <v>0.13</v>
      </c>
    </row>
    <row r="2388" spans="1:13">
      <c r="A2388" s="1">
        <f>HYPERLINK("http://www.twitter.com/NathanBLawrence/status/990908236206354432", "990908236206354432")</f>
        <v/>
      </c>
      <c r="B2388" s="2" t="n">
        <v>43220.45726851852</v>
      </c>
      <c r="C2388" t="n">
        <v>0</v>
      </c>
      <c r="D2388" t="n">
        <v>146</v>
      </c>
      <c r="E2388" t="s">
        <v>2381</v>
      </c>
      <c r="F2388">
        <f>HYPERLINK("http://pbs.twimg.com/media/DcBmuEeVwAAwIzq.jpg", "http://pbs.twimg.com/media/DcBmuEeVwAAwIzq.jpg")</f>
        <v/>
      </c>
      <c r="G2388" t="s"/>
      <c r="H2388" t="s"/>
      <c r="I2388" t="s"/>
      <c r="J2388" t="n">
        <v>0</v>
      </c>
      <c r="K2388" t="n">
        <v>0</v>
      </c>
      <c r="L2388" t="n">
        <v>1</v>
      </c>
      <c r="M2388" t="n">
        <v>0</v>
      </c>
    </row>
    <row r="2389" spans="1:13">
      <c r="A2389" s="1">
        <f>HYPERLINK("http://www.twitter.com/NathanBLawrence/status/990908165138116609", "990908165138116609")</f>
        <v/>
      </c>
      <c r="B2389" s="2" t="n">
        <v>43220.45707175926</v>
      </c>
      <c r="C2389" t="n">
        <v>0</v>
      </c>
      <c r="D2389" t="n">
        <v>3</v>
      </c>
      <c r="E2389" t="s">
        <v>2382</v>
      </c>
      <c r="F2389" t="s"/>
      <c r="G2389" t="s"/>
      <c r="H2389" t="s"/>
      <c r="I2389" t="s"/>
      <c r="J2389" t="n">
        <v>0</v>
      </c>
      <c r="K2389" t="n">
        <v>0</v>
      </c>
      <c r="L2389" t="n">
        <v>1</v>
      </c>
      <c r="M2389" t="n">
        <v>0</v>
      </c>
    </row>
    <row r="2390" spans="1:13">
      <c r="A2390" s="1">
        <f>HYPERLINK("http://www.twitter.com/NathanBLawrence/status/990907959550103552", "990907959550103552")</f>
        <v/>
      </c>
      <c r="B2390" s="2" t="n">
        <v>43220.45650462963</v>
      </c>
      <c r="C2390" t="n">
        <v>0</v>
      </c>
      <c r="D2390" t="n">
        <v>1</v>
      </c>
      <c r="E2390" t="s">
        <v>2383</v>
      </c>
      <c r="F2390" t="s"/>
      <c r="G2390" t="s"/>
      <c r="H2390" t="s"/>
      <c r="I2390" t="s"/>
      <c r="J2390" t="n">
        <v>-0.0258</v>
      </c>
      <c r="K2390" t="n">
        <v>0.059</v>
      </c>
      <c r="L2390" t="n">
        <v>0.886</v>
      </c>
      <c r="M2390" t="n">
        <v>0.055</v>
      </c>
    </row>
    <row r="2391" spans="1:13">
      <c r="A2391" s="1">
        <f>HYPERLINK("http://www.twitter.com/NathanBLawrence/status/990902923071836160", "990902923071836160")</f>
        <v/>
      </c>
      <c r="B2391" s="2" t="n">
        <v>43220.44260416667</v>
      </c>
      <c r="C2391" t="n">
        <v>0</v>
      </c>
      <c r="D2391" t="n">
        <v>0</v>
      </c>
      <c r="E2391" t="s">
        <v>2384</v>
      </c>
      <c r="F2391" t="s"/>
      <c r="G2391" t="s"/>
      <c r="H2391" t="s"/>
      <c r="I2391" t="s"/>
      <c r="J2391" t="n">
        <v>0.6249</v>
      </c>
      <c r="K2391" t="n">
        <v>0</v>
      </c>
      <c r="L2391" t="n">
        <v>0.328</v>
      </c>
      <c r="M2391" t="n">
        <v>0.672</v>
      </c>
    </row>
    <row r="2392" spans="1:13">
      <c r="A2392" s="1">
        <f>HYPERLINK("http://www.twitter.com/NathanBLawrence/status/990896773743988736", "990896773743988736")</f>
        <v/>
      </c>
      <c r="B2392" s="2" t="n">
        <v>43220.42563657407</v>
      </c>
      <c r="C2392" t="n">
        <v>6</v>
      </c>
      <c r="D2392" t="n">
        <v>0</v>
      </c>
      <c r="E2392" t="s">
        <v>2385</v>
      </c>
      <c r="F2392" t="s"/>
      <c r="G2392" t="s"/>
      <c r="H2392" t="s"/>
      <c r="I2392" t="s"/>
      <c r="J2392" t="n">
        <v>0</v>
      </c>
      <c r="K2392" t="n">
        <v>0</v>
      </c>
      <c r="L2392" t="n">
        <v>1</v>
      </c>
      <c r="M2392" t="n">
        <v>0</v>
      </c>
    </row>
    <row r="2393" spans="1:13">
      <c r="A2393" s="1">
        <f>HYPERLINK("http://www.twitter.com/NathanBLawrence/status/990810813983350784", "990810813983350784")</f>
        <v/>
      </c>
      <c r="B2393" s="2" t="n">
        <v>43220.1884375</v>
      </c>
      <c r="C2393" t="n">
        <v>0</v>
      </c>
      <c r="D2393" t="n">
        <v>15</v>
      </c>
      <c r="E2393" t="s">
        <v>2386</v>
      </c>
      <c r="F2393" t="s"/>
      <c r="G2393" t="s"/>
      <c r="H2393" t="s"/>
      <c r="I2393" t="s"/>
      <c r="J2393" t="n">
        <v>-0.8100000000000001</v>
      </c>
      <c r="K2393" t="n">
        <v>0.344</v>
      </c>
      <c r="L2393" t="n">
        <v>0.656</v>
      </c>
      <c r="M2393" t="n">
        <v>0</v>
      </c>
    </row>
    <row r="2394" spans="1:13">
      <c r="A2394" s="1">
        <f>HYPERLINK("http://www.twitter.com/NathanBLawrence/status/990810296267825152", "990810296267825152")</f>
        <v/>
      </c>
      <c r="B2394" s="2" t="n">
        <v>43220.18700231481</v>
      </c>
      <c r="C2394" t="n">
        <v>0</v>
      </c>
      <c r="D2394" t="n">
        <v>1</v>
      </c>
      <c r="E2394" t="s">
        <v>2387</v>
      </c>
      <c r="F2394" t="s"/>
      <c r="G2394" t="s"/>
      <c r="H2394" t="s"/>
      <c r="I2394" t="s"/>
      <c r="J2394" t="n">
        <v>0</v>
      </c>
      <c r="K2394" t="n">
        <v>0</v>
      </c>
      <c r="L2394" t="n">
        <v>1</v>
      </c>
      <c r="M2394" t="n">
        <v>0</v>
      </c>
    </row>
    <row r="2395" spans="1:13">
      <c r="A2395" s="1">
        <f>HYPERLINK("http://www.twitter.com/NathanBLawrence/status/990810179976474624", "990810179976474624")</f>
        <v/>
      </c>
      <c r="B2395" s="2" t="n">
        <v>43220.18667824074</v>
      </c>
      <c r="C2395" t="n">
        <v>0</v>
      </c>
      <c r="D2395" t="n">
        <v>0</v>
      </c>
      <c r="E2395" t="s">
        <v>2388</v>
      </c>
      <c r="F2395" t="s"/>
      <c r="G2395" t="s"/>
      <c r="H2395" t="s"/>
      <c r="I2395" t="s"/>
      <c r="J2395" t="n">
        <v>0</v>
      </c>
      <c r="K2395" t="n">
        <v>0</v>
      </c>
      <c r="L2395" t="n">
        <v>1</v>
      </c>
      <c r="M2395" t="n">
        <v>0</v>
      </c>
    </row>
    <row r="2396" spans="1:13">
      <c r="A2396" s="1">
        <f>HYPERLINK("http://www.twitter.com/NathanBLawrence/status/990809649170583552", "990809649170583552")</f>
        <v/>
      </c>
      <c r="B2396" s="2" t="n">
        <v>43220.18521990741</v>
      </c>
      <c r="C2396" t="n">
        <v>0</v>
      </c>
      <c r="D2396" t="n">
        <v>2787</v>
      </c>
      <c r="E2396" t="s">
        <v>2389</v>
      </c>
      <c r="F2396" t="s"/>
      <c r="G2396" t="s"/>
      <c r="H2396" t="s"/>
      <c r="I2396" t="s"/>
      <c r="J2396" t="n">
        <v>0.6597</v>
      </c>
      <c r="K2396" t="n">
        <v>0</v>
      </c>
      <c r="L2396" t="n">
        <v>0.803</v>
      </c>
      <c r="M2396" t="n">
        <v>0.197</v>
      </c>
    </row>
    <row r="2397" spans="1:13">
      <c r="A2397" s="1">
        <f>HYPERLINK("http://www.twitter.com/NathanBLawrence/status/990809160945152000", "990809160945152000")</f>
        <v/>
      </c>
      <c r="B2397" s="2" t="n">
        <v>43220.18386574074</v>
      </c>
      <c r="C2397" t="n">
        <v>2</v>
      </c>
      <c r="D2397" t="n">
        <v>0</v>
      </c>
      <c r="E2397" t="s">
        <v>2390</v>
      </c>
      <c r="F2397" t="s"/>
      <c r="G2397" t="s"/>
      <c r="H2397" t="s"/>
      <c r="I2397" t="s"/>
      <c r="J2397" t="n">
        <v>-0.1027</v>
      </c>
      <c r="K2397" t="n">
        <v>0.119</v>
      </c>
      <c r="L2397" t="n">
        <v>0.779</v>
      </c>
      <c r="M2397" t="n">
        <v>0.102</v>
      </c>
    </row>
    <row r="2398" spans="1:13">
      <c r="A2398" s="1">
        <f>HYPERLINK("http://www.twitter.com/NathanBLawrence/status/990800377321844738", "990800377321844738")</f>
        <v/>
      </c>
      <c r="B2398" s="2" t="n">
        <v>43220.15962962963</v>
      </c>
      <c r="C2398" t="n">
        <v>0</v>
      </c>
      <c r="D2398" t="n">
        <v>2</v>
      </c>
      <c r="E2398" t="s">
        <v>2391</v>
      </c>
      <c r="F2398" t="s"/>
      <c r="G2398" t="s"/>
      <c r="H2398" t="s"/>
      <c r="I2398" t="s"/>
      <c r="J2398" t="n">
        <v>-0.2292</v>
      </c>
      <c r="K2398" t="n">
        <v>0.118</v>
      </c>
      <c r="L2398" t="n">
        <v>0.802</v>
      </c>
      <c r="M2398" t="n">
        <v>0.08</v>
      </c>
    </row>
    <row r="2399" spans="1:13">
      <c r="A2399" s="1">
        <f>HYPERLINK("http://www.twitter.com/NathanBLawrence/status/990794326010679301", "990794326010679301")</f>
        <v/>
      </c>
      <c r="B2399" s="2" t="n">
        <v>43220.14293981482</v>
      </c>
      <c r="C2399" t="n">
        <v>7</v>
      </c>
      <c r="D2399" t="n">
        <v>1</v>
      </c>
      <c r="E2399" t="s">
        <v>2392</v>
      </c>
      <c r="F2399" t="s"/>
      <c r="G2399" t="s"/>
      <c r="H2399" t="s"/>
      <c r="I2399" t="s"/>
      <c r="J2399" t="n">
        <v>-0.34</v>
      </c>
      <c r="K2399" t="n">
        <v>0.264</v>
      </c>
      <c r="L2399" t="n">
        <v>0.571</v>
      </c>
      <c r="M2399" t="n">
        <v>0.164</v>
      </c>
    </row>
    <row r="2400" spans="1:13">
      <c r="A2400" s="1">
        <f>HYPERLINK("http://www.twitter.com/NathanBLawrence/status/990794090248916993", "990794090248916993")</f>
        <v/>
      </c>
      <c r="B2400" s="2" t="n">
        <v>43220.14228009259</v>
      </c>
      <c r="C2400" t="n">
        <v>2</v>
      </c>
      <c r="D2400" t="n">
        <v>0</v>
      </c>
      <c r="E2400" t="s">
        <v>2393</v>
      </c>
      <c r="F2400" t="s"/>
      <c r="G2400" t="s"/>
      <c r="H2400" t="s"/>
      <c r="I2400" t="s"/>
      <c r="J2400" t="n">
        <v>0</v>
      </c>
      <c r="K2400" t="n">
        <v>0</v>
      </c>
      <c r="L2400" t="n">
        <v>1</v>
      </c>
      <c r="M2400" t="n">
        <v>0</v>
      </c>
    </row>
    <row r="2401" spans="1:13">
      <c r="A2401" s="1">
        <f>HYPERLINK("http://www.twitter.com/NathanBLawrence/status/990793490706718720", "990793490706718720")</f>
        <v/>
      </c>
      <c r="B2401" s="2" t="n">
        <v>43220.140625</v>
      </c>
      <c r="C2401" t="n">
        <v>0</v>
      </c>
      <c r="D2401" t="n">
        <v>0</v>
      </c>
      <c r="E2401" t="s">
        <v>2394</v>
      </c>
      <c r="F2401" t="s"/>
      <c r="G2401" t="s"/>
      <c r="H2401" t="s"/>
      <c r="I2401" t="s"/>
      <c r="J2401" t="n">
        <v>0</v>
      </c>
      <c r="K2401" t="n">
        <v>0</v>
      </c>
      <c r="L2401" t="n">
        <v>1</v>
      </c>
      <c r="M2401" t="n">
        <v>0</v>
      </c>
    </row>
    <row r="2402" spans="1:13">
      <c r="A2402" s="1">
        <f>HYPERLINK("http://www.twitter.com/NathanBLawrence/status/990792662151319552", "990792662151319552")</f>
        <v/>
      </c>
      <c r="B2402" s="2" t="n">
        <v>43220.13834490741</v>
      </c>
      <c r="C2402" t="n">
        <v>2</v>
      </c>
      <c r="D2402" t="n">
        <v>0</v>
      </c>
      <c r="E2402" t="s">
        <v>2395</v>
      </c>
      <c r="F2402" t="s"/>
      <c r="G2402" t="s"/>
      <c r="H2402" t="s"/>
      <c r="I2402" t="s"/>
      <c r="J2402" t="n">
        <v>0.4404</v>
      </c>
      <c r="K2402" t="n">
        <v>0</v>
      </c>
      <c r="L2402" t="n">
        <v>0.8179999999999999</v>
      </c>
      <c r="M2402" t="n">
        <v>0.182</v>
      </c>
    </row>
    <row r="2403" spans="1:13">
      <c r="A2403" s="1">
        <f>HYPERLINK("http://www.twitter.com/NathanBLawrence/status/990775703867191296", "990775703867191296")</f>
        <v/>
      </c>
      <c r="B2403" s="2" t="n">
        <v>43220.09155092593</v>
      </c>
      <c r="C2403" t="n">
        <v>0</v>
      </c>
      <c r="D2403" t="n">
        <v>0</v>
      </c>
      <c r="E2403" t="s">
        <v>2396</v>
      </c>
      <c r="F2403" t="s"/>
      <c r="G2403" t="s"/>
      <c r="H2403" t="s"/>
      <c r="I2403" t="s"/>
      <c r="J2403" t="n">
        <v>0.4019</v>
      </c>
      <c r="K2403" t="n">
        <v>0</v>
      </c>
      <c r="L2403" t="n">
        <v>0.597</v>
      </c>
      <c r="M2403" t="n">
        <v>0.403</v>
      </c>
    </row>
    <row r="2404" spans="1:13">
      <c r="A2404" s="1">
        <f>HYPERLINK("http://www.twitter.com/NathanBLawrence/status/990775475147608066", "990775475147608066")</f>
        <v/>
      </c>
      <c r="B2404" s="2" t="n">
        <v>43220.09091435185</v>
      </c>
      <c r="C2404" t="n">
        <v>0</v>
      </c>
      <c r="D2404" t="n">
        <v>2083</v>
      </c>
      <c r="E2404" t="s">
        <v>2397</v>
      </c>
      <c r="F2404" t="s"/>
      <c r="G2404" t="s"/>
      <c r="H2404" t="s"/>
      <c r="I2404" t="s"/>
      <c r="J2404" t="n">
        <v>-0.7845</v>
      </c>
      <c r="K2404" t="n">
        <v>0.385</v>
      </c>
      <c r="L2404" t="n">
        <v>0.615</v>
      </c>
      <c r="M2404" t="n">
        <v>0</v>
      </c>
    </row>
    <row r="2405" spans="1:13">
      <c r="A2405" s="1">
        <f>HYPERLINK("http://www.twitter.com/NathanBLawrence/status/990775254506143744", "990775254506143744")</f>
        <v/>
      </c>
      <c r="B2405" s="2" t="n">
        <v>43220.0903125</v>
      </c>
      <c r="C2405" t="n">
        <v>0</v>
      </c>
      <c r="D2405" t="n">
        <v>9691</v>
      </c>
      <c r="E2405" t="s">
        <v>2398</v>
      </c>
      <c r="F2405" t="s"/>
      <c r="G2405" t="s"/>
      <c r="H2405" t="s"/>
      <c r="I2405" t="s"/>
      <c r="J2405" t="n">
        <v>-0.8687</v>
      </c>
      <c r="K2405" t="n">
        <v>0.365</v>
      </c>
      <c r="L2405" t="n">
        <v>0.635</v>
      </c>
      <c r="M2405" t="n">
        <v>0</v>
      </c>
    </row>
    <row r="2406" spans="1:13">
      <c r="A2406" s="1">
        <f>HYPERLINK("http://www.twitter.com/NathanBLawrence/status/990775155407368192", "990775155407368192")</f>
        <v/>
      </c>
      <c r="B2406" s="2" t="n">
        <v>43220.09003472222</v>
      </c>
      <c r="C2406" t="n">
        <v>0</v>
      </c>
      <c r="D2406" t="n">
        <v>289</v>
      </c>
      <c r="E2406" t="s">
        <v>2399</v>
      </c>
      <c r="F2406">
        <f>HYPERLINK("https://video.twimg.com/ext_tw_video/990407001501925377/pu/vid/640x360/8siWaOgT0eR2arOb.mp4?tag=3", "https://video.twimg.com/ext_tw_video/990407001501925377/pu/vid/640x360/8siWaOgT0eR2arOb.mp4?tag=3")</f>
        <v/>
      </c>
      <c r="G2406" t="s"/>
      <c r="H2406" t="s"/>
      <c r="I2406" t="s"/>
      <c r="J2406" t="n">
        <v>0</v>
      </c>
      <c r="K2406" t="n">
        <v>0</v>
      </c>
      <c r="L2406" t="n">
        <v>1</v>
      </c>
      <c r="M2406" t="n">
        <v>0</v>
      </c>
    </row>
    <row r="2407" spans="1:13">
      <c r="A2407" s="1">
        <f>HYPERLINK("http://www.twitter.com/NathanBLawrence/status/990774610902814720", "990774610902814720")</f>
        <v/>
      </c>
      <c r="B2407" s="2" t="n">
        <v>43220.08853009259</v>
      </c>
      <c r="C2407" t="n">
        <v>0</v>
      </c>
      <c r="D2407" t="n">
        <v>6</v>
      </c>
      <c r="E2407" t="s">
        <v>2400</v>
      </c>
      <c r="F2407" t="s"/>
      <c r="G2407" t="s"/>
      <c r="H2407" t="s"/>
      <c r="I2407" t="s"/>
      <c r="J2407" t="n">
        <v>0.7845</v>
      </c>
      <c r="K2407" t="n">
        <v>0</v>
      </c>
      <c r="L2407" t="n">
        <v>0.711</v>
      </c>
      <c r="M2407" t="n">
        <v>0.289</v>
      </c>
    </row>
    <row r="2408" spans="1:13">
      <c r="A2408" s="1">
        <f>HYPERLINK("http://www.twitter.com/NathanBLawrence/status/990774078461136897", "990774078461136897")</f>
        <v/>
      </c>
      <c r="B2408" s="2" t="n">
        <v>43220.08706018519</v>
      </c>
      <c r="C2408" t="n">
        <v>0</v>
      </c>
      <c r="D2408" t="n">
        <v>2</v>
      </c>
      <c r="E2408" t="s">
        <v>2401</v>
      </c>
      <c r="F2408" t="s"/>
      <c r="G2408" t="s"/>
      <c r="H2408" t="s"/>
      <c r="I2408" t="s"/>
      <c r="J2408" t="n">
        <v>0.4653</v>
      </c>
      <c r="K2408" t="n">
        <v>0.08599999999999999</v>
      </c>
      <c r="L2408" t="n">
        <v>0.758</v>
      </c>
      <c r="M2408" t="n">
        <v>0.156</v>
      </c>
    </row>
    <row r="2409" spans="1:13">
      <c r="A2409" s="1">
        <f>HYPERLINK("http://www.twitter.com/NathanBLawrence/status/990773832620404736", "990773832620404736")</f>
        <v/>
      </c>
      <c r="B2409" s="2" t="n">
        <v>43220.08638888889</v>
      </c>
      <c r="C2409" t="n">
        <v>1</v>
      </c>
      <c r="D2409" t="n">
        <v>0</v>
      </c>
      <c r="E2409" t="s">
        <v>2402</v>
      </c>
      <c r="F2409" t="s"/>
      <c r="G2409" t="s"/>
      <c r="H2409" t="s"/>
      <c r="I2409" t="s"/>
      <c r="J2409" t="n">
        <v>0</v>
      </c>
      <c r="K2409" t="n">
        <v>0</v>
      </c>
      <c r="L2409" t="n">
        <v>1</v>
      </c>
      <c r="M2409" t="n">
        <v>0</v>
      </c>
    </row>
    <row r="2410" spans="1:13">
      <c r="A2410" s="1">
        <f>HYPERLINK("http://www.twitter.com/NathanBLawrence/status/990771878200598533", "990771878200598533")</f>
        <v/>
      </c>
      <c r="B2410" s="2" t="n">
        <v>43220.08099537037</v>
      </c>
      <c r="C2410" t="n">
        <v>0</v>
      </c>
      <c r="D2410" t="n">
        <v>0</v>
      </c>
      <c r="E2410" t="s">
        <v>2403</v>
      </c>
      <c r="F2410" t="s"/>
      <c r="G2410" t="s"/>
      <c r="H2410" t="s"/>
      <c r="I2410" t="s"/>
      <c r="J2410" t="n">
        <v>0</v>
      </c>
      <c r="K2410" t="n">
        <v>0</v>
      </c>
      <c r="L2410" t="n">
        <v>1</v>
      </c>
      <c r="M2410" t="n">
        <v>0</v>
      </c>
    </row>
    <row r="2411" spans="1:13">
      <c r="A2411" s="1">
        <f>HYPERLINK("http://www.twitter.com/NathanBLawrence/status/990771751306047488", "990771751306047488")</f>
        <v/>
      </c>
      <c r="B2411" s="2" t="n">
        <v>43220.08063657407</v>
      </c>
      <c r="C2411" t="n">
        <v>1</v>
      </c>
      <c r="D2411" t="n">
        <v>0</v>
      </c>
      <c r="E2411" t="s">
        <v>2404</v>
      </c>
      <c r="F2411" t="s"/>
      <c r="G2411" t="s"/>
      <c r="H2411" t="s"/>
      <c r="I2411" t="s"/>
      <c r="J2411" t="n">
        <v>0</v>
      </c>
      <c r="K2411" t="n">
        <v>0</v>
      </c>
      <c r="L2411" t="n">
        <v>1</v>
      </c>
      <c r="M2411" t="n">
        <v>0</v>
      </c>
    </row>
    <row r="2412" spans="1:13">
      <c r="A2412" s="1">
        <f>HYPERLINK("http://www.twitter.com/NathanBLawrence/status/990770428691075072", "990770428691075072")</f>
        <v/>
      </c>
      <c r="B2412" s="2" t="n">
        <v>43220.07699074074</v>
      </c>
      <c r="C2412" t="n">
        <v>0</v>
      </c>
      <c r="D2412" t="n">
        <v>0</v>
      </c>
      <c r="E2412" t="s">
        <v>2405</v>
      </c>
      <c r="F2412" t="s"/>
      <c r="G2412" t="s"/>
      <c r="H2412" t="s"/>
      <c r="I2412" t="s"/>
      <c r="J2412" t="n">
        <v>0.5719</v>
      </c>
      <c r="K2412" t="n">
        <v>0</v>
      </c>
      <c r="L2412" t="n">
        <v>0.6840000000000001</v>
      </c>
      <c r="M2412" t="n">
        <v>0.316</v>
      </c>
    </row>
    <row r="2413" spans="1:13">
      <c r="A2413" s="1">
        <f>HYPERLINK("http://www.twitter.com/NathanBLawrence/status/990770205432406016", "990770205432406016")</f>
        <v/>
      </c>
      <c r="B2413" s="2" t="n">
        <v>43220.07637731481</v>
      </c>
      <c r="C2413" t="n">
        <v>0</v>
      </c>
      <c r="D2413" t="n">
        <v>3</v>
      </c>
      <c r="E2413" t="s">
        <v>2406</v>
      </c>
      <c r="F2413">
        <f>HYPERLINK("http://pbs.twimg.com/media/Db_ropQWAAERCFk.jpg", "http://pbs.twimg.com/media/Db_ropQWAAERCFk.jpg")</f>
        <v/>
      </c>
      <c r="G2413" t="s"/>
      <c r="H2413" t="s"/>
      <c r="I2413" t="s"/>
      <c r="J2413" t="n">
        <v>0</v>
      </c>
      <c r="K2413" t="n">
        <v>0</v>
      </c>
      <c r="L2413" t="n">
        <v>1</v>
      </c>
      <c r="M2413" t="n">
        <v>0</v>
      </c>
    </row>
    <row r="2414" spans="1:13">
      <c r="A2414" s="1">
        <f>HYPERLINK("http://www.twitter.com/NathanBLawrence/status/990769788397015040", "990769788397015040")</f>
        <v/>
      </c>
      <c r="B2414" s="2" t="n">
        <v>43220.0752199074</v>
      </c>
      <c r="C2414" t="n">
        <v>8</v>
      </c>
      <c r="D2414" t="n">
        <v>1</v>
      </c>
      <c r="E2414" t="s">
        <v>2407</v>
      </c>
      <c r="F2414" t="s"/>
      <c r="G2414" t="s"/>
      <c r="H2414" t="s"/>
      <c r="I2414" t="s"/>
      <c r="J2414" t="n">
        <v>0</v>
      </c>
      <c r="K2414" t="n">
        <v>0</v>
      </c>
      <c r="L2414" t="n">
        <v>1</v>
      </c>
      <c r="M2414" t="n">
        <v>0</v>
      </c>
    </row>
    <row r="2415" spans="1:13">
      <c r="A2415" s="1">
        <f>HYPERLINK("http://www.twitter.com/NathanBLawrence/status/990730293404426243", "990730293404426243")</f>
        <v/>
      </c>
      <c r="B2415" s="2" t="n">
        <v>43219.96623842593</v>
      </c>
      <c r="C2415" t="n">
        <v>0</v>
      </c>
      <c r="D2415" t="n">
        <v>0</v>
      </c>
      <c r="E2415" t="s">
        <v>2408</v>
      </c>
      <c r="F2415" t="s"/>
      <c r="G2415" t="s"/>
      <c r="H2415" t="s"/>
      <c r="I2415" t="s"/>
      <c r="J2415" t="n">
        <v>-0.5994</v>
      </c>
      <c r="K2415" t="n">
        <v>0.412</v>
      </c>
      <c r="L2415" t="n">
        <v>0.588</v>
      </c>
      <c r="M2415" t="n">
        <v>0</v>
      </c>
    </row>
    <row r="2416" spans="1:13">
      <c r="A2416" s="1">
        <f>HYPERLINK("http://www.twitter.com/NathanBLawrence/status/990730141901967360", "990730141901967360")</f>
        <v/>
      </c>
      <c r="B2416" s="2" t="n">
        <v>43219.96582175926</v>
      </c>
      <c r="C2416" t="n">
        <v>0</v>
      </c>
      <c r="D2416" t="n">
        <v>1</v>
      </c>
      <c r="E2416" t="s">
        <v>2409</v>
      </c>
      <c r="F2416" t="s"/>
      <c r="G2416" t="s"/>
      <c r="H2416" t="s"/>
      <c r="I2416" t="s"/>
      <c r="J2416" t="n">
        <v>-0.3182</v>
      </c>
      <c r="K2416" t="n">
        <v>0.133</v>
      </c>
      <c r="L2416" t="n">
        <v>0.867</v>
      </c>
      <c r="M2416" t="n">
        <v>0</v>
      </c>
    </row>
    <row r="2417" spans="1:13">
      <c r="A2417" s="1">
        <f>HYPERLINK("http://www.twitter.com/NathanBLawrence/status/990720526766301184", "990720526766301184")</f>
        <v/>
      </c>
      <c r="B2417" s="2" t="n">
        <v>43219.93928240741</v>
      </c>
      <c r="C2417" t="n">
        <v>1</v>
      </c>
      <c r="D2417" t="n">
        <v>1</v>
      </c>
      <c r="E2417" t="s">
        <v>2410</v>
      </c>
      <c r="F2417" t="s"/>
      <c r="G2417" t="s"/>
      <c r="H2417" t="s"/>
      <c r="I2417" t="s"/>
      <c r="J2417" t="n">
        <v>-0.34</v>
      </c>
      <c r="K2417" t="n">
        <v>0.179</v>
      </c>
      <c r="L2417" t="n">
        <v>0.821</v>
      </c>
      <c r="M2417" t="n">
        <v>0</v>
      </c>
    </row>
    <row r="2418" spans="1:13">
      <c r="A2418" s="1">
        <f>HYPERLINK("http://www.twitter.com/NathanBLawrence/status/990720293361602560", "990720293361602560")</f>
        <v/>
      </c>
      <c r="B2418" s="2" t="n">
        <v>43219.93864583333</v>
      </c>
      <c r="C2418" t="n">
        <v>0</v>
      </c>
      <c r="D2418" t="n">
        <v>13</v>
      </c>
      <c r="E2418" t="s">
        <v>2411</v>
      </c>
      <c r="F2418" t="s"/>
      <c r="G2418" t="s"/>
      <c r="H2418" t="s"/>
      <c r="I2418" t="s"/>
      <c r="J2418" t="n">
        <v>-0.5994</v>
      </c>
      <c r="K2418" t="n">
        <v>0.14</v>
      </c>
      <c r="L2418" t="n">
        <v>0.86</v>
      </c>
      <c r="M2418" t="n">
        <v>0</v>
      </c>
    </row>
    <row r="2419" spans="1:13">
      <c r="A2419" s="1">
        <f>HYPERLINK("http://www.twitter.com/NathanBLawrence/status/990720202223620096", "990720202223620096")</f>
        <v/>
      </c>
      <c r="B2419" s="2" t="n">
        <v>43219.9383912037</v>
      </c>
      <c r="C2419" t="n">
        <v>3</v>
      </c>
      <c r="D2419" t="n">
        <v>0</v>
      </c>
      <c r="E2419" t="s">
        <v>2412</v>
      </c>
      <c r="F2419" t="s"/>
      <c r="G2419" t="s"/>
      <c r="H2419" t="s"/>
      <c r="I2419" t="s"/>
      <c r="J2419" t="n">
        <v>0</v>
      </c>
      <c r="K2419" t="n">
        <v>0</v>
      </c>
      <c r="L2419" t="n">
        <v>1</v>
      </c>
      <c r="M2419" t="n">
        <v>0</v>
      </c>
    </row>
    <row r="2420" spans="1:13">
      <c r="A2420" s="1">
        <f>HYPERLINK("http://www.twitter.com/NathanBLawrence/status/990720173597478912", "990720173597478912")</f>
        <v/>
      </c>
      <c r="B2420" s="2" t="n">
        <v>43219.93831018519</v>
      </c>
      <c r="C2420" t="n">
        <v>0</v>
      </c>
      <c r="D2420" t="n">
        <v>2</v>
      </c>
      <c r="E2420" t="s">
        <v>2413</v>
      </c>
      <c r="F2420" t="s"/>
      <c r="G2420" t="s"/>
      <c r="H2420" t="s"/>
      <c r="I2420" t="s"/>
      <c r="J2420" t="n">
        <v>0</v>
      </c>
      <c r="K2420" t="n">
        <v>0</v>
      </c>
      <c r="L2420" t="n">
        <v>1</v>
      </c>
      <c r="M2420" t="n">
        <v>0</v>
      </c>
    </row>
    <row r="2421" spans="1:13">
      <c r="A2421" s="1">
        <f>HYPERLINK("http://www.twitter.com/NathanBLawrence/status/990707872395857920", "990707872395857920")</f>
        <v/>
      </c>
      <c r="B2421" s="2" t="n">
        <v>43219.90436342593</v>
      </c>
      <c r="C2421" t="n">
        <v>0</v>
      </c>
      <c r="D2421" t="n">
        <v>47</v>
      </c>
      <c r="E2421" t="s">
        <v>2414</v>
      </c>
      <c r="F2421" t="s"/>
      <c r="G2421" t="s"/>
      <c r="H2421" t="s"/>
      <c r="I2421" t="s"/>
      <c r="J2421" t="n">
        <v>-0.6369</v>
      </c>
      <c r="K2421" t="n">
        <v>0.191</v>
      </c>
      <c r="L2421" t="n">
        <v>0.8090000000000001</v>
      </c>
      <c r="M2421" t="n">
        <v>0</v>
      </c>
    </row>
    <row r="2422" spans="1:13">
      <c r="A2422" s="1">
        <f>HYPERLINK("http://www.twitter.com/NathanBLawrence/status/990707801226928128", "990707801226928128")</f>
        <v/>
      </c>
      <c r="B2422" s="2" t="n">
        <v>43219.90416666667</v>
      </c>
      <c r="C2422" t="n">
        <v>0</v>
      </c>
      <c r="D2422" t="n">
        <v>1</v>
      </c>
      <c r="E2422" t="s">
        <v>2415</v>
      </c>
      <c r="F2422" t="s"/>
      <c r="G2422" t="s"/>
      <c r="H2422" t="s"/>
      <c r="I2422" t="s"/>
      <c r="J2422" t="n">
        <v>0</v>
      </c>
      <c r="K2422" t="n">
        <v>0</v>
      </c>
      <c r="L2422" t="n">
        <v>1</v>
      </c>
      <c r="M2422" t="n">
        <v>0</v>
      </c>
    </row>
    <row r="2423" spans="1:13">
      <c r="A2423" s="1">
        <f>HYPERLINK("http://www.twitter.com/NathanBLawrence/status/990707687775141888", "990707687775141888")</f>
        <v/>
      </c>
      <c r="B2423" s="2" t="n">
        <v>43219.90385416667</v>
      </c>
      <c r="C2423" t="n">
        <v>0</v>
      </c>
      <c r="D2423" t="n">
        <v>4</v>
      </c>
      <c r="E2423" t="s">
        <v>2416</v>
      </c>
      <c r="F2423" t="s"/>
      <c r="G2423" t="s"/>
      <c r="H2423" t="s"/>
      <c r="I2423" t="s"/>
      <c r="J2423" t="n">
        <v>0</v>
      </c>
      <c r="K2423" t="n">
        <v>0</v>
      </c>
      <c r="L2423" t="n">
        <v>1</v>
      </c>
      <c r="M2423" t="n">
        <v>0</v>
      </c>
    </row>
    <row r="2424" spans="1:13">
      <c r="A2424" s="1">
        <f>HYPERLINK("http://www.twitter.com/NathanBLawrence/status/990707642225000453", "990707642225000453")</f>
        <v/>
      </c>
      <c r="B2424" s="2" t="n">
        <v>43219.90373842593</v>
      </c>
      <c r="C2424" t="n">
        <v>0</v>
      </c>
      <c r="D2424" t="n">
        <v>22</v>
      </c>
      <c r="E2424" t="s">
        <v>2417</v>
      </c>
      <c r="F2424">
        <f>HYPERLINK("http://pbs.twimg.com/media/Db-YFRQXcAANYLm.jpg", "http://pbs.twimg.com/media/Db-YFRQXcAANYLm.jpg")</f>
        <v/>
      </c>
      <c r="G2424" t="s"/>
      <c r="H2424" t="s"/>
      <c r="I2424" t="s"/>
      <c r="J2424" t="n">
        <v>0</v>
      </c>
      <c r="K2424" t="n">
        <v>0</v>
      </c>
      <c r="L2424" t="n">
        <v>1</v>
      </c>
      <c r="M2424" t="n">
        <v>0</v>
      </c>
    </row>
    <row r="2425" spans="1:13">
      <c r="A2425" s="1">
        <f>HYPERLINK("http://www.twitter.com/NathanBLawrence/status/990707573606240262", "990707573606240262")</f>
        <v/>
      </c>
      <c r="B2425" s="2" t="n">
        <v>43219.90354166667</v>
      </c>
      <c r="C2425" t="n">
        <v>0</v>
      </c>
      <c r="D2425" t="n">
        <v>209</v>
      </c>
      <c r="E2425" t="s">
        <v>2418</v>
      </c>
      <c r="F2425">
        <f>HYPERLINK("http://pbs.twimg.com/media/Db-WGq5X0AAjfeQ.jpg", "http://pbs.twimg.com/media/Db-WGq5X0AAjfeQ.jpg")</f>
        <v/>
      </c>
      <c r="G2425" t="s"/>
      <c r="H2425" t="s"/>
      <c r="I2425" t="s"/>
      <c r="J2425" t="n">
        <v>0.5423</v>
      </c>
      <c r="K2425" t="n">
        <v>0</v>
      </c>
      <c r="L2425" t="n">
        <v>0.78</v>
      </c>
      <c r="M2425" t="n">
        <v>0.22</v>
      </c>
    </row>
    <row r="2426" spans="1:13">
      <c r="A2426" s="1">
        <f>HYPERLINK("http://www.twitter.com/NathanBLawrence/status/990707489871147008", "990707489871147008")</f>
        <v/>
      </c>
      <c r="B2426" s="2" t="n">
        <v>43219.90331018518</v>
      </c>
      <c r="C2426" t="n">
        <v>0</v>
      </c>
      <c r="D2426" t="n">
        <v>3</v>
      </c>
      <c r="E2426" t="s">
        <v>2419</v>
      </c>
      <c r="F2426">
        <f>HYPERLINK("http://pbs.twimg.com/media/Dbltvl5XUAAj5Rl.jpg", "http://pbs.twimg.com/media/Dbltvl5XUAAj5Rl.jpg")</f>
        <v/>
      </c>
      <c r="G2426" t="s"/>
      <c r="H2426" t="s"/>
      <c r="I2426" t="s"/>
      <c r="J2426" t="n">
        <v>0.7351</v>
      </c>
      <c r="K2426" t="n">
        <v>0</v>
      </c>
      <c r="L2426" t="n">
        <v>0.702</v>
      </c>
      <c r="M2426" t="n">
        <v>0.298</v>
      </c>
    </row>
    <row r="2427" spans="1:13">
      <c r="A2427" s="1">
        <f>HYPERLINK("http://www.twitter.com/NathanBLawrence/status/990707172043640832", "990707172043640832")</f>
        <v/>
      </c>
      <c r="B2427" s="2" t="n">
        <v>43219.90243055556</v>
      </c>
      <c r="C2427" t="n">
        <v>0</v>
      </c>
      <c r="D2427" t="n">
        <v>118</v>
      </c>
      <c r="E2427" t="s">
        <v>2420</v>
      </c>
      <c r="F2427" t="s"/>
      <c r="G2427" t="s"/>
      <c r="H2427" t="s"/>
      <c r="I2427" t="s"/>
      <c r="J2427" t="n">
        <v>0.5848</v>
      </c>
      <c r="K2427" t="n">
        <v>0.109</v>
      </c>
      <c r="L2427" t="n">
        <v>0.637</v>
      </c>
      <c r="M2427" t="n">
        <v>0.254</v>
      </c>
    </row>
    <row r="2428" spans="1:13">
      <c r="A2428" s="1">
        <f>HYPERLINK("http://www.twitter.com/NathanBLawrence/status/990707090879602688", "990707090879602688")</f>
        <v/>
      </c>
      <c r="B2428" s="2" t="n">
        <v>43219.90221064815</v>
      </c>
      <c r="C2428" t="n">
        <v>0</v>
      </c>
      <c r="D2428" t="n">
        <v>15</v>
      </c>
      <c r="E2428" t="s">
        <v>2421</v>
      </c>
      <c r="F2428">
        <f>HYPERLINK("http://pbs.twimg.com/media/Db95IbjW4AA1Ic6.jpg", "http://pbs.twimg.com/media/Db95IbjW4AA1Ic6.jpg")</f>
        <v/>
      </c>
      <c r="G2428">
        <f>HYPERLINK("http://pbs.twimg.com/media/Db95JFsXcAIS8Qk.jpg", "http://pbs.twimg.com/media/Db95JFsXcAIS8Qk.jpg")</f>
        <v/>
      </c>
      <c r="H2428">
        <f>HYPERLINK("http://pbs.twimg.com/media/Db95JijXcAEJWmN.jpg", "http://pbs.twimg.com/media/Db95JijXcAEJWmN.jpg")</f>
        <v/>
      </c>
      <c r="I2428">
        <f>HYPERLINK("http://pbs.twimg.com/media/Db95JwhW4AE0Cdn.jpg", "http://pbs.twimg.com/media/Db95JwhW4AE0Cdn.jpg")</f>
        <v/>
      </c>
      <c r="J2428" t="n">
        <v>0</v>
      </c>
      <c r="K2428" t="n">
        <v>0</v>
      </c>
      <c r="L2428" t="n">
        <v>1</v>
      </c>
      <c r="M2428" t="n">
        <v>0</v>
      </c>
    </row>
    <row r="2429" spans="1:13">
      <c r="A2429" s="1">
        <f>HYPERLINK("http://www.twitter.com/NathanBLawrence/status/990706897685753858", "990706897685753858")</f>
        <v/>
      </c>
      <c r="B2429" s="2" t="n">
        <v>43219.90167824074</v>
      </c>
      <c r="C2429" t="n">
        <v>2</v>
      </c>
      <c r="D2429" t="n">
        <v>1</v>
      </c>
      <c r="E2429" t="s">
        <v>2422</v>
      </c>
      <c r="F2429" t="s"/>
      <c r="G2429" t="s"/>
      <c r="H2429" t="s"/>
      <c r="I2429" t="s"/>
      <c r="J2429" t="n">
        <v>0.4019</v>
      </c>
      <c r="K2429" t="n">
        <v>0</v>
      </c>
      <c r="L2429" t="n">
        <v>0.649</v>
      </c>
      <c r="M2429" t="n">
        <v>0.351</v>
      </c>
    </row>
    <row r="2430" spans="1:13">
      <c r="A2430" s="1">
        <f>HYPERLINK("http://www.twitter.com/NathanBLawrence/status/990706706941390848", "990706706941390848")</f>
        <v/>
      </c>
      <c r="B2430" s="2" t="n">
        <v>43219.90115740741</v>
      </c>
      <c r="C2430" t="n">
        <v>0</v>
      </c>
      <c r="D2430" t="n">
        <v>235</v>
      </c>
      <c r="E2430" t="s">
        <v>2423</v>
      </c>
      <c r="F2430">
        <f>HYPERLINK("http://pbs.twimg.com/media/Db-x2vGV4AAgS4v.jpg", "http://pbs.twimg.com/media/Db-x2vGV4AAgS4v.jpg")</f>
        <v/>
      </c>
      <c r="G2430" t="s"/>
      <c r="H2430" t="s"/>
      <c r="I2430" t="s"/>
      <c r="J2430" t="n">
        <v>0.8619</v>
      </c>
      <c r="K2430" t="n">
        <v>0</v>
      </c>
      <c r="L2430" t="n">
        <v>0.7</v>
      </c>
      <c r="M2430" t="n">
        <v>0.3</v>
      </c>
    </row>
    <row r="2431" spans="1:13">
      <c r="A2431" s="1">
        <f>HYPERLINK("http://www.twitter.com/NathanBLawrence/status/990706591321264128", "990706591321264128")</f>
        <v/>
      </c>
      <c r="B2431" s="2" t="n">
        <v>43219.90083333333</v>
      </c>
      <c r="C2431" t="n">
        <v>0</v>
      </c>
      <c r="D2431" t="n">
        <v>115</v>
      </c>
      <c r="E2431" t="s">
        <v>2424</v>
      </c>
      <c r="F2431" t="s"/>
      <c r="G2431" t="s"/>
      <c r="H2431" t="s"/>
      <c r="I2431" t="s"/>
      <c r="J2431" t="n">
        <v>0.6114000000000001</v>
      </c>
      <c r="K2431" t="n">
        <v>0</v>
      </c>
      <c r="L2431" t="n">
        <v>0.84</v>
      </c>
      <c r="M2431" t="n">
        <v>0.16</v>
      </c>
    </row>
    <row r="2432" spans="1:13">
      <c r="A2432" s="1">
        <f>HYPERLINK("http://www.twitter.com/NathanBLawrence/status/990706486643953664", "990706486643953664")</f>
        <v/>
      </c>
      <c r="B2432" s="2" t="n">
        <v>43219.90054398148</v>
      </c>
      <c r="C2432" t="n">
        <v>2</v>
      </c>
      <c r="D2432" t="n">
        <v>1</v>
      </c>
      <c r="E2432" t="s">
        <v>2425</v>
      </c>
      <c r="F2432" t="s"/>
      <c r="G2432" t="s"/>
      <c r="H2432" t="s"/>
      <c r="I2432" t="s"/>
      <c r="J2432" t="n">
        <v>-0.7574</v>
      </c>
      <c r="K2432" t="n">
        <v>0.419</v>
      </c>
      <c r="L2432" t="n">
        <v>0.581</v>
      </c>
      <c r="M2432" t="n">
        <v>0</v>
      </c>
    </row>
    <row r="2433" spans="1:13">
      <c r="A2433" s="1">
        <f>HYPERLINK("http://www.twitter.com/NathanBLawrence/status/990705414802112513", "990705414802112513")</f>
        <v/>
      </c>
      <c r="B2433" s="2" t="n">
        <v>43219.89758101852</v>
      </c>
      <c r="C2433" t="n">
        <v>0</v>
      </c>
      <c r="D2433" t="n">
        <v>2</v>
      </c>
      <c r="E2433" t="s">
        <v>2426</v>
      </c>
      <c r="F2433">
        <f>HYPERLINK("http://pbs.twimg.com/media/Db-v0qEWAAEooHe.jpg", "http://pbs.twimg.com/media/Db-v0qEWAAEooHe.jpg")</f>
        <v/>
      </c>
      <c r="G2433" t="s"/>
      <c r="H2433" t="s"/>
      <c r="I2433" t="s"/>
      <c r="J2433" t="n">
        <v>0.0772</v>
      </c>
      <c r="K2433" t="n">
        <v>0.126</v>
      </c>
      <c r="L2433" t="n">
        <v>0.733</v>
      </c>
      <c r="M2433" t="n">
        <v>0.141</v>
      </c>
    </row>
    <row r="2434" spans="1:13">
      <c r="A2434" s="1">
        <f>HYPERLINK("http://www.twitter.com/NathanBLawrence/status/990704950731857921", "990704950731857921")</f>
        <v/>
      </c>
      <c r="B2434" s="2" t="n">
        <v>43219.89630787037</v>
      </c>
      <c r="C2434" t="n">
        <v>0</v>
      </c>
      <c r="D2434" t="n">
        <v>3</v>
      </c>
      <c r="E2434" t="s">
        <v>2427</v>
      </c>
      <c r="F2434" t="s"/>
      <c r="G2434" t="s"/>
      <c r="H2434" t="s"/>
      <c r="I2434" t="s"/>
      <c r="J2434" t="n">
        <v>0</v>
      </c>
      <c r="K2434" t="n">
        <v>0</v>
      </c>
      <c r="L2434" t="n">
        <v>1</v>
      </c>
      <c r="M2434" t="n">
        <v>0</v>
      </c>
    </row>
    <row r="2435" spans="1:13">
      <c r="A2435" s="1">
        <f>HYPERLINK("http://www.twitter.com/NathanBLawrence/status/990702282009382915", "990702282009382915")</f>
        <v/>
      </c>
      <c r="B2435" s="2" t="n">
        <v>43219.88894675926</v>
      </c>
      <c r="C2435" t="n">
        <v>3</v>
      </c>
      <c r="D2435" t="n">
        <v>1</v>
      </c>
      <c r="E2435" t="s">
        <v>2428</v>
      </c>
      <c r="F2435" t="s"/>
      <c r="G2435" t="s"/>
      <c r="H2435" t="s"/>
      <c r="I2435" t="s"/>
      <c r="J2435" t="n">
        <v>-0.4939</v>
      </c>
      <c r="K2435" t="n">
        <v>0.211</v>
      </c>
      <c r="L2435" t="n">
        <v>0.789</v>
      </c>
      <c r="M2435" t="n">
        <v>0</v>
      </c>
    </row>
    <row r="2436" spans="1:13">
      <c r="A2436" s="1">
        <f>HYPERLINK("http://www.twitter.com/NathanBLawrence/status/990701869357064193", "990701869357064193")</f>
        <v/>
      </c>
      <c r="B2436" s="2" t="n">
        <v>43219.88780092593</v>
      </c>
      <c r="C2436" t="n">
        <v>0</v>
      </c>
      <c r="D2436" t="n">
        <v>2</v>
      </c>
      <c r="E2436" t="s">
        <v>2429</v>
      </c>
      <c r="F2436" t="s"/>
      <c r="G2436" t="s"/>
      <c r="H2436" t="s"/>
      <c r="I2436" t="s"/>
      <c r="J2436" t="n">
        <v>0.5574</v>
      </c>
      <c r="K2436" t="n">
        <v>0</v>
      </c>
      <c r="L2436" t="n">
        <v>0.795</v>
      </c>
      <c r="M2436" t="n">
        <v>0.205</v>
      </c>
    </row>
    <row r="2437" spans="1:13">
      <c r="A2437" s="1">
        <f>HYPERLINK("http://www.twitter.com/NathanBLawrence/status/990701806169870341", "990701806169870341")</f>
        <v/>
      </c>
      <c r="B2437" s="2" t="n">
        <v>43219.88762731481</v>
      </c>
      <c r="C2437" t="n">
        <v>0</v>
      </c>
      <c r="D2437" t="n">
        <v>3</v>
      </c>
      <c r="E2437" t="s">
        <v>2430</v>
      </c>
      <c r="F2437" t="s"/>
      <c r="G2437" t="s"/>
      <c r="H2437" t="s"/>
      <c r="I2437" t="s"/>
      <c r="J2437" t="n">
        <v>-0.128</v>
      </c>
      <c r="K2437" t="n">
        <v>0.095</v>
      </c>
      <c r="L2437" t="n">
        <v>0.83</v>
      </c>
      <c r="M2437" t="n">
        <v>0.075</v>
      </c>
    </row>
    <row r="2438" spans="1:13">
      <c r="A2438" s="1">
        <f>HYPERLINK("http://www.twitter.com/NathanBLawrence/status/990701761903153152", "990701761903153152")</f>
        <v/>
      </c>
      <c r="B2438" s="2" t="n">
        <v>43219.88751157407</v>
      </c>
      <c r="C2438" t="n">
        <v>0</v>
      </c>
      <c r="D2438" t="n">
        <v>3</v>
      </c>
      <c r="E2438" t="s">
        <v>2431</v>
      </c>
      <c r="F2438" t="s"/>
      <c r="G2438" t="s"/>
      <c r="H2438" t="s"/>
      <c r="I2438" t="s"/>
      <c r="J2438" t="n">
        <v>0.2225</v>
      </c>
      <c r="K2438" t="n">
        <v>0.212</v>
      </c>
      <c r="L2438" t="n">
        <v>0.54</v>
      </c>
      <c r="M2438" t="n">
        <v>0.248</v>
      </c>
    </row>
    <row r="2439" spans="1:13">
      <c r="A2439" s="1">
        <f>HYPERLINK("http://www.twitter.com/NathanBLawrence/status/990701055494250496", "990701055494250496")</f>
        <v/>
      </c>
      <c r="B2439" s="2" t="n">
        <v>43219.88555555556</v>
      </c>
      <c r="C2439" t="n">
        <v>0</v>
      </c>
      <c r="D2439" t="n">
        <v>1</v>
      </c>
      <c r="E2439" t="s">
        <v>2432</v>
      </c>
      <c r="F2439" t="s"/>
      <c r="G2439" t="s"/>
      <c r="H2439" t="s"/>
      <c r="I2439" t="s"/>
      <c r="J2439" t="n">
        <v>0</v>
      </c>
      <c r="K2439" t="n">
        <v>0</v>
      </c>
      <c r="L2439" t="n">
        <v>1</v>
      </c>
      <c r="M2439" t="n">
        <v>0</v>
      </c>
    </row>
    <row r="2440" spans="1:13">
      <c r="A2440" s="1">
        <f>HYPERLINK("http://www.twitter.com/NathanBLawrence/status/990700498813640709", "990700498813640709")</f>
        <v/>
      </c>
      <c r="B2440" s="2" t="n">
        <v>43219.8840162037</v>
      </c>
      <c r="C2440" t="n">
        <v>0</v>
      </c>
      <c r="D2440" t="n">
        <v>3</v>
      </c>
      <c r="E2440" t="s">
        <v>2433</v>
      </c>
      <c r="F2440" t="s"/>
      <c r="G2440" t="s"/>
      <c r="H2440" t="s"/>
      <c r="I2440" t="s"/>
      <c r="J2440" t="n">
        <v>0</v>
      </c>
      <c r="K2440" t="n">
        <v>0</v>
      </c>
      <c r="L2440" t="n">
        <v>1</v>
      </c>
      <c r="M2440" t="n">
        <v>0</v>
      </c>
    </row>
    <row r="2441" spans="1:13">
      <c r="A2441" s="1">
        <f>HYPERLINK("http://www.twitter.com/NathanBLawrence/status/990699909333573632", "990699909333573632")</f>
        <v/>
      </c>
      <c r="B2441" s="2" t="n">
        <v>43219.88239583333</v>
      </c>
      <c r="C2441" t="n">
        <v>9</v>
      </c>
      <c r="D2441" t="n">
        <v>8</v>
      </c>
      <c r="E2441" t="s">
        <v>2434</v>
      </c>
      <c r="F2441" t="s"/>
      <c r="G2441" t="s"/>
      <c r="H2441" t="s"/>
      <c r="I2441" t="s"/>
      <c r="J2441" t="n">
        <v>0.8689</v>
      </c>
      <c r="K2441" t="n">
        <v>0</v>
      </c>
      <c r="L2441" t="n">
        <v>0.791</v>
      </c>
      <c r="M2441" t="n">
        <v>0.209</v>
      </c>
    </row>
    <row r="2442" spans="1:13">
      <c r="A2442" s="1">
        <f>HYPERLINK("http://www.twitter.com/NathanBLawrence/status/990698370737033218", "990698370737033218")</f>
        <v/>
      </c>
      <c r="B2442" s="2" t="n">
        <v>43219.87814814815</v>
      </c>
      <c r="C2442" t="n">
        <v>6</v>
      </c>
      <c r="D2442" t="n">
        <v>2</v>
      </c>
      <c r="E2442" t="s">
        <v>2435</v>
      </c>
      <c r="F2442" t="s"/>
      <c r="G2442" t="s"/>
      <c r="H2442" t="s"/>
      <c r="I2442" t="s"/>
      <c r="J2442" t="n">
        <v>0.09379999999999999</v>
      </c>
      <c r="K2442" t="n">
        <v>0.143</v>
      </c>
      <c r="L2442" t="n">
        <v>0.703</v>
      </c>
      <c r="M2442" t="n">
        <v>0.153</v>
      </c>
    </row>
    <row r="2443" spans="1:13">
      <c r="A2443" s="1">
        <f>HYPERLINK("http://www.twitter.com/NathanBLawrence/status/990677001861255168", "990677001861255168")</f>
        <v/>
      </c>
      <c r="B2443" s="2" t="n">
        <v>43219.81917824074</v>
      </c>
      <c r="C2443" t="n">
        <v>0</v>
      </c>
      <c r="D2443" t="n">
        <v>1</v>
      </c>
      <c r="E2443" t="s">
        <v>2436</v>
      </c>
      <c r="F2443" t="s"/>
      <c r="G2443" t="s"/>
      <c r="H2443" t="s"/>
      <c r="I2443" t="s"/>
      <c r="J2443" t="n">
        <v>-0.1027</v>
      </c>
      <c r="K2443" t="n">
        <v>0.145</v>
      </c>
      <c r="L2443" t="n">
        <v>0.726</v>
      </c>
      <c r="M2443" t="n">
        <v>0.129</v>
      </c>
    </row>
    <row r="2444" spans="1:13">
      <c r="A2444" s="1">
        <f>HYPERLINK("http://www.twitter.com/NathanBLawrence/status/990676514638352384", "990676514638352384")</f>
        <v/>
      </c>
      <c r="B2444" s="2" t="n">
        <v>43219.81783564815</v>
      </c>
      <c r="C2444" t="n">
        <v>0</v>
      </c>
      <c r="D2444" t="n">
        <v>0</v>
      </c>
      <c r="E2444" t="s">
        <v>2437</v>
      </c>
      <c r="F2444" t="s"/>
      <c r="G2444" t="s"/>
      <c r="H2444" t="s"/>
      <c r="I2444" t="s"/>
      <c r="J2444" t="n">
        <v>0</v>
      </c>
      <c r="K2444" t="n">
        <v>0</v>
      </c>
      <c r="L2444" t="n">
        <v>1</v>
      </c>
      <c r="M2444" t="n">
        <v>0</v>
      </c>
    </row>
    <row r="2445" spans="1:13">
      <c r="A2445" s="1">
        <f>HYPERLINK("http://www.twitter.com/NathanBLawrence/status/990676210358345729", "990676210358345729")</f>
        <v/>
      </c>
      <c r="B2445" s="2" t="n">
        <v>43219.81700231481</v>
      </c>
      <c r="C2445" t="n">
        <v>0</v>
      </c>
      <c r="D2445" t="n">
        <v>0</v>
      </c>
      <c r="E2445" t="s">
        <v>2438</v>
      </c>
      <c r="F2445" t="s"/>
      <c r="G2445" t="s"/>
      <c r="H2445" t="s"/>
      <c r="I2445" t="s"/>
      <c r="J2445" t="n">
        <v>0.4003</v>
      </c>
      <c r="K2445" t="n">
        <v>0</v>
      </c>
      <c r="L2445" t="n">
        <v>0.271</v>
      </c>
      <c r="M2445" t="n">
        <v>0.729</v>
      </c>
    </row>
    <row r="2446" spans="1:13">
      <c r="A2446" s="1">
        <f>HYPERLINK("http://www.twitter.com/NathanBLawrence/status/990674967120568320", "990674967120568320")</f>
        <v/>
      </c>
      <c r="B2446" s="2" t="n">
        <v>43219.81356481482</v>
      </c>
      <c r="C2446" t="n">
        <v>0</v>
      </c>
      <c r="D2446" t="n">
        <v>0</v>
      </c>
      <c r="E2446" t="s">
        <v>2439</v>
      </c>
      <c r="F2446" t="s"/>
      <c r="G2446" t="s"/>
      <c r="H2446" t="s"/>
      <c r="I2446" t="s"/>
      <c r="J2446" t="n">
        <v>0</v>
      </c>
      <c r="K2446" t="n">
        <v>0</v>
      </c>
      <c r="L2446" t="n">
        <v>1</v>
      </c>
      <c r="M2446" t="n">
        <v>0</v>
      </c>
    </row>
    <row r="2447" spans="1:13">
      <c r="A2447" s="1">
        <f>HYPERLINK("http://www.twitter.com/NathanBLawrence/status/990674900644966400", "990674900644966400")</f>
        <v/>
      </c>
      <c r="B2447" s="2" t="n">
        <v>43219.81337962963</v>
      </c>
      <c r="C2447" t="n">
        <v>0</v>
      </c>
      <c r="D2447" t="n">
        <v>586</v>
      </c>
      <c r="E2447" t="s">
        <v>2440</v>
      </c>
      <c r="F2447" t="s"/>
      <c r="G2447" t="s"/>
      <c r="H2447" t="s"/>
      <c r="I2447" t="s"/>
      <c r="J2447" t="n">
        <v>-0.4574</v>
      </c>
      <c r="K2447" t="n">
        <v>0.15</v>
      </c>
      <c r="L2447" t="n">
        <v>0.85</v>
      </c>
      <c r="M2447" t="n">
        <v>0</v>
      </c>
    </row>
    <row r="2448" spans="1:13">
      <c r="A2448" s="1">
        <f>HYPERLINK("http://www.twitter.com/NathanBLawrence/status/990674282819870720", "990674282819870720")</f>
        <v/>
      </c>
      <c r="B2448" s="2" t="n">
        <v>43219.81167824074</v>
      </c>
      <c r="C2448" t="n">
        <v>0</v>
      </c>
      <c r="D2448" t="n">
        <v>2</v>
      </c>
      <c r="E2448" t="s">
        <v>2441</v>
      </c>
      <c r="F2448" t="s"/>
      <c r="G2448" t="s"/>
      <c r="H2448" t="s"/>
      <c r="I2448" t="s"/>
      <c r="J2448" t="n">
        <v>0.5255</v>
      </c>
      <c r="K2448" t="n">
        <v>0</v>
      </c>
      <c r="L2448" t="n">
        <v>0.596</v>
      </c>
      <c r="M2448" t="n">
        <v>0.404</v>
      </c>
    </row>
    <row r="2449" spans="1:13">
      <c r="A2449" s="1">
        <f>HYPERLINK("http://www.twitter.com/NathanBLawrence/status/990673672754130944", "990673672754130944")</f>
        <v/>
      </c>
      <c r="B2449" s="2" t="n">
        <v>43219.81</v>
      </c>
      <c r="C2449" t="n">
        <v>4</v>
      </c>
      <c r="D2449" t="n">
        <v>0</v>
      </c>
      <c r="E2449" t="s">
        <v>2442</v>
      </c>
      <c r="F2449" t="s"/>
      <c r="G2449" t="s"/>
      <c r="H2449" t="s"/>
      <c r="I2449" t="s"/>
      <c r="J2449" t="n">
        <v>0</v>
      </c>
      <c r="K2449" t="n">
        <v>0</v>
      </c>
      <c r="L2449" t="n">
        <v>1</v>
      </c>
      <c r="M2449" t="n">
        <v>0</v>
      </c>
    </row>
    <row r="2450" spans="1:13">
      <c r="A2450" s="1">
        <f>HYPERLINK("http://www.twitter.com/NathanBLawrence/status/990673639388471297", "990673639388471297")</f>
        <v/>
      </c>
      <c r="B2450" s="2" t="n">
        <v>43219.80990740741</v>
      </c>
      <c r="C2450" t="n">
        <v>0</v>
      </c>
      <c r="D2450" t="n">
        <v>190</v>
      </c>
      <c r="E2450" t="s">
        <v>2443</v>
      </c>
      <c r="F2450">
        <f>HYPERLINK("http://pbs.twimg.com/media/Db-Jh07WAAAfm5C.jpg", "http://pbs.twimg.com/media/Db-Jh07WAAAfm5C.jpg")</f>
        <v/>
      </c>
      <c r="G2450" t="s"/>
      <c r="H2450" t="s"/>
      <c r="I2450" t="s"/>
      <c r="J2450" t="n">
        <v>0</v>
      </c>
      <c r="K2450" t="n">
        <v>0</v>
      </c>
      <c r="L2450" t="n">
        <v>1</v>
      </c>
      <c r="M2450" t="n">
        <v>0</v>
      </c>
    </row>
    <row r="2451" spans="1:13">
      <c r="A2451" s="1">
        <f>HYPERLINK("http://www.twitter.com/NathanBLawrence/status/990672339938500608", "990672339938500608")</f>
        <v/>
      </c>
      <c r="B2451" s="2" t="n">
        <v>43219.80631944445</v>
      </c>
      <c r="C2451" t="n">
        <v>0</v>
      </c>
      <c r="D2451" t="n">
        <v>0</v>
      </c>
      <c r="E2451" t="s">
        <v>2444</v>
      </c>
      <c r="F2451" t="s"/>
      <c r="G2451" t="s"/>
      <c r="H2451" t="s"/>
      <c r="I2451" t="s"/>
      <c r="J2451" t="n">
        <v>-0.34</v>
      </c>
      <c r="K2451" t="n">
        <v>0.146</v>
      </c>
      <c r="L2451" t="n">
        <v>0.854</v>
      </c>
      <c r="M2451" t="n">
        <v>0</v>
      </c>
    </row>
    <row r="2452" spans="1:13">
      <c r="A2452" s="1">
        <f>HYPERLINK("http://www.twitter.com/NathanBLawrence/status/990671757530075142", "990671757530075142")</f>
        <v/>
      </c>
      <c r="B2452" s="2" t="n">
        <v>43219.80471064815</v>
      </c>
      <c r="C2452" t="n">
        <v>9</v>
      </c>
      <c r="D2452" t="n">
        <v>1</v>
      </c>
      <c r="E2452" t="s">
        <v>2445</v>
      </c>
      <c r="F2452" t="s"/>
      <c r="G2452" t="s"/>
      <c r="H2452" t="s"/>
      <c r="I2452" t="s"/>
      <c r="J2452" t="n">
        <v>0.25</v>
      </c>
      <c r="K2452" t="n">
        <v>0</v>
      </c>
      <c r="L2452" t="n">
        <v>0.914</v>
      </c>
      <c r="M2452" t="n">
        <v>0.08599999999999999</v>
      </c>
    </row>
    <row r="2453" spans="1:13">
      <c r="A2453" s="1">
        <f>HYPERLINK("http://www.twitter.com/NathanBLawrence/status/990670016197558272", "990670016197558272")</f>
        <v/>
      </c>
      <c r="B2453" s="2" t="n">
        <v>43219.79990740741</v>
      </c>
      <c r="C2453" t="n">
        <v>7</v>
      </c>
      <c r="D2453" t="n">
        <v>1</v>
      </c>
      <c r="E2453" t="s">
        <v>2446</v>
      </c>
      <c r="F2453" t="s"/>
      <c r="G2453" t="s"/>
      <c r="H2453" t="s"/>
      <c r="I2453" t="s"/>
      <c r="J2453" t="n">
        <v>-0.6369</v>
      </c>
      <c r="K2453" t="n">
        <v>0.152</v>
      </c>
      <c r="L2453" t="n">
        <v>0.848</v>
      </c>
      <c r="M2453" t="n">
        <v>0</v>
      </c>
    </row>
    <row r="2454" spans="1:13">
      <c r="A2454" s="1">
        <f>HYPERLINK("http://www.twitter.com/NathanBLawrence/status/990669747850285056", "990669747850285056")</f>
        <v/>
      </c>
      <c r="B2454" s="2" t="n">
        <v>43219.79916666666</v>
      </c>
      <c r="C2454" t="n">
        <v>7</v>
      </c>
      <c r="D2454" t="n">
        <v>1</v>
      </c>
      <c r="E2454" t="s">
        <v>2447</v>
      </c>
      <c r="F2454" t="s"/>
      <c r="G2454" t="s"/>
      <c r="H2454" t="s"/>
      <c r="I2454" t="s"/>
      <c r="J2454" t="n">
        <v>0.9256</v>
      </c>
      <c r="K2454" t="n">
        <v>0</v>
      </c>
      <c r="L2454" t="n">
        <v>0.773</v>
      </c>
      <c r="M2454" t="n">
        <v>0.227</v>
      </c>
    </row>
    <row r="2455" spans="1:13">
      <c r="A2455" s="1">
        <f>HYPERLINK("http://www.twitter.com/NathanBLawrence/status/990668782669582338", "990668782669582338")</f>
        <v/>
      </c>
      <c r="B2455" s="2" t="n">
        <v>43219.79650462963</v>
      </c>
      <c r="C2455" t="n">
        <v>0</v>
      </c>
      <c r="D2455" t="n">
        <v>0</v>
      </c>
      <c r="E2455" t="s">
        <v>2448</v>
      </c>
      <c r="F2455" t="s"/>
      <c r="G2455" t="s"/>
      <c r="H2455" t="s"/>
      <c r="I2455" t="s"/>
      <c r="J2455" t="n">
        <v>0.4404</v>
      </c>
      <c r="K2455" t="n">
        <v>0</v>
      </c>
      <c r="L2455" t="n">
        <v>0.508</v>
      </c>
      <c r="M2455" t="n">
        <v>0.492</v>
      </c>
    </row>
    <row r="2456" spans="1:13">
      <c r="A2456" s="1">
        <f>HYPERLINK("http://www.twitter.com/NathanBLawrence/status/990668526246559744", "990668526246559744")</f>
        <v/>
      </c>
      <c r="B2456" s="2" t="n">
        <v>43219.79579861111</v>
      </c>
      <c r="C2456" t="n">
        <v>1</v>
      </c>
      <c r="D2456" t="n">
        <v>0</v>
      </c>
      <c r="E2456" t="s">
        <v>2449</v>
      </c>
      <c r="F2456" t="s"/>
      <c r="G2456" t="s"/>
      <c r="H2456" t="s"/>
      <c r="I2456" t="s"/>
      <c r="J2456" t="n">
        <v>0.4215</v>
      </c>
      <c r="K2456" t="n">
        <v>0</v>
      </c>
      <c r="L2456" t="n">
        <v>0.517</v>
      </c>
      <c r="M2456" t="n">
        <v>0.483</v>
      </c>
    </row>
    <row r="2457" spans="1:13">
      <c r="A2457" s="1">
        <f>HYPERLINK("http://www.twitter.com/NathanBLawrence/status/990667752393314304", "990667752393314304")</f>
        <v/>
      </c>
      <c r="B2457" s="2" t="n">
        <v>43219.7936574074</v>
      </c>
      <c r="C2457" t="n">
        <v>2</v>
      </c>
      <c r="D2457" t="n">
        <v>0</v>
      </c>
      <c r="E2457" t="s">
        <v>2450</v>
      </c>
      <c r="F2457" t="s"/>
      <c r="G2457" t="s"/>
      <c r="H2457" t="s"/>
      <c r="I2457" t="s"/>
      <c r="J2457" t="n">
        <v>0.3182</v>
      </c>
      <c r="K2457" t="n">
        <v>0</v>
      </c>
      <c r="L2457" t="n">
        <v>0.635</v>
      </c>
      <c r="M2457" t="n">
        <v>0.365</v>
      </c>
    </row>
    <row r="2458" spans="1:13">
      <c r="A2458" s="1">
        <f>HYPERLINK("http://www.twitter.com/NathanBLawrence/status/990667298909446145", "990667298909446145")</f>
        <v/>
      </c>
      <c r="B2458" s="2" t="n">
        <v>43219.79240740741</v>
      </c>
      <c r="C2458" t="n">
        <v>3</v>
      </c>
      <c r="D2458" t="n">
        <v>3</v>
      </c>
      <c r="E2458" t="s">
        <v>2451</v>
      </c>
      <c r="F2458" t="s"/>
      <c r="G2458" t="s"/>
      <c r="H2458" t="s"/>
      <c r="I2458" t="s"/>
      <c r="J2458" t="n">
        <v>0</v>
      </c>
      <c r="K2458" t="n">
        <v>0</v>
      </c>
      <c r="L2458" t="n">
        <v>1</v>
      </c>
      <c r="M2458" t="n">
        <v>0</v>
      </c>
    </row>
    <row r="2459" spans="1:13">
      <c r="A2459" s="1">
        <f>HYPERLINK("http://www.twitter.com/NathanBLawrence/status/990666219421302784", "990666219421302784")</f>
        <v/>
      </c>
      <c r="B2459" s="2" t="n">
        <v>43219.78943287037</v>
      </c>
      <c r="C2459" t="n">
        <v>0</v>
      </c>
      <c r="D2459" t="n">
        <v>136</v>
      </c>
      <c r="E2459" t="s">
        <v>2452</v>
      </c>
      <c r="F2459" t="s"/>
      <c r="G2459" t="s"/>
      <c r="H2459" t="s"/>
      <c r="I2459" t="s"/>
      <c r="J2459" t="n">
        <v>0</v>
      </c>
      <c r="K2459" t="n">
        <v>0</v>
      </c>
      <c r="L2459" t="n">
        <v>1</v>
      </c>
      <c r="M2459" t="n">
        <v>0</v>
      </c>
    </row>
    <row r="2460" spans="1:13">
      <c r="A2460" s="1">
        <f>HYPERLINK("http://www.twitter.com/NathanBLawrence/status/990666042379825153", "990666042379825153")</f>
        <v/>
      </c>
      <c r="B2460" s="2" t="n">
        <v>43219.78893518518</v>
      </c>
      <c r="C2460" t="n">
        <v>5</v>
      </c>
      <c r="D2460" t="n">
        <v>1</v>
      </c>
      <c r="E2460" t="s">
        <v>2453</v>
      </c>
      <c r="F2460" t="s"/>
      <c r="G2460" t="s"/>
      <c r="H2460" t="s"/>
      <c r="I2460" t="s"/>
      <c r="J2460" t="n">
        <v>0</v>
      </c>
      <c r="K2460" t="n">
        <v>0</v>
      </c>
      <c r="L2460" t="n">
        <v>1</v>
      </c>
      <c r="M2460" t="n">
        <v>0</v>
      </c>
    </row>
    <row r="2461" spans="1:13">
      <c r="A2461" s="1">
        <f>HYPERLINK("http://www.twitter.com/NathanBLawrence/status/990664880356290560", "990664880356290560")</f>
        <v/>
      </c>
      <c r="B2461" s="2" t="n">
        <v>43219.78572916667</v>
      </c>
      <c r="C2461" t="n">
        <v>0</v>
      </c>
      <c r="D2461" t="n">
        <v>2</v>
      </c>
      <c r="E2461" t="s">
        <v>2454</v>
      </c>
      <c r="F2461" t="s"/>
      <c r="G2461" t="s"/>
      <c r="H2461" t="s"/>
      <c r="I2461" t="s"/>
      <c r="J2461" t="n">
        <v>0.8697</v>
      </c>
      <c r="K2461" t="n">
        <v>0</v>
      </c>
      <c r="L2461" t="n">
        <v>0.714</v>
      </c>
      <c r="M2461" t="n">
        <v>0.286</v>
      </c>
    </row>
    <row r="2462" spans="1:13">
      <c r="A2462" s="1">
        <f>HYPERLINK("http://www.twitter.com/NathanBLawrence/status/990664534439419904", "990664534439419904")</f>
        <v/>
      </c>
      <c r="B2462" s="2" t="n">
        <v>43219.7847800926</v>
      </c>
      <c r="C2462" t="n">
        <v>0</v>
      </c>
      <c r="D2462" t="n">
        <v>0</v>
      </c>
      <c r="E2462" t="s">
        <v>2455</v>
      </c>
      <c r="F2462" t="s"/>
      <c r="G2462" t="s"/>
      <c r="H2462" t="s"/>
      <c r="I2462" t="s"/>
      <c r="J2462" t="n">
        <v>0.3612</v>
      </c>
      <c r="K2462" t="n">
        <v>0</v>
      </c>
      <c r="L2462" t="n">
        <v>0.444</v>
      </c>
      <c r="M2462" t="n">
        <v>0.556</v>
      </c>
    </row>
    <row r="2463" spans="1:13">
      <c r="A2463" s="1">
        <f>HYPERLINK("http://www.twitter.com/NathanBLawrence/status/990664336183095296", "990664336183095296")</f>
        <v/>
      </c>
      <c r="B2463" s="2" t="n">
        <v>43219.78423611111</v>
      </c>
      <c r="C2463" t="n">
        <v>0</v>
      </c>
      <c r="D2463" t="n">
        <v>1</v>
      </c>
      <c r="E2463" t="s">
        <v>2456</v>
      </c>
      <c r="F2463" t="s"/>
      <c r="G2463" t="s"/>
      <c r="H2463" t="s"/>
      <c r="I2463" t="s"/>
      <c r="J2463" t="n">
        <v>0.3612</v>
      </c>
      <c r="K2463" t="n">
        <v>0</v>
      </c>
      <c r="L2463" t="n">
        <v>0.783</v>
      </c>
      <c r="M2463" t="n">
        <v>0.217</v>
      </c>
    </row>
    <row r="2464" spans="1:13">
      <c r="A2464" s="1">
        <f>HYPERLINK("http://www.twitter.com/NathanBLawrence/status/990664248857710592", "990664248857710592")</f>
        <v/>
      </c>
      <c r="B2464" s="2" t="n">
        <v>43219.78399305556</v>
      </c>
      <c r="C2464" t="n">
        <v>0</v>
      </c>
      <c r="D2464" t="n">
        <v>0</v>
      </c>
      <c r="E2464" t="s">
        <v>2457</v>
      </c>
      <c r="F2464" t="s"/>
      <c r="G2464" t="s"/>
      <c r="H2464" t="s"/>
      <c r="I2464" t="s"/>
      <c r="J2464" t="n">
        <v>0</v>
      </c>
      <c r="K2464" t="n">
        <v>0</v>
      </c>
      <c r="L2464" t="n">
        <v>1</v>
      </c>
      <c r="M2464" t="n">
        <v>0</v>
      </c>
    </row>
    <row r="2465" spans="1:13">
      <c r="A2465" s="1">
        <f>HYPERLINK("http://www.twitter.com/NathanBLawrence/status/990664019458506752", "990664019458506752")</f>
        <v/>
      </c>
      <c r="B2465" s="2" t="n">
        <v>43219.78335648148</v>
      </c>
      <c r="C2465" t="n">
        <v>0</v>
      </c>
      <c r="D2465" t="n">
        <v>60</v>
      </c>
      <c r="E2465" t="s">
        <v>2458</v>
      </c>
      <c r="F2465" t="s"/>
      <c r="G2465" t="s"/>
      <c r="H2465" t="s"/>
      <c r="I2465" t="s"/>
      <c r="J2465" t="n">
        <v>0.6408</v>
      </c>
      <c r="K2465" t="n">
        <v>0</v>
      </c>
      <c r="L2465" t="n">
        <v>0.768</v>
      </c>
      <c r="M2465" t="n">
        <v>0.232</v>
      </c>
    </row>
    <row r="2466" spans="1:13">
      <c r="A2466" s="1">
        <f>HYPERLINK("http://www.twitter.com/NathanBLawrence/status/990663866806931458", "990663866806931458")</f>
        <v/>
      </c>
      <c r="B2466" s="2" t="n">
        <v>43219.78293981482</v>
      </c>
      <c r="C2466" t="n">
        <v>1</v>
      </c>
      <c r="D2466" t="n">
        <v>0</v>
      </c>
      <c r="E2466" t="s">
        <v>2459</v>
      </c>
      <c r="F2466" t="s"/>
      <c r="G2466" t="s"/>
      <c r="H2466" t="s"/>
      <c r="I2466" t="s"/>
      <c r="J2466" t="n">
        <v>0.4404</v>
      </c>
      <c r="K2466" t="n">
        <v>0</v>
      </c>
      <c r="L2466" t="n">
        <v>0.633</v>
      </c>
      <c r="M2466" t="n">
        <v>0.367</v>
      </c>
    </row>
    <row r="2467" spans="1:13">
      <c r="A2467" s="1">
        <f>HYPERLINK("http://www.twitter.com/NathanBLawrence/status/990663663957823489", "990663663957823489")</f>
        <v/>
      </c>
      <c r="B2467" s="2" t="n">
        <v>43219.78237268519</v>
      </c>
      <c r="C2467" t="n">
        <v>0</v>
      </c>
      <c r="D2467" t="n">
        <v>4</v>
      </c>
      <c r="E2467" t="s">
        <v>2460</v>
      </c>
      <c r="F2467" t="s"/>
      <c r="G2467" t="s"/>
      <c r="H2467" t="s"/>
      <c r="I2467" t="s"/>
      <c r="J2467" t="n">
        <v>0.5719</v>
      </c>
      <c r="K2467" t="n">
        <v>0.099</v>
      </c>
      <c r="L2467" t="n">
        <v>0.644</v>
      </c>
      <c r="M2467" t="n">
        <v>0.258</v>
      </c>
    </row>
    <row r="2468" spans="1:13">
      <c r="A2468" s="1">
        <f>HYPERLINK("http://www.twitter.com/NathanBLawrence/status/990663429684912128", "990663429684912128")</f>
        <v/>
      </c>
      <c r="B2468" s="2" t="n">
        <v>43219.78172453704</v>
      </c>
      <c r="C2468" t="n">
        <v>2</v>
      </c>
      <c r="D2468" t="n">
        <v>0</v>
      </c>
      <c r="E2468" t="s">
        <v>2461</v>
      </c>
      <c r="F2468" t="s"/>
      <c r="G2468" t="s"/>
      <c r="H2468" t="s"/>
      <c r="I2468" t="s"/>
      <c r="J2468" t="n">
        <v>0</v>
      </c>
      <c r="K2468" t="n">
        <v>0</v>
      </c>
      <c r="L2468" t="n">
        <v>1</v>
      </c>
      <c r="M2468" t="n">
        <v>0</v>
      </c>
    </row>
    <row r="2469" spans="1:13">
      <c r="A2469" s="1">
        <f>HYPERLINK("http://www.twitter.com/NathanBLawrence/status/990662700182196224", "990662700182196224")</f>
        <v/>
      </c>
      <c r="B2469" s="2" t="n">
        <v>43219.77972222222</v>
      </c>
      <c r="C2469" t="n">
        <v>0</v>
      </c>
      <c r="D2469" t="n">
        <v>1536</v>
      </c>
      <c r="E2469" t="s">
        <v>2462</v>
      </c>
      <c r="F2469">
        <f>HYPERLINK("http://pbs.twimg.com/media/Db9MdVxX0AAsMZ6.jpg", "http://pbs.twimg.com/media/Db9MdVxX0AAsMZ6.jpg")</f>
        <v/>
      </c>
      <c r="G2469" t="s"/>
      <c r="H2469" t="s"/>
      <c r="I2469" t="s"/>
      <c r="J2469" t="n">
        <v>0.5994</v>
      </c>
      <c r="K2469" t="n">
        <v>0</v>
      </c>
      <c r="L2469" t="n">
        <v>0.782</v>
      </c>
      <c r="M2469" t="n">
        <v>0.218</v>
      </c>
    </row>
    <row r="2470" spans="1:13">
      <c r="A2470" s="1">
        <f>HYPERLINK("http://www.twitter.com/NathanBLawrence/status/990661708296355840", "990661708296355840")</f>
        <v/>
      </c>
      <c r="B2470" s="2" t="n">
        <v>43219.77697916667</v>
      </c>
      <c r="C2470" t="n">
        <v>7</v>
      </c>
      <c r="D2470" t="n">
        <v>1</v>
      </c>
      <c r="E2470" t="s">
        <v>2463</v>
      </c>
      <c r="F2470" t="s"/>
      <c r="G2470" t="s"/>
      <c r="H2470" t="s"/>
      <c r="I2470" t="s"/>
      <c r="J2470" t="n">
        <v>-0.4912</v>
      </c>
      <c r="K2470" t="n">
        <v>0.166</v>
      </c>
      <c r="L2470" t="n">
        <v>0.834</v>
      </c>
      <c r="M2470" t="n">
        <v>0</v>
      </c>
    </row>
    <row r="2471" spans="1:13">
      <c r="A2471" s="1">
        <f>HYPERLINK("http://www.twitter.com/NathanBLawrence/status/990661167663239168", "990661167663239168")</f>
        <v/>
      </c>
      <c r="B2471" s="2" t="n">
        <v>43219.77548611111</v>
      </c>
      <c r="C2471" t="n">
        <v>2</v>
      </c>
      <c r="D2471" t="n">
        <v>2</v>
      </c>
      <c r="E2471" t="s">
        <v>2464</v>
      </c>
      <c r="F2471" t="s"/>
      <c r="G2471" t="s"/>
      <c r="H2471" t="s"/>
      <c r="I2471" t="s"/>
      <c r="J2471" t="n">
        <v>0</v>
      </c>
      <c r="K2471" t="n">
        <v>0</v>
      </c>
      <c r="L2471" t="n">
        <v>1</v>
      </c>
      <c r="M2471" t="n">
        <v>0</v>
      </c>
    </row>
    <row r="2472" spans="1:13">
      <c r="A2472" s="1">
        <f>HYPERLINK("http://www.twitter.com/NathanBLawrence/status/990660933818208257", "990660933818208257")</f>
        <v/>
      </c>
      <c r="B2472" s="2" t="n">
        <v>43219.77483796296</v>
      </c>
      <c r="C2472" t="n">
        <v>2</v>
      </c>
      <c r="D2472" t="n">
        <v>2</v>
      </c>
      <c r="E2472" t="s">
        <v>2465</v>
      </c>
      <c r="F2472" t="s"/>
      <c r="G2472" t="s"/>
      <c r="H2472" t="s"/>
      <c r="I2472" t="s"/>
      <c r="J2472" t="n">
        <v>-0.296</v>
      </c>
      <c r="K2472" t="n">
        <v>0.239</v>
      </c>
      <c r="L2472" t="n">
        <v>0.761</v>
      </c>
      <c r="M2472" t="n">
        <v>0</v>
      </c>
    </row>
    <row r="2473" spans="1:13">
      <c r="A2473" s="1">
        <f>HYPERLINK("http://www.twitter.com/NathanBLawrence/status/990660583551852544", "990660583551852544")</f>
        <v/>
      </c>
      <c r="B2473" s="2" t="n">
        <v>43219.77387731482</v>
      </c>
      <c r="C2473" t="n">
        <v>1</v>
      </c>
      <c r="D2473" t="n">
        <v>2</v>
      </c>
      <c r="E2473" t="s">
        <v>2466</v>
      </c>
      <c r="F2473" t="s"/>
      <c r="G2473" t="s"/>
      <c r="H2473" t="s"/>
      <c r="I2473" t="s"/>
      <c r="J2473" t="n">
        <v>0</v>
      </c>
      <c r="K2473" t="n">
        <v>0</v>
      </c>
      <c r="L2473" t="n">
        <v>1</v>
      </c>
      <c r="M2473" t="n">
        <v>0</v>
      </c>
    </row>
    <row r="2474" spans="1:13">
      <c r="A2474" s="1">
        <f>HYPERLINK("http://www.twitter.com/NathanBLawrence/status/990659436497784833", "990659436497784833")</f>
        <v/>
      </c>
      <c r="B2474" s="2" t="n">
        <v>43219.77070601852</v>
      </c>
      <c r="C2474" t="n">
        <v>0</v>
      </c>
      <c r="D2474" t="n">
        <v>2</v>
      </c>
      <c r="E2474" t="s">
        <v>2467</v>
      </c>
      <c r="F2474" t="s"/>
      <c r="G2474" t="s"/>
      <c r="H2474" t="s"/>
      <c r="I2474" t="s"/>
      <c r="J2474" t="n">
        <v>-0.3875</v>
      </c>
      <c r="K2474" t="n">
        <v>0.111</v>
      </c>
      <c r="L2474" t="n">
        <v>0.889</v>
      </c>
      <c r="M2474" t="n">
        <v>0</v>
      </c>
    </row>
    <row r="2475" spans="1:13">
      <c r="A2475" s="1">
        <f>HYPERLINK("http://www.twitter.com/NathanBLawrence/status/990659404717490176", "990659404717490176")</f>
        <v/>
      </c>
      <c r="B2475" s="2" t="n">
        <v>43219.770625</v>
      </c>
      <c r="C2475" t="n">
        <v>3</v>
      </c>
      <c r="D2475" t="n">
        <v>0</v>
      </c>
      <c r="E2475" t="s">
        <v>2468</v>
      </c>
      <c r="F2475" t="s"/>
      <c r="G2475" t="s"/>
      <c r="H2475" t="s"/>
      <c r="I2475" t="s"/>
      <c r="J2475" t="n">
        <v>0.6249</v>
      </c>
      <c r="K2475" t="n">
        <v>0</v>
      </c>
      <c r="L2475" t="n">
        <v>0.549</v>
      </c>
      <c r="M2475" t="n">
        <v>0.451</v>
      </c>
    </row>
    <row r="2476" spans="1:13">
      <c r="A2476" s="1">
        <f>HYPERLINK("http://www.twitter.com/NathanBLawrence/status/990659302288478210", "990659302288478210")</f>
        <v/>
      </c>
      <c r="B2476" s="2" t="n">
        <v>43219.77033564815</v>
      </c>
      <c r="C2476" t="n">
        <v>0</v>
      </c>
      <c r="D2476" t="n">
        <v>2</v>
      </c>
      <c r="E2476" t="s">
        <v>2469</v>
      </c>
      <c r="F2476" t="s"/>
      <c r="G2476" t="s"/>
      <c r="H2476" t="s"/>
      <c r="I2476" t="s"/>
      <c r="J2476" t="n">
        <v>0</v>
      </c>
      <c r="K2476" t="n">
        <v>0</v>
      </c>
      <c r="L2476" t="n">
        <v>1</v>
      </c>
      <c r="M2476" t="n">
        <v>0</v>
      </c>
    </row>
    <row r="2477" spans="1:13">
      <c r="A2477" s="1">
        <f>HYPERLINK("http://www.twitter.com/NathanBLawrence/status/990658501751033856", "990658501751033856")</f>
        <v/>
      </c>
      <c r="B2477" s="2" t="n">
        <v>43219.76813657407</v>
      </c>
      <c r="C2477" t="n">
        <v>0</v>
      </c>
      <c r="D2477" t="n">
        <v>1</v>
      </c>
      <c r="E2477" t="s">
        <v>2470</v>
      </c>
      <c r="F2477" t="s"/>
      <c r="G2477" t="s"/>
      <c r="H2477" t="s"/>
      <c r="I2477" t="s"/>
      <c r="J2477" t="n">
        <v>0.7783</v>
      </c>
      <c r="K2477" t="n">
        <v>0</v>
      </c>
      <c r="L2477" t="n">
        <v>0.655</v>
      </c>
      <c r="M2477" t="n">
        <v>0.345</v>
      </c>
    </row>
    <row r="2478" spans="1:13">
      <c r="A2478" s="1">
        <f>HYPERLINK("http://www.twitter.com/NathanBLawrence/status/990658468897009666", "990658468897009666")</f>
        <v/>
      </c>
      <c r="B2478" s="2" t="n">
        <v>43219.76804398148</v>
      </c>
      <c r="C2478" t="n">
        <v>0</v>
      </c>
      <c r="D2478" t="n">
        <v>2</v>
      </c>
      <c r="E2478" t="s">
        <v>2471</v>
      </c>
      <c r="F2478" t="s"/>
      <c r="G2478" t="s"/>
      <c r="H2478" t="s"/>
      <c r="I2478" t="s"/>
      <c r="J2478" t="n">
        <v>0</v>
      </c>
      <c r="K2478" t="n">
        <v>0</v>
      </c>
      <c r="L2478" t="n">
        <v>1</v>
      </c>
      <c r="M2478" t="n">
        <v>0</v>
      </c>
    </row>
    <row r="2479" spans="1:13">
      <c r="A2479" s="1">
        <f>HYPERLINK("http://www.twitter.com/NathanBLawrence/status/990658001957806081", "990658001957806081")</f>
        <v/>
      </c>
      <c r="B2479" s="2" t="n">
        <v>43219.76674768519</v>
      </c>
      <c r="C2479" t="n">
        <v>0</v>
      </c>
      <c r="D2479" t="n">
        <v>5</v>
      </c>
      <c r="E2479" t="s">
        <v>2472</v>
      </c>
      <c r="F2479" t="s"/>
      <c r="G2479" t="s"/>
      <c r="H2479" t="s"/>
      <c r="I2479" t="s"/>
      <c r="J2479" t="n">
        <v>-0.8442</v>
      </c>
      <c r="K2479" t="n">
        <v>0.363</v>
      </c>
      <c r="L2479" t="n">
        <v>0.637</v>
      </c>
      <c r="M2479" t="n">
        <v>0</v>
      </c>
    </row>
    <row r="2480" spans="1:13">
      <c r="A2480" s="1">
        <f>HYPERLINK("http://www.twitter.com/NathanBLawrence/status/990657947742203905", "990657947742203905")</f>
        <v/>
      </c>
      <c r="B2480" s="2" t="n">
        <v>43219.76659722222</v>
      </c>
      <c r="C2480" t="n">
        <v>0</v>
      </c>
      <c r="D2480" t="n">
        <v>0</v>
      </c>
      <c r="E2480" t="s">
        <v>2473</v>
      </c>
      <c r="F2480" t="s"/>
      <c r="G2480" t="s"/>
      <c r="H2480" t="s"/>
      <c r="I2480" t="s"/>
      <c r="J2480" t="n">
        <v>0</v>
      </c>
      <c r="K2480" t="n">
        <v>0</v>
      </c>
      <c r="L2480" t="n">
        <v>1</v>
      </c>
      <c r="M2480" t="n">
        <v>0</v>
      </c>
    </row>
    <row r="2481" spans="1:13">
      <c r="A2481" s="1">
        <f>HYPERLINK("http://www.twitter.com/NathanBLawrence/status/990657892494831616", "990657892494831616")</f>
        <v/>
      </c>
      <c r="B2481" s="2" t="n">
        <v>43219.76644675926</v>
      </c>
      <c r="C2481" t="n">
        <v>8</v>
      </c>
      <c r="D2481" t="n">
        <v>0</v>
      </c>
      <c r="E2481" t="s">
        <v>2474</v>
      </c>
      <c r="F2481" t="s"/>
      <c r="G2481" t="s"/>
      <c r="H2481" t="s"/>
      <c r="I2481" t="s"/>
      <c r="J2481" t="n">
        <v>0.3612</v>
      </c>
      <c r="K2481" t="n">
        <v>0</v>
      </c>
      <c r="L2481" t="n">
        <v>0.545</v>
      </c>
      <c r="M2481" t="n">
        <v>0.455</v>
      </c>
    </row>
    <row r="2482" spans="1:13">
      <c r="A2482" s="1">
        <f>HYPERLINK("http://www.twitter.com/NathanBLawrence/status/990657726031286273", "990657726031286273")</f>
        <v/>
      </c>
      <c r="B2482" s="2" t="n">
        <v>43219.76599537037</v>
      </c>
      <c r="C2482" t="n">
        <v>1</v>
      </c>
      <c r="D2482" t="n">
        <v>0</v>
      </c>
      <c r="E2482" t="s">
        <v>2475</v>
      </c>
      <c r="F2482" t="s"/>
      <c r="G2482" t="s"/>
      <c r="H2482" t="s"/>
      <c r="I2482" t="s"/>
      <c r="J2482" t="n">
        <v>0</v>
      </c>
      <c r="K2482" t="n">
        <v>0</v>
      </c>
      <c r="L2482" t="n">
        <v>1</v>
      </c>
      <c r="M2482" t="n">
        <v>0</v>
      </c>
    </row>
    <row r="2483" spans="1:13">
      <c r="A2483" s="1">
        <f>HYPERLINK("http://www.twitter.com/NathanBLawrence/status/990657360464089088", "990657360464089088")</f>
        <v/>
      </c>
      <c r="B2483" s="2" t="n">
        <v>43219.76497685185</v>
      </c>
      <c r="C2483" t="n">
        <v>0</v>
      </c>
      <c r="D2483" t="n">
        <v>1</v>
      </c>
      <c r="E2483" t="s">
        <v>2476</v>
      </c>
      <c r="F2483" t="s"/>
      <c r="G2483" t="s"/>
      <c r="H2483" t="s"/>
      <c r="I2483" t="s"/>
      <c r="J2483" t="n">
        <v>0.7723</v>
      </c>
      <c r="K2483" t="n">
        <v>0</v>
      </c>
      <c r="L2483" t="n">
        <v>0.71</v>
      </c>
      <c r="M2483" t="n">
        <v>0.29</v>
      </c>
    </row>
    <row r="2484" spans="1:13">
      <c r="A2484" s="1">
        <f>HYPERLINK("http://www.twitter.com/NathanBLawrence/status/990657334899888130", "990657334899888130")</f>
        <v/>
      </c>
      <c r="B2484" s="2" t="n">
        <v>43219.76490740741</v>
      </c>
      <c r="C2484" t="n">
        <v>2</v>
      </c>
      <c r="D2484" t="n">
        <v>0</v>
      </c>
      <c r="E2484" t="s">
        <v>2477</v>
      </c>
      <c r="F2484" t="s"/>
      <c r="G2484" t="s"/>
      <c r="H2484" t="s"/>
      <c r="I2484" t="s"/>
      <c r="J2484" t="n">
        <v>0.6124000000000001</v>
      </c>
      <c r="K2484" t="n">
        <v>0</v>
      </c>
      <c r="L2484" t="n">
        <v>0.733</v>
      </c>
      <c r="M2484" t="n">
        <v>0.267</v>
      </c>
    </row>
    <row r="2485" spans="1:13">
      <c r="A2485" s="1">
        <f>HYPERLINK("http://www.twitter.com/NathanBLawrence/status/990656019054415877", "990656019054415877")</f>
        <v/>
      </c>
      <c r="B2485" s="2" t="n">
        <v>43219.76128472222</v>
      </c>
      <c r="C2485" t="n">
        <v>3</v>
      </c>
      <c r="D2485" t="n">
        <v>1</v>
      </c>
      <c r="E2485" t="s">
        <v>2478</v>
      </c>
      <c r="F2485" t="s"/>
      <c r="G2485" t="s"/>
      <c r="H2485" t="s"/>
      <c r="I2485" t="s"/>
      <c r="J2485" t="n">
        <v>0.6808</v>
      </c>
      <c r="K2485" t="n">
        <v>0</v>
      </c>
      <c r="L2485" t="n">
        <v>0.472</v>
      </c>
      <c r="M2485" t="n">
        <v>0.528</v>
      </c>
    </row>
    <row r="2486" spans="1:13">
      <c r="A2486" s="1">
        <f>HYPERLINK("http://www.twitter.com/NathanBLawrence/status/990655926347714562", "990655926347714562")</f>
        <v/>
      </c>
      <c r="B2486" s="2" t="n">
        <v>43219.76101851852</v>
      </c>
      <c r="C2486" t="n">
        <v>0</v>
      </c>
      <c r="D2486" t="n">
        <v>978</v>
      </c>
      <c r="E2486" t="s">
        <v>2479</v>
      </c>
      <c r="F2486" t="s"/>
      <c r="G2486" t="s"/>
      <c r="H2486" t="s"/>
      <c r="I2486" t="s"/>
      <c r="J2486" t="n">
        <v>0.7003</v>
      </c>
      <c r="K2486" t="n">
        <v>0</v>
      </c>
      <c r="L2486" t="n">
        <v>0.784</v>
      </c>
      <c r="M2486" t="n">
        <v>0.216</v>
      </c>
    </row>
    <row r="2487" spans="1:13">
      <c r="A2487" s="1">
        <f>HYPERLINK("http://www.twitter.com/NathanBLawrence/status/990655845863247872", "990655845863247872")</f>
        <v/>
      </c>
      <c r="B2487" s="2" t="n">
        <v>43219.76079861111</v>
      </c>
      <c r="C2487" t="n">
        <v>0</v>
      </c>
      <c r="D2487" t="n">
        <v>0</v>
      </c>
      <c r="E2487" t="s">
        <v>2480</v>
      </c>
      <c r="F2487" t="s"/>
      <c r="G2487" t="s"/>
      <c r="H2487" t="s"/>
      <c r="I2487" t="s"/>
      <c r="J2487" t="n">
        <v>0.4215</v>
      </c>
      <c r="K2487" t="n">
        <v>0</v>
      </c>
      <c r="L2487" t="n">
        <v>0.263</v>
      </c>
      <c r="M2487" t="n">
        <v>0.737</v>
      </c>
    </row>
    <row r="2488" spans="1:13">
      <c r="A2488" s="1">
        <f>HYPERLINK("http://www.twitter.com/NathanBLawrence/status/990655808429060096", "990655808429060096")</f>
        <v/>
      </c>
      <c r="B2488" s="2" t="n">
        <v>43219.76069444444</v>
      </c>
      <c r="C2488" t="n">
        <v>0</v>
      </c>
      <c r="D2488" t="n">
        <v>4</v>
      </c>
      <c r="E2488" t="s">
        <v>2481</v>
      </c>
      <c r="F2488" t="s"/>
      <c r="G2488" t="s"/>
      <c r="H2488" t="s"/>
      <c r="I2488" t="s"/>
      <c r="J2488" t="n">
        <v>0</v>
      </c>
      <c r="K2488" t="n">
        <v>0</v>
      </c>
      <c r="L2488" t="n">
        <v>1</v>
      </c>
      <c r="M2488" t="n">
        <v>0</v>
      </c>
    </row>
    <row r="2489" spans="1:13">
      <c r="A2489" s="1">
        <f>HYPERLINK("http://www.twitter.com/NathanBLawrence/status/990655683350712321", "990655683350712321")</f>
        <v/>
      </c>
      <c r="B2489" s="2" t="n">
        <v>43219.76035879629</v>
      </c>
      <c r="C2489" t="n">
        <v>0</v>
      </c>
      <c r="D2489" t="n">
        <v>3082</v>
      </c>
      <c r="E2489" t="s">
        <v>2482</v>
      </c>
      <c r="F2489" t="s"/>
      <c r="G2489" t="s"/>
      <c r="H2489" t="s"/>
      <c r="I2489" t="s"/>
      <c r="J2489" t="n">
        <v>0.4912</v>
      </c>
      <c r="K2489" t="n">
        <v>0</v>
      </c>
      <c r="L2489" t="n">
        <v>0.874</v>
      </c>
      <c r="M2489" t="n">
        <v>0.126</v>
      </c>
    </row>
    <row r="2490" spans="1:13">
      <c r="A2490" s="1">
        <f>HYPERLINK("http://www.twitter.com/NathanBLawrence/status/990655325006123008", "990655325006123008")</f>
        <v/>
      </c>
      <c r="B2490" s="2" t="n">
        <v>43219.75936342592</v>
      </c>
      <c r="C2490" t="n">
        <v>1</v>
      </c>
      <c r="D2490" t="n">
        <v>0</v>
      </c>
      <c r="E2490" t="s">
        <v>2483</v>
      </c>
      <c r="F2490" t="s"/>
      <c r="G2490" t="s"/>
      <c r="H2490" t="s"/>
      <c r="I2490" t="s"/>
      <c r="J2490" t="n">
        <v>0</v>
      </c>
      <c r="K2490" t="n">
        <v>0</v>
      </c>
      <c r="L2490" t="n">
        <v>1</v>
      </c>
      <c r="M2490" t="n">
        <v>0</v>
      </c>
    </row>
    <row r="2491" spans="1:13">
      <c r="A2491" s="1">
        <f>HYPERLINK("http://www.twitter.com/NathanBLawrence/status/990655194722721792", "990655194722721792")</f>
        <v/>
      </c>
      <c r="B2491" s="2" t="n">
        <v>43219.75900462963</v>
      </c>
      <c r="C2491" t="n">
        <v>0</v>
      </c>
      <c r="D2491" t="n">
        <v>3</v>
      </c>
      <c r="E2491" t="s">
        <v>2484</v>
      </c>
      <c r="F2491" t="s"/>
      <c r="G2491" t="s"/>
      <c r="H2491" t="s"/>
      <c r="I2491" t="s"/>
      <c r="J2491" t="n">
        <v>0.4404</v>
      </c>
      <c r="K2491" t="n">
        <v>0</v>
      </c>
      <c r="L2491" t="n">
        <v>0.734</v>
      </c>
      <c r="M2491" t="n">
        <v>0.266</v>
      </c>
    </row>
    <row r="2492" spans="1:13">
      <c r="A2492" s="1">
        <f>HYPERLINK("http://www.twitter.com/NathanBLawrence/status/990655137503948800", "990655137503948800")</f>
        <v/>
      </c>
      <c r="B2492" s="2" t="n">
        <v>43219.75884259259</v>
      </c>
      <c r="C2492" t="n">
        <v>0</v>
      </c>
      <c r="D2492" t="n">
        <v>0</v>
      </c>
      <c r="E2492" t="s">
        <v>2485</v>
      </c>
      <c r="F2492" t="s"/>
      <c r="G2492" t="s"/>
      <c r="H2492" t="s"/>
      <c r="I2492" t="s"/>
      <c r="J2492" t="n">
        <v>0</v>
      </c>
      <c r="K2492" t="n">
        <v>0</v>
      </c>
      <c r="L2492" t="n">
        <v>1</v>
      </c>
      <c r="M2492" t="n">
        <v>0</v>
      </c>
    </row>
    <row r="2493" spans="1:13">
      <c r="A2493" s="1">
        <f>HYPERLINK("http://www.twitter.com/NathanBLawrence/status/990655080599732224", "990655080599732224")</f>
        <v/>
      </c>
      <c r="B2493" s="2" t="n">
        <v>43219.75869212963</v>
      </c>
      <c r="C2493" t="n">
        <v>0</v>
      </c>
      <c r="D2493" t="n">
        <v>73</v>
      </c>
      <c r="E2493" t="s">
        <v>2486</v>
      </c>
      <c r="F2493">
        <f>HYPERLINK("http://pbs.twimg.com/media/Db-DJiPV0AAbf3a.jpg", "http://pbs.twimg.com/media/Db-DJiPV0AAbf3a.jpg")</f>
        <v/>
      </c>
      <c r="G2493" t="s"/>
      <c r="H2493" t="s"/>
      <c r="I2493" t="s"/>
      <c r="J2493" t="n">
        <v>0</v>
      </c>
      <c r="K2493" t="n">
        <v>0</v>
      </c>
      <c r="L2493" t="n">
        <v>1</v>
      </c>
      <c r="M2493" t="n">
        <v>0</v>
      </c>
    </row>
    <row r="2494" spans="1:13">
      <c r="A2494" s="1">
        <f>HYPERLINK("http://www.twitter.com/NathanBLawrence/status/990654980641222656", "990654980641222656")</f>
        <v/>
      </c>
      <c r="B2494" s="2" t="n">
        <v>43219.75841435185</v>
      </c>
      <c r="C2494" t="n">
        <v>0</v>
      </c>
      <c r="D2494" t="n">
        <v>82</v>
      </c>
      <c r="E2494" t="s">
        <v>2487</v>
      </c>
      <c r="F2494" t="s"/>
      <c r="G2494" t="s"/>
      <c r="H2494" t="s"/>
      <c r="I2494" t="s"/>
      <c r="J2494" t="n">
        <v>0</v>
      </c>
      <c r="K2494" t="n">
        <v>0</v>
      </c>
      <c r="L2494" t="n">
        <v>1</v>
      </c>
      <c r="M2494" t="n">
        <v>0</v>
      </c>
    </row>
    <row r="2495" spans="1:13">
      <c r="A2495" s="1">
        <f>HYPERLINK("http://www.twitter.com/NathanBLawrence/status/990654898948714496", "990654898948714496")</f>
        <v/>
      </c>
      <c r="B2495" s="2" t="n">
        <v>43219.75819444445</v>
      </c>
      <c r="C2495" t="n">
        <v>0</v>
      </c>
      <c r="D2495" t="n">
        <v>186</v>
      </c>
      <c r="E2495" t="s">
        <v>2488</v>
      </c>
      <c r="F2495" t="s"/>
      <c r="G2495" t="s"/>
      <c r="H2495" t="s"/>
      <c r="I2495" t="s"/>
      <c r="J2495" t="n">
        <v>-0.6124000000000001</v>
      </c>
      <c r="K2495" t="n">
        <v>0.245</v>
      </c>
      <c r="L2495" t="n">
        <v>0.657</v>
      </c>
      <c r="M2495" t="n">
        <v>0.099</v>
      </c>
    </row>
    <row r="2496" spans="1:13">
      <c r="A2496" s="1">
        <f>HYPERLINK("http://www.twitter.com/NathanBLawrence/status/990654785039880197", "990654785039880197")</f>
        <v/>
      </c>
      <c r="B2496" s="2" t="n">
        <v>43219.75787037037</v>
      </c>
      <c r="C2496" t="n">
        <v>881</v>
      </c>
      <c r="D2496" t="n">
        <v>186</v>
      </c>
      <c r="E2496" t="s">
        <v>2489</v>
      </c>
      <c r="F2496" t="s"/>
      <c r="G2496" t="s"/>
      <c r="H2496" t="s"/>
      <c r="I2496" t="s"/>
      <c r="J2496" t="n">
        <v>-0.1855</v>
      </c>
      <c r="K2496" t="n">
        <v>0.194</v>
      </c>
      <c r="L2496" t="n">
        <v>0.606</v>
      </c>
      <c r="M2496" t="n">
        <v>0.201</v>
      </c>
    </row>
    <row r="2497" spans="1:13">
      <c r="A2497" s="1">
        <f>HYPERLINK("http://www.twitter.com/NathanBLawrence/status/990653729912315904", "990653729912315904")</f>
        <v/>
      </c>
      <c r="B2497" s="2" t="n">
        <v>43219.75496527777</v>
      </c>
      <c r="C2497" t="n">
        <v>3</v>
      </c>
      <c r="D2497" t="n">
        <v>0</v>
      </c>
      <c r="E2497" t="s">
        <v>2490</v>
      </c>
      <c r="F2497" t="s"/>
      <c r="G2497" t="s"/>
      <c r="H2497" t="s"/>
      <c r="I2497" t="s"/>
      <c r="J2497" t="n">
        <v>0.4019</v>
      </c>
      <c r="K2497" t="n">
        <v>0</v>
      </c>
      <c r="L2497" t="n">
        <v>0.27</v>
      </c>
      <c r="M2497" t="n">
        <v>0.73</v>
      </c>
    </row>
    <row r="2498" spans="1:13">
      <c r="A2498" s="1">
        <f>HYPERLINK("http://www.twitter.com/NathanBLawrence/status/990653677886214144", "990653677886214144")</f>
        <v/>
      </c>
      <c r="B2498" s="2" t="n">
        <v>43219.75481481481</v>
      </c>
      <c r="C2498" t="n">
        <v>0</v>
      </c>
      <c r="D2498" t="n">
        <v>2606</v>
      </c>
      <c r="E2498" t="s">
        <v>2491</v>
      </c>
      <c r="F2498" t="s"/>
      <c r="G2498" t="s"/>
      <c r="H2498" t="s"/>
      <c r="I2498" t="s"/>
      <c r="J2498" t="n">
        <v>0.4767</v>
      </c>
      <c r="K2498" t="n">
        <v>0</v>
      </c>
      <c r="L2498" t="n">
        <v>0.823</v>
      </c>
      <c r="M2498" t="n">
        <v>0.177</v>
      </c>
    </row>
    <row r="2499" spans="1:13">
      <c r="A2499" s="1">
        <f>HYPERLINK("http://www.twitter.com/NathanBLawrence/status/990653645464141826", "990653645464141826")</f>
        <v/>
      </c>
      <c r="B2499" s="2" t="n">
        <v>43219.7547337963</v>
      </c>
      <c r="C2499" t="n">
        <v>4</v>
      </c>
      <c r="D2499" t="n">
        <v>0</v>
      </c>
      <c r="E2499" t="s">
        <v>2492</v>
      </c>
      <c r="F2499" t="s"/>
      <c r="G2499" t="s"/>
      <c r="H2499" t="s"/>
      <c r="I2499" t="s"/>
      <c r="J2499" t="n">
        <v>0.5994</v>
      </c>
      <c r="K2499" t="n">
        <v>0</v>
      </c>
      <c r="L2499" t="n">
        <v>0.855</v>
      </c>
      <c r="M2499" t="n">
        <v>0.145</v>
      </c>
    </row>
    <row r="2500" spans="1:13">
      <c r="A2500" s="1">
        <f>HYPERLINK("http://www.twitter.com/NathanBLawrence/status/990615951166136320", "990615951166136320")</f>
        <v/>
      </c>
      <c r="B2500" s="2" t="n">
        <v>43219.65071759259</v>
      </c>
      <c r="C2500" t="n">
        <v>0</v>
      </c>
      <c r="D2500" t="n">
        <v>0</v>
      </c>
      <c r="E2500" t="s">
        <v>2493</v>
      </c>
      <c r="F2500" t="s"/>
      <c r="G2500" t="s"/>
      <c r="H2500" t="s"/>
      <c r="I2500" t="s"/>
      <c r="J2500" t="n">
        <v>0</v>
      </c>
      <c r="K2500" t="n">
        <v>0</v>
      </c>
      <c r="L2500" t="n">
        <v>1</v>
      </c>
      <c r="M2500" t="n">
        <v>0</v>
      </c>
    </row>
    <row r="2501" spans="1:13">
      <c r="A2501" s="1">
        <f>HYPERLINK("http://www.twitter.com/NathanBLawrence/status/990615804646486017", "990615804646486017")</f>
        <v/>
      </c>
      <c r="B2501" s="2" t="n">
        <v>43219.6503125</v>
      </c>
      <c r="C2501" t="n">
        <v>0</v>
      </c>
      <c r="D2501" t="n">
        <v>0</v>
      </c>
      <c r="E2501" t="s">
        <v>2494</v>
      </c>
      <c r="F2501" t="s"/>
      <c r="G2501" t="s"/>
      <c r="H2501" t="s"/>
      <c r="I2501" t="s"/>
      <c r="J2501" t="n">
        <v>-0.5859</v>
      </c>
      <c r="K2501" t="n">
        <v>0.792</v>
      </c>
      <c r="L2501" t="n">
        <v>0.208</v>
      </c>
      <c r="M2501" t="n">
        <v>0</v>
      </c>
    </row>
    <row r="2502" spans="1:13">
      <c r="A2502" s="1">
        <f>HYPERLINK("http://www.twitter.com/NathanBLawrence/status/990607065591803904", "990607065591803904")</f>
        <v/>
      </c>
      <c r="B2502" s="2" t="n">
        <v>43219.62619212963</v>
      </c>
      <c r="C2502" t="n">
        <v>0</v>
      </c>
      <c r="D2502" t="n">
        <v>5</v>
      </c>
      <c r="E2502" t="s">
        <v>2495</v>
      </c>
      <c r="F2502" t="s"/>
      <c r="G2502" t="s"/>
      <c r="H2502" t="s"/>
      <c r="I2502" t="s"/>
      <c r="J2502" t="n">
        <v>0</v>
      </c>
      <c r="K2502" t="n">
        <v>0</v>
      </c>
      <c r="L2502" t="n">
        <v>1</v>
      </c>
      <c r="M2502" t="n">
        <v>0</v>
      </c>
    </row>
    <row r="2503" spans="1:13">
      <c r="A2503" s="1">
        <f>HYPERLINK("http://www.twitter.com/NathanBLawrence/status/990601294879608832", "990601294879608832")</f>
        <v/>
      </c>
      <c r="B2503" s="2" t="n">
        <v>43219.6102662037</v>
      </c>
      <c r="C2503" t="n">
        <v>0</v>
      </c>
      <c r="D2503" t="n">
        <v>0</v>
      </c>
      <c r="E2503" t="s">
        <v>2496</v>
      </c>
      <c r="F2503" t="s"/>
      <c r="G2503" t="s"/>
      <c r="H2503" t="s"/>
      <c r="I2503" t="s"/>
      <c r="J2503" t="n">
        <v>0.7269</v>
      </c>
      <c r="K2503" t="n">
        <v>0</v>
      </c>
      <c r="L2503" t="n">
        <v>0.596</v>
      </c>
      <c r="M2503" t="n">
        <v>0.404</v>
      </c>
    </row>
    <row r="2504" spans="1:13">
      <c r="A2504" s="1">
        <f>HYPERLINK("http://www.twitter.com/NathanBLawrence/status/990601106035298304", "990601106035298304")</f>
        <v/>
      </c>
      <c r="B2504" s="2" t="n">
        <v>43219.60974537037</v>
      </c>
      <c r="C2504" t="n">
        <v>0</v>
      </c>
      <c r="D2504" t="n">
        <v>1</v>
      </c>
      <c r="E2504" t="s">
        <v>2497</v>
      </c>
      <c r="F2504" t="s"/>
      <c r="G2504" t="s"/>
      <c r="H2504" t="s"/>
      <c r="I2504" t="s"/>
      <c r="J2504" t="n">
        <v>-0.2103</v>
      </c>
      <c r="K2504" t="n">
        <v>0.146</v>
      </c>
      <c r="L2504" t="n">
        <v>0.743</v>
      </c>
      <c r="M2504" t="n">
        <v>0.111</v>
      </c>
    </row>
    <row r="2505" spans="1:13">
      <c r="A2505" s="1">
        <f>HYPERLINK("http://www.twitter.com/NathanBLawrence/status/990599438891659264", "990599438891659264")</f>
        <v/>
      </c>
      <c r="B2505" s="2" t="n">
        <v>43219.60515046296</v>
      </c>
      <c r="C2505" t="n">
        <v>1</v>
      </c>
      <c r="D2505" t="n">
        <v>3</v>
      </c>
      <c r="E2505" t="s">
        <v>2498</v>
      </c>
      <c r="F2505" t="s"/>
      <c r="G2505" t="s"/>
      <c r="H2505" t="s"/>
      <c r="I2505" t="s"/>
      <c r="J2505" t="n">
        <v>0.7074</v>
      </c>
      <c r="K2505" t="n">
        <v>0</v>
      </c>
      <c r="L2505" t="n">
        <v>0.605</v>
      </c>
      <c r="M2505" t="n">
        <v>0.395</v>
      </c>
    </row>
    <row r="2506" spans="1:13">
      <c r="A2506" s="1">
        <f>HYPERLINK("http://www.twitter.com/NathanBLawrence/status/990598639327371264", "990598639327371264")</f>
        <v/>
      </c>
      <c r="B2506" s="2" t="n">
        <v>43219.60293981482</v>
      </c>
      <c r="C2506" t="n">
        <v>0</v>
      </c>
      <c r="D2506" t="n">
        <v>33</v>
      </c>
      <c r="E2506" t="s">
        <v>2499</v>
      </c>
      <c r="F2506">
        <f>HYPERLINK("http://pbs.twimg.com/media/Db5t2iYVQAE-OPL.jpg", "http://pbs.twimg.com/media/Db5t2iYVQAE-OPL.jpg")</f>
        <v/>
      </c>
      <c r="G2506" t="s"/>
      <c r="H2506" t="s"/>
      <c r="I2506" t="s"/>
      <c r="J2506" t="n">
        <v>0.969</v>
      </c>
      <c r="K2506" t="n">
        <v>0</v>
      </c>
      <c r="L2506" t="n">
        <v>0.43</v>
      </c>
      <c r="M2506" t="n">
        <v>0.57</v>
      </c>
    </row>
    <row r="2507" spans="1:13">
      <c r="A2507" s="1">
        <f>HYPERLINK("http://www.twitter.com/NathanBLawrence/status/990598422980956162", "990598422980956162")</f>
        <v/>
      </c>
      <c r="B2507" s="2" t="n">
        <v>43219.60234953704</v>
      </c>
      <c r="C2507" t="n">
        <v>0</v>
      </c>
      <c r="D2507" t="n">
        <v>46</v>
      </c>
      <c r="E2507" t="s">
        <v>2500</v>
      </c>
      <c r="F2507" t="s"/>
      <c r="G2507" t="s"/>
      <c r="H2507" t="s"/>
      <c r="I2507" t="s"/>
      <c r="J2507" t="n">
        <v>-0.1531</v>
      </c>
      <c r="K2507" t="n">
        <v>0.165</v>
      </c>
      <c r="L2507" t="n">
        <v>0.7</v>
      </c>
      <c r="M2507" t="n">
        <v>0.135</v>
      </c>
    </row>
    <row r="2508" spans="1:13">
      <c r="A2508" s="1">
        <f>HYPERLINK("http://www.twitter.com/NathanBLawrence/status/990598274678689794", "990598274678689794")</f>
        <v/>
      </c>
      <c r="B2508" s="2" t="n">
        <v>43219.60193287037</v>
      </c>
      <c r="C2508" t="n">
        <v>1</v>
      </c>
      <c r="D2508" t="n">
        <v>0</v>
      </c>
      <c r="E2508" t="s">
        <v>2501</v>
      </c>
      <c r="F2508" t="s"/>
      <c r="G2508" t="s"/>
      <c r="H2508" t="s"/>
      <c r="I2508" t="s"/>
      <c r="J2508" t="n">
        <v>0</v>
      </c>
      <c r="K2508" t="n">
        <v>0</v>
      </c>
      <c r="L2508" t="n">
        <v>1</v>
      </c>
      <c r="M2508" t="n">
        <v>0</v>
      </c>
    </row>
    <row r="2509" spans="1:13">
      <c r="A2509" s="1">
        <f>HYPERLINK("http://www.twitter.com/NathanBLawrence/status/990598150409814017", "990598150409814017")</f>
        <v/>
      </c>
      <c r="B2509" s="2" t="n">
        <v>43219.60159722222</v>
      </c>
      <c r="C2509" t="n">
        <v>0</v>
      </c>
      <c r="D2509" t="n">
        <v>19</v>
      </c>
      <c r="E2509" t="s">
        <v>2502</v>
      </c>
      <c r="F2509">
        <f>HYPERLINK("http://pbs.twimg.com/media/Db6F5iUVAAAJ_vN.jpg", "http://pbs.twimg.com/media/Db6F5iUVAAAJ_vN.jpg")</f>
        <v/>
      </c>
      <c r="G2509" t="s"/>
      <c r="H2509" t="s"/>
      <c r="I2509" t="s"/>
      <c r="J2509" t="n">
        <v>0.8016</v>
      </c>
      <c r="K2509" t="n">
        <v>0</v>
      </c>
      <c r="L2509" t="n">
        <v>0.493</v>
      </c>
      <c r="M2509" t="n">
        <v>0.507</v>
      </c>
    </row>
    <row r="2510" spans="1:13">
      <c r="A2510" s="1">
        <f>HYPERLINK("http://www.twitter.com/NathanBLawrence/status/990598073826074625", "990598073826074625")</f>
        <v/>
      </c>
      <c r="B2510" s="2" t="n">
        <v>43219.60137731482</v>
      </c>
      <c r="C2510" t="n">
        <v>0</v>
      </c>
      <c r="D2510" t="n">
        <v>252</v>
      </c>
      <c r="E2510" t="s">
        <v>2503</v>
      </c>
      <c r="F2510" t="s"/>
      <c r="G2510" t="s"/>
      <c r="H2510" t="s"/>
      <c r="I2510" t="s"/>
      <c r="J2510" t="n">
        <v>0.3182</v>
      </c>
      <c r="K2510" t="n">
        <v>0.133</v>
      </c>
      <c r="L2510" t="n">
        <v>0.646</v>
      </c>
      <c r="M2510" t="n">
        <v>0.221</v>
      </c>
    </row>
    <row r="2511" spans="1:13">
      <c r="A2511" s="1">
        <f>HYPERLINK("http://www.twitter.com/NathanBLawrence/status/990597999750414336", "990597999750414336")</f>
        <v/>
      </c>
      <c r="B2511" s="2" t="n">
        <v>43219.60118055555</v>
      </c>
      <c r="C2511" t="n">
        <v>0</v>
      </c>
      <c r="D2511" t="n">
        <v>57</v>
      </c>
      <c r="E2511" t="s">
        <v>2504</v>
      </c>
      <c r="F2511" t="s"/>
      <c r="G2511" t="s"/>
      <c r="H2511" t="s"/>
      <c r="I2511" t="s"/>
      <c r="J2511" t="n">
        <v>-0.3753</v>
      </c>
      <c r="K2511" t="n">
        <v>0.251</v>
      </c>
      <c r="L2511" t="n">
        <v>0.593</v>
      </c>
      <c r="M2511" t="n">
        <v>0.156</v>
      </c>
    </row>
    <row r="2512" spans="1:13">
      <c r="A2512" s="1">
        <f>HYPERLINK("http://www.twitter.com/NathanBLawrence/status/990597873631989765", "990597873631989765")</f>
        <v/>
      </c>
      <c r="B2512" s="2" t="n">
        <v>43219.60083333333</v>
      </c>
      <c r="C2512" t="n">
        <v>0</v>
      </c>
      <c r="D2512" t="n">
        <v>154</v>
      </c>
      <c r="E2512" t="s">
        <v>2505</v>
      </c>
      <c r="F2512">
        <f>HYPERLINK("http://pbs.twimg.com/media/Db6x6ilX4AA3MMl.jpg", "http://pbs.twimg.com/media/Db6x6ilX4AA3MMl.jpg")</f>
        <v/>
      </c>
      <c r="G2512" t="s"/>
      <c r="H2512" t="s"/>
      <c r="I2512" t="s"/>
      <c r="J2512" t="n">
        <v>0</v>
      </c>
      <c r="K2512" t="n">
        <v>0</v>
      </c>
      <c r="L2512" t="n">
        <v>1</v>
      </c>
      <c r="M2512" t="n">
        <v>0</v>
      </c>
    </row>
    <row r="2513" spans="1:13">
      <c r="A2513" s="1">
        <f>HYPERLINK("http://www.twitter.com/NathanBLawrence/status/990596872640311297", "990596872640311297")</f>
        <v/>
      </c>
      <c r="B2513" s="2" t="n">
        <v>43219.59806712963</v>
      </c>
      <c r="C2513" t="n">
        <v>4</v>
      </c>
      <c r="D2513" t="n">
        <v>2</v>
      </c>
      <c r="E2513" t="s">
        <v>2506</v>
      </c>
      <c r="F2513" t="s"/>
      <c r="G2513" t="s"/>
      <c r="H2513" t="s"/>
      <c r="I2513" t="s"/>
      <c r="J2513" t="n">
        <v>0.4215</v>
      </c>
      <c r="K2513" t="n">
        <v>0.07199999999999999</v>
      </c>
      <c r="L2513" t="n">
        <v>0.759</v>
      </c>
      <c r="M2513" t="n">
        <v>0.169</v>
      </c>
    </row>
    <row r="2514" spans="1:13">
      <c r="A2514" s="1">
        <f>HYPERLINK("http://www.twitter.com/NathanBLawrence/status/990595642417434624", "990595642417434624")</f>
        <v/>
      </c>
      <c r="B2514" s="2" t="n">
        <v>43219.59467592592</v>
      </c>
      <c r="C2514" t="n">
        <v>0</v>
      </c>
      <c r="D2514" t="n">
        <v>174</v>
      </c>
      <c r="E2514" t="s">
        <v>2507</v>
      </c>
      <c r="F2514" t="s"/>
      <c r="G2514" t="s"/>
      <c r="H2514" t="s"/>
      <c r="I2514" t="s"/>
      <c r="J2514" t="n">
        <v>-0.7184</v>
      </c>
      <c r="K2514" t="n">
        <v>0.316</v>
      </c>
      <c r="L2514" t="n">
        <v>0.6840000000000001</v>
      </c>
      <c r="M2514" t="n">
        <v>0</v>
      </c>
    </row>
    <row r="2515" spans="1:13">
      <c r="A2515" s="1">
        <f>HYPERLINK("http://www.twitter.com/NathanBLawrence/status/990594559431323648", "990594559431323648")</f>
        <v/>
      </c>
      <c r="B2515" s="2" t="n">
        <v>43219.59167824074</v>
      </c>
      <c r="C2515" t="n">
        <v>1</v>
      </c>
      <c r="D2515" t="n">
        <v>0</v>
      </c>
      <c r="E2515" t="s">
        <v>2508</v>
      </c>
      <c r="F2515" t="s"/>
      <c r="G2515" t="s"/>
      <c r="H2515" t="s"/>
      <c r="I2515" t="s"/>
      <c r="J2515" t="n">
        <v>0.4404</v>
      </c>
      <c r="K2515" t="n">
        <v>0</v>
      </c>
      <c r="L2515" t="n">
        <v>0.828</v>
      </c>
      <c r="M2515" t="n">
        <v>0.172</v>
      </c>
    </row>
    <row r="2516" spans="1:13">
      <c r="A2516" s="1">
        <f>HYPERLINK("http://www.twitter.com/NathanBLawrence/status/990593652572422144", "990593652572422144")</f>
        <v/>
      </c>
      <c r="B2516" s="2" t="n">
        <v>43219.58917824074</v>
      </c>
      <c r="C2516" t="n">
        <v>0</v>
      </c>
      <c r="D2516" t="n">
        <v>396</v>
      </c>
      <c r="E2516" t="s">
        <v>2509</v>
      </c>
      <c r="F2516" t="s"/>
      <c r="G2516" t="s"/>
      <c r="H2516" t="s"/>
      <c r="I2516" t="s"/>
      <c r="J2516" t="n">
        <v>-0.4069</v>
      </c>
      <c r="K2516" t="n">
        <v>0.156</v>
      </c>
      <c r="L2516" t="n">
        <v>0.756</v>
      </c>
      <c r="M2516" t="n">
        <v>0.08799999999999999</v>
      </c>
    </row>
    <row r="2517" spans="1:13">
      <c r="A2517" s="1">
        <f>HYPERLINK("http://www.twitter.com/NathanBLawrence/status/990593602026983426", "990593602026983426")</f>
        <v/>
      </c>
      <c r="B2517" s="2" t="n">
        <v>43219.58903935185</v>
      </c>
      <c r="C2517" t="n">
        <v>0</v>
      </c>
      <c r="D2517" t="n">
        <v>17</v>
      </c>
      <c r="E2517" t="s">
        <v>2510</v>
      </c>
      <c r="F2517" t="s"/>
      <c r="G2517" t="s"/>
      <c r="H2517" t="s"/>
      <c r="I2517" t="s"/>
      <c r="J2517" t="n">
        <v>-0.6776</v>
      </c>
      <c r="K2517" t="n">
        <v>0.34</v>
      </c>
      <c r="L2517" t="n">
        <v>0.53</v>
      </c>
      <c r="M2517" t="n">
        <v>0.13</v>
      </c>
    </row>
    <row r="2518" spans="1:13">
      <c r="A2518" s="1">
        <f>HYPERLINK("http://www.twitter.com/NathanBLawrence/status/990593568732532736", "990593568732532736")</f>
        <v/>
      </c>
      <c r="B2518" s="2" t="n">
        <v>43219.58894675926</v>
      </c>
      <c r="C2518" t="n">
        <v>0</v>
      </c>
      <c r="D2518" t="n">
        <v>28</v>
      </c>
      <c r="E2518" t="s">
        <v>2511</v>
      </c>
      <c r="F2518">
        <f>HYPERLINK("http://pbs.twimg.com/media/Db77zvBUQAANT4l.jpg", "http://pbs.twimg.com/media/Db77zvBUQAANT4l.jpg")</f>
        <v/>
      </c>
      <c r="G2518" t="s"/>
      <c r="H2518" t="s"/>
      <c r="I2518" t="s"/>
      <c r="J2518" t="n">
        <v>0.1779</v>
      </c>
      <c r="K2518" t="n">
        <v>0</v>
      </c>
      <c r="L2518" t="n">
        <v>0.931</v>
      </c>
      <c r="M2518" t="n">
        <v>0.06900000000000001</v>
      </c>
    </row>
    <row r="2519" spans="1:13">
      <c r="A2519" s="1">
        <f>HYPERLINK("http://www.twitter.com/NathanBLawrence/status/990593478282350592", "990593478282350592")</f>
        <v/>
      </c>
      <c r="B2519" s="2" t="n">
        <v>43219.5887037037</v>
      </c>
      <c r="C2519" t="n">
        <v>0</v>
      </c>
      <c r="D2519" t="n">
        <v>17</v>
      </c>
      <c r="E2519" t="s">
        <v>2512</v>
      </c>
      <c r="F2519" t="s"/>
      <c r="G2519" t="s"/>
      <c r="H2519" t="s"/>
      <c r="I2519" t="s"/>
      <c r="J2519" t="n">
        <v>-0.7269</v>
      </c>
      <c r="K2519" t="n">
        <v>0.316</v>
      </c>
      <c r="L2519" t="n">
        <v>0.606</v>
      </c>
      <c r="M2519" t="n">
        <v>0.077</v>
      </c>
    </row>
    <row r="2520" spans="1:13">
      <c r="A2520" s="1">
        <f>HYPERLINK("http://www.twitter.com/NathanBLawrence/status/990593435106242560", "990593435106242560")</f>
        <v/>
      </c>
      <c r="B2520" s="2" t="n">
        <v>43219.58857638889</v>
      </c>
      <c r="C2520" t="n">
        <v>0</v>
      </c>
      <c r="D2520" t="n">
        <v>0</v>
      </c>
      <c r="E2520" t="s">
        <v>2513</v>
      </c>
      <c r="F2520" t="s"/>
      <c r="G2520" t="s"/>
      <c r="H2520" t="s"/>
      <c r="I2520" t="s"/>
      <c r="J2520" t="n">
        <v>0</v>
      </c>
      <c r="K2520" t="n">
        <v>0</v>
      </c>
      <c r="L2520" t="n">
        <v>1</v>
      </c>
      <c r="M2520" t="n">
        <v>0</v>
      </c>
    </row>
    <row r="2521" spans="1:13">
      <c r="A2521" s="1">
        <f>HYPERLINK("http://www.twitter.com/NathanBLawrence/status/990593241702699010", "990593241702699010")</f>
        <v/>
      </c>
      <c r="B2521" s="2" t="n">
        <v>43219.58804398148</v>
      </c>
      <c r="C2521" t="n">
        <v>0</v>
      </c>
      <c r="D2521" t="n">
        <v>26</v>
      </c>
      <c r="E2521" t="s">
        <v>2514</v>
      </c>
      <c r="F2521" t="s"/>
      <c r="G2521" t="s"/>
      <c r="H2521" t="s"/>
      <c r="I2521" t="s"/>
      <c r="J2521" t="n">
        <v>0</v>
      </c>
      <c r="K2521" t="n">
        <v>0</v>
      </c>
      <c r="L2521" t="n">
        <v>1</v>
      </c>
      <c r="M2521" t="n">
        <v>0</v>
      </c>
    </row>
    <row r="2522" spans="1:13">
      <c r="A2522" s="1">
        <f>HYPERLINK("http://www.twitter.com/NathanBLawrence/status/990593188204343297", "990593188204343297")</f>
        <v/>
      </c>
      <c r="B2522" s="2" t="n">
        <v>43219.58790509259</v>
      </c>
      <c r="C2522" t="n">
        <v>3</v>
      </c>
      <c r="D2522" t="n">
        <v>1</v>
      </c>
      <c r="E2522" t="s">
        <v>2515</v>
      </c>
      <c r="F2522" t="s"/>
      <c r="G2522" t="s"/>
      <c r="H2522" t="s"/>
      <c r="I2522" t="s"/>
      <c r="J2522" t="n">
        <v>0.3612</v>
      </c>
      <c r="K2522" t="n">
        <v>0</v>
      </c>
      <c r="L2522" t="n">
        <v>0.894</v>
      </c>
      <c r="M2522" t="n">
        <v>0.106</v>
      </c>
    </row>
    <row r="2523" spans="1:13">
      <c r="A2523" s="1">
        <f>HYPERLINK("http://www.twitter.com/NathanBLawrence/status/990592328934023168", "990592328934023168")</f>
        <v/>
      </c>
      <c r="B2523" s="2" t="n">
        <v>43219.58553240741</v>
      </c>
      <c r="C2523" t="n">
        <v>0</v>
      </c>
      <c r="D2523" t="n">
        <v>29</v>
      </c>
      <c r="E2523" t="s">
        <v>2516</v>
      </c>
      <c r="F2523" t="s"/>
      <c r="G2523" t="s"/>
      <c r="H2523" t="s"/>
      <c r="I2523" t="s"/>
      <c r="J2523" t="n">
        <v>0.3818</v>
      </c>
      <c r="K2523" t="n">
        <v>0.104</v>
      </c>
      <c r="L2523" t="n">
        <v>0.671</v>
      </c>
      <c r="M2523" t="n">
        <v>0.225</v>
      </c>
    </row>
    <row r="2524" spans="1:13">
      <c r="A2524" s="1">
        <f>HYPERLINK("http://www.twitter.com/NathanBLawrence/status/990592194477109256", "990592194477109256")</f>
        <v/>
      </c>
      <c r="B2524" s="2" t="n">
        <v>43219.58516203704</v>
      </c>
      <c r="C2524" t="n">
        <v>0</v>
      </c>
      <c r="D2524" t="n">
        <v>19</v>
      </c>
      <c r="E2524" t="s">
        <v>2517</v>
      </c>
      <c r="F2524" t="s"/>
      <c r="G2524" t="s"/>
      <c r="H2524" t="s"/>
      <c r="I2524" t="s"/>
      <c r="J2524" t="n">
        <v>-0.8001</v>
      </c>
      <c r="K2524" t="n">
        <v>0.297</v>
      </c>
      <c r="L2524" t="n">
        <v>0.703</v>
      </c>
      <c r="M2524" t="n">
        <v>0</v>
      </c>
    </row>
    <row r="2525" spans="1:13">
      <c r="A2525" s="1">
        <f>HYPERLINK("http://www.twitter.com/NathanBLawrence/status/990592151623995393", "990592151623995393")</f>
        <v/>
      </c>
      <c r="B2525" s="2" t="n">
        <v>43219.58503472222</v>
      </c>
      <c r="C2525" t="n">
        <v>0</v>
      </c>
      <c r="D2525" t="n">
        <v>374</v>
      </c>
      <c r="E2525" t="s">
        <v>2518</v>
      </c>
      <c r="F2525">
        <f>HYPERLINK("https://video.twimg.com/ext_tw_video/990579881124737024/pu/vid/1280x720/md8_s6ofNV8ucAZ9.mp4?tag=3", "https://video.twimg.com/ext_tw_video/990579881124737024/pu/vid/1280x720/md8_s6ofNV8ucAZ9.mp4?tag=3")</f>
        <v/>
      </c>
      <c r="G2525" t="s"/>
      <c r="H2525" t="s"/>
      <c r="I2525" t="s"/>
      <c r="J2525" t="n">
        <v>0.5423</v>
      </c>
      <c r="K2525" t="n">
        <v>0</v>
      </c>
      <c r="L2525" t="n">
        <v>0.72</v>
      </c>
      <c r="M2525" t="n">
        <v>0.28</v>
      </c>
    </row>
    <row r="2526" spans="1:13">
      <c r="A2526" s="1">
        <f>HYPERLINK("http://www.twitter.com/NathanBLawrence/status/990592113506123776", "990592113506123776")</f>
        <v/>
      </c>
      <c r="B2526" s="2" t="n">
        <v>43219.58493055555</v>
      </c>
      <c r="C2526" t="n">
        <v>0</v>
      </c>
      <c r="D2526" t="n">
        <v>209</v>
      </c>
      <c r="E2526" t="s">
        <v>2519</v>
      </c>
      <c r="F2526">
        <f>HYPERLINK("https://video.twimg.com/ext_tw_video/990582365658415110/pu/vid/1280x720/dowyFn2cTw-hlHKg.mp4?tag=3", "https://video.twimg.com/ext_tw_video/990582365658415110/pu/vid/1280x720/dowyFn2cTw-hlHKg.mp4?tag=3")</f>
        <v/>
      </c>
      <c r="G2526" t="s"/>
      <c r="H2526" t="s"/>
      <c r="I2526" t="s"/>
      <c r="J2526" t="n">
        <v>0.4939</v>
      </c>
      <c r="K2526" t="n">
        <v>0</v>
      </c>
      <c r="L2526" t="n">
        <v>0.789</v>
      </c>
      <c r="M2526" t="n">
        <v>0.211</v>
      </c>
    </row>
    <row r="2527" spans="1:13">
      <c r="A2527" s="1">
        <f>HYPERLINK("http://www.twitter.com/NathanBLawrence/status/990592073664552960", "990592073664552960")</f>
        <v/>
      </c>
      <c r="B2527" s="2" t="n">
        <v>43219.58482638889</v>
      </c>
      <c r="C2527" t="n">
        <v>0</v>
      </c>
      <c r="D2527" t="n">
        <v>20</v>
      </c>
      <c r="E2527" t="s">
        <v>2520</v>
      </c>
      <c r="F2527">
        <f>HYPERLINK("http://pbs.twimg.com/media/Db8sLvkVwAAv6SJ.jpg", "http://pbs.twimg.com/media/Db8sLvkVwAAv6SJ.jpg")</f>
        <v/>
      </c>
      <c r="G2527">
        <f>HYPERLINK("http://pbs.twimg.com/media/Db8sMaEVwAAOP3S.jpg", "http://pbs.twimg.com/media/Db8sMaEVwAAOP3S.jpg")</f>
        <v/>
      </c>
      <c r="H2527">
        <f>HYPERLINK("http://pbs.twimg.com/media/Db8sNCzVQAAChGv.jpg", "http://pbs.twimg.com/media/Db8sNCzVQAAChGv.jpg")</f>
        <v/>
      </c>
      <c r="I2527" t="s"/>
      <c r="J2527" t="n">
        <v>0</v>
      </c>
      <c r="K2527" t="n">
        <v>0</v>
      </c>
      <c r="L2527" t="n">
        <v>1</v>
      </c>
      <c r="M2527" t="n">
        <v>0</v>
      </c>
    </row>
    <row r="2528" spans="1:13">
      <c r="A2528" s="1">
        <f>HYPERLINK("http://www.twitter.com/NathanBLawrence/status/990592047148163073", "990592047148163073")</f>
        <v/>
      </c>
      <c r="B2528" s="2" t="n">
        <v>43219.58475694444</v>
      </c>
      <c r="C2528" t="n">
        <v>0</v>
      </c>
      <c r="D2528" t="n">
        <v>23</v>
      </c>
      <c r="E2528" t="s">
        <v>2521</v>
      </c>
      <c r="F2528" t="s"/>
      <c r="G2528" t="s"/>
      <c r="H2528" t="s"/>
      <c r="I2528" t="s"/>
      <c r="J2528" t="n">
        <v>0.6476</v>
      </c>
      <c r="K2528" t="n">
        <v>0</v>
      </c>
      <c r="L2528" t="n">
        <v>0.791</v>
      </c>
      <c r="M2528" t="n">
        <v>0.209</v>
      </c>
    </row>
    <row r="2529" spans="1:13">
      <c r="A2529" s="1">
        <f>HYPERLINK("http://www.twitter.com/NathanBLawrence/status/990592017989283844", "990592017989283844")</f>
        <v/>
      </c>
      <c r="B2529" s="2" t="n">
        <v>43219.58467592593</v>
      </c>
      <c r="C2529" t="n">
        <v>0</v>
      </c>
      <c r="D2529" t="n">
        <v>21</v>
      </c>
      <c r="E2529" t="s">
        <v>2522</v>
      </c>
      <c r="F2529">
        <f>HYPERLINK("http://pbs.twimg.com/media/Db9HwnKVQAAeDo1.jpg", "http://pbs.twimg.com/media/Db9HwnKVQAAeDo1.jpg")</f>
        <v/>
      </c>
      <c r="G2529">
        <f>HYPERLINK("http://pbs.twimg.com/media/Db9HxIXU0AAWSBC.jpg", "http://pbs.twimg.com/media/Db9HxIXU0AAWSBC.jpg")</f>
        <v/>
      </c>
      <c r="H2529">
        <f>HYPERLINK("http://pbs.twimg.com/media/Db9HxeVUwAAsuEq.jpg", "http://pbs.twimg.com/media/Db9HxeVUwAAsuEq.jpg")</f>
        <v/>
      </c>
      <c r="I2529" t="s"/>
      <c r="J2529" t="n">
        <v>0</v>
      </c>
      <c r="K2529" t="n">
        <v>0</v>
      </c>
      <c r="L2529" t="n">
        <v>1</v>
      </c>
      <c r="M2529" t="n">
        <v>0</v>
      </c>
    </row>
    <row r="2530" spans="1:13">
      <c r="A2530" s="1">
        <f>HYPERLINK("http://www.twitter.com/NathanBLawrence/status/990591990306885639", "990591990306885639")</f>
        <v/>
      </c>
      <c r="B2530" s="2" t="n">
        <v>43219.58459490741</v>
      </c>
      <c r="C2530" t="n">
        <v>0</v>
      </c>
      <c r="D2530" t="n">
        <v>59</v>
      </c>
      <c r="E2530" t="s">
        <v>2523</v>
      </c>
      <c r="F2530">
        <f>HYPERLINK("http://pbs.twimg.com/media/Db9JQosX4AA4T8k.jpg", "http://pbs.twimg.com/media/Db9JQosX4AA4T8k.jpg")</f>
        <v/>
      </c>
      <c r="G2530">
        <f>HYPERLINK("http://pbs.twimg.com/media/Db9JRqlXkAAR2Iv.jpg", "http://pbs.twimg.com/media/Db9JRqlXkAAR2Iv.jpg")</f>
        <v/>
      </c>
      <c r="H2530">
        <f>HYPERLINK("http://pbs.twimg.com/media/Db9JSCuW4AA-HiE.jpg", "http://pbs.twimg.com/media/Db9JSCuW4AA-HiE.jpg")</f>
        <v/>
      </c>
      <c r="I2530" t="s"/>
      <c r="J2530" t="n">
        <v>0</v>
      </c>
      <c r="K2530" t="n">
        <v>0</v>
      </c>
      <c r="L2530" t="n">
        <v>1</v>
      </c>
      <c r="M2530" t="n">
        <v>0</v>
      </c>
    </row>
    <row r="2531" spans="1:13">
      <c r="A2531" s="1">
        <f>HYPERLINK("http://www.twitter.com/NathanBLawrence/status/990590381728391168", "990590381728391168")</f>
        <v/>
      </c>
      <c r="B2531" s="2" t="n">
        <v>43219.58015046296</v>
      </c>
      <c r="C2531" t="n">
        <v>56</v>
      </c>
      <c r="D2531" t="n">
        <v>47</v>
      </c>
      <c r="E2531" t="s">
        <v>2524</v>
      </c>
      <c r="F2531">
        <f>HYPERLINK("http://pbs.twimg.com/media/Db9IsqhVQAEANgf.jpg", "http://pbs.twimg.com/media/Db9IsqhVQAEANgf.jpg")</f>
        <v/>
      </c>
      <c r="G2531" t="s"/>
      <c r="H2531" t="s"/>
      <c r="I2531" t="s"/>
      <c r="J2531" t="n">
        <v>0</v>
      </c>
      <c r="K2531" t="n">
        <v>0</v>
      </c>
      <c r="L2531" t="n">
        <v>1</v>
      </c>
      <c r="M2531" t="n">
        <v>0</v>
      </c>
    </row>
    <row r="2532" spans="1:13">
      <c r="A2532" s="1">
        <f>HYPERLINK("http://www.twitter.com/NathanBLawrence/status/990590367761420295", "990590367761420295")</f>
        <v/>
      </c>
      <c r="B2532" s="2" t="n">
        <v>43219.58011574074</v>
      </c>
      <c r="C2532" t="n">
        <v>89</v>
      </c>
      <c r="D2532" t="n">
        <v>65</v>
      </c>
      <c r="E2532" t="s">
        <v>2525</v>
      </c>
      <c r="F2532">
        <f>HYPERLINK("https://video.twimg.com/ext_tw_video/990590281983582208/pu/vid/318x180/FSu3ET0GNePnaVjZ.mp4?tag=3", "https://video.twimg.com/ext_tw_video/990590281983582208/pu/vid/318x180/FSu3ET0GNePnaVjZ.mp4?tag=3")</f>
        <v/>
      </c>
      <c r="G2532" t="s"/>
      <c r="H2532" t="s"/>
      <c r="I2532" t="s"/>
      <c r="J2532" t="n">
        <v>0</v>
      </c>
      <c r="K2532" t="n">
        <v>0</v>
      </c>
      <c r="L2532" t="n">
        <v>1</v>
      </c>
      <c r="M2532" t="n">
        <v>0</v>
      </c>
    </row>
    <row r="2533" spans="1:13">
      <c r="A2533" s="1">
        <f>HYPERLINK("http://www.twitter.com/NathanBLawrence/status/990584708672249862", "990584708672249862")</f>
        <v/>
      </c>
      <c r="B2533" s="2" t="n">
        <v>43219.56450231482</v>
      </c>
      <c r="C2533" t="n">
        <v>1</v>
      </c>
      <c r="D2533" t="n">
        <v>0</v>
      </c>
      <c r="E2533" t="s">
        <v>2526</v>
      </c>
      <c r="F2533" t="s"/>
      <c r="G2533" t="s"/>
      <c r="H2533" t="s"/>
      <c r="I2533" t="s"/>
      <c r="J2533" t="n">
        <v>-0.296</v>
      </c>
      <c r="K2533" t="n">
        <v>0.095</v>
      </c>
      <c r="L2533" t="n">
        <v>0.905</v>
      </c>
      <c r="M2533" t="n">
        <v>0</v>
      </c>
    </row>
    <row r="2534" spans="1:13">
      <c r="A2534" s="1">
        <f>HYPERLINK("http://www.twitter.com/NathanBLawrence/status/990581661472608261", "990581661472608261")</f>
        <v/>
      </c>
      <c r="B2534" s="2" t="n">
        <v>43219.55608796296</v>
      </c>
      <c r="C2534" t="n">
        <v>36</v>
      </c>
      <c r="D2534" t="n">
        <v>28</v>
      </c>
      <c r="E2534" t="s">
        <v>2527</v>
      </c>
      <c r="F2534">
        <f>HYPERLINK("http://pbs.twimg.com/media/Db9Aw6mVwAEZUND.jpg", "http://pbs.twimg.com/media/Db9Aw6mVwAEZUND.jpg")</f>
        <v/>
      </c>
      <c r="G2534" t="s"/>
      <c r="H2534" t="s"/>
      <c r="I2534" t="s"/>
      <c r="J2534" t="n">
        <v>-0.4767</v>
      </c>
      <c r="K2534" t="n">
        <v>0.118</v>
      </c>
      <c r="L2534" t="n">
        <v>0.839</v>
      </c>
      <c r="M2534" t="n">
        <v>0.043</v>
      </c>
    </row>
    <row r="2535" spans="1:13">
      <c r="A2535" s="1">
        <f>HYPERLINK("http://www.twitter.com/NathanBLawrence/status/990579372817076225", "990579372817076225")</f>
        <v/>
      </c>
      <c r="B2535" s="2" t="n">
        <v>43219.5497800926</v>
      </c>
      <c r="C2535" t="n">
        <v>0</v>
      </c>
      <c r="D2535" t="n">
        <v>4</v>
      </c>
      <c r="E2535" t="s">
        <v>2528</v>
      </c>
      <c r="F2535" t="s"/>
      <c r="G2535" t="s"/>
      <c r="H2535" t="s"/>
      <c r="I2535" t="s"/>
      <c r="J2535" t="n">
        <v>0</v>
      </c>
      <c r="K2535" t="n">
        <v>0</v>
      </c>
      <c r="L2535" t="n">
        <v>1</v>
      </c>
      <c r="M2535" t="n">
        <v>0</v>
      </c>
    </row>
    <row r="2536" spans="1:13">
      <c r="A2536" s="1">
        <f>HYPERLINK("http://www.twitter.com/NathanBLawrence/status/990579213521555461", "990579213521555461")</f>
        <v/>
      </c>
      <c r="B2536" s="2" t="n">
        <v>43219.54934027778</v>
      </c>
      <c r="C2536" t="n">
        <v>3</v>
      </c>
      <c r="D2536" t="n">
        <v>1</v>
      </c>
      <c r="E2536" t="s">
        <v>2529</v>
      </c>
      <c r="F2536" t="s"/>
      <c r="G2536" t="s"/>
      <c r="H2536" t="s"/>
      <c r="I2536" t="s"/>
      <c r="J2536" t="n">
        <v>-0.296</v>
      </c>
      <c r="K2536" t="n">
        <v>0.081</v>
      </c>
      <c r="L2536" t="n">
        <v>0.919</v>
      </c>
      <c r="M2536" t="n">
        <v>0</v>
      </c>
    </row>
    <row r="2537" spans="1:13">
      <c r="A2537" s="1">
        <f>HYPERLINK("http://www.twitter.com/NathanBLawrence/status/990578489748348928", "990578489748348928")</f>
        <v/>
      </c>
      <c r="B2537" s="2" t="n">
        <v>43219.54733796296</v>
      </c>
      <c r="C2537" t="n">
        <v>5</v>
      </c>
      <c r="D2537" t="n">
        <v>0</v>
      </c>
      <c r="E2537" t="s">
        <v>2530</v>
      </c>
      <c r="F2537" t="s"/>
      <c r="G2537" t="s"/>
      <c r="H2537" t="s"/>
      <c r="I2537" t="s"/>
      <c r="J2537" t="n">
        <v>0.4404</v>
      </c>
      <c r="K2537" t="n">
        <v>0</v>
      </c>
      <c r="L2537" t="n">
        <v>0.879</v>
      </c>
      <c r="M2537" t="n">
        <v>0.121</v>
      </c>
    </row>
    <row r="2538" spans="1:13">
      <c r="A2538" s="1">
        <f>HYPERLINK("http://www.twitter.com/NathanBLawrence/status/990578430889644034", "990578430889644034")</f>
        <v/>
      </c>
      <c r="B2538" s="2" t="n">
        <v>43219.54717592592</v>
      </c>
      <c r="C2538" t="n">
        <v>0</v>
      </c>
      <c r="D2538" t="n">
        <v>129</v>
      </c>
      <c r="E2538" t="s">
        <v>2531</v>
      </c>
      <c r="F2538" t="s"/>
      <c r="G2538" t="s"/>
      <c r="H2538" t="s"/>
      <c r="I2538" t="s"/>
      <c r="J2538" t="n">
        <v>0</v>
      </c>
      <c r="K2538" t="n">
        <v>0</v>
      </c>
      <c r="L2538" t="n">
        <v>1</v>
      </c>
      <c r="M2538" t="n">
        <v>0</v>
      </c>
    </row>
    <row r="2539" spans="1:13">
      <c r="A2539" s="1">
        <f>HYPERLINK("http://www.twitter.com/NathanBLawrence/status/990578075569094661", "990578075569094661")</f>
        <v/>
      </c>
      <c r="B2539" s="2" t="n">
        <v>43219.54619212963</v>
      </c>
      <c r="C2539" t="n">
        <v>0</v>
      </c>
      <c r="D2539" t="n">
        <v>145</v>
      </c>
      <c r="E2539" t="s">
        <v>2532</v>
      </c>
      <c r="F2539" t="s"/>
      <c r="G2539" t="s"/>
      <c r="H2539" t="s"/>
      <c r="I2539" t="s"/>
      <c r="J2539" t="n">
        <v>0.6588000000000001</v>
      </c>
      <c r="K2539" t="n">
        <v>0</v>
      </c>
      <c r="L2539" t="n">
        <v>0.8120000000000001</v>
      </c>
      <c r="M2539" t="n">
        <v>0.188</v>
      </c>
    </row>
    <row r="2540" spans="1:13">
      <c r="A2540" s="1">
        <f>HYPERLINK("http://www.twitter.com/NathanBLawrence/status/990577810396930053", "990577810396930053")</f>
        <v/>
      </c>
      <c r="B2540" s="2" t="n">
        <v>43219.54546296296</v>
      </c>
      <c r="C2540" t="n">
        <v>0</v>
      </c>
      <c r="D2540" t="n">
        <v>289</v>
      </c>
      <c r="E2540" t="s">
        <v>2533</v>
      </c>
      <c r="F2540">
        <f>HYPERLINK("http://pbs.twimg.com/media/DWkZNoOW4AI2vYf.jpg", "http://pbs.twimg.com/media/DWkZNoOW4AI2vYf.jpg")</f>
        <v/>
      </c>
      <c r="G2540" t="s"/>
      <c r="H2540" t="s"/>
      <c r="I2540" t="s"/>
      <c r="J2540" t="n">
        <v>0.6899999999999999</v>
      </c>
      <c r="K2540" t="n">
        <v>0</v>
      </c>
      <c r="L2540" t="n">
        <v>0.749</v>
      </c>
      <c r="M2540" t="n">
        <v>0.251</v>
      </c>
    </row>
    <row r="2541" spans="1:13">
      <c r="A2541" s="1">
        <f>HYPERLINK("http://www.twitter.com/NathanBLawrence/status/990577773621268485", "990577773621268485")</f>
        <v/>
      </c>
      <c r="B2541" s="2" t="n">
        <v>43219.5453587963</v>
      </c>
      <c r="C2541" t="n">
        <v>1</v>
      </c>
      <c r="D2541" t="n">
        <v>0</v>
      </c>
      <c r="E2541" t="s">
        <v>2534</v>
      </c>
      <c r="F2541" t="s"/>
      <c r="G2541" t="s"/>
      <c r="H2541" t="s"/>
      <c r="I2541" t="s"/>
      <c r="J2541" t="n">
        <v>0.4404</v>
      </c>
      <c r="K2541" t="n">
        <v>0</v>
      </c>
      <c r="L2541" t="n">
        <v>0.674</v>
      </c>
      <c r="M2541" t="n">
        <v>0.326</v>
      </c>
    </row>
    <row r="2542" spans="1:13">
      <c r="A2542" s="1">
        <f>HYPERLINK("http://www.twitter.com/NathanBLawrence/status/990577567223746561", "990577567223746561")</f>
        <v/>
      </c>
      <c r="B2542" s="2" t="n">
        <v>43219.54479166667</v>
      </c>
      <c r="C2542" t="n">
        <v>0</v>
      </c>
      <c r="D2542" t="n">
        <v>56</v>
      </c>
      <c r="E2542" t="s">
        <v>2535</v>
      </c>
      <c r="F2542" t="s"/>
      <c r="G2542" t="s"/>
      <c r="H2542" t="s"/>
      <c r="I2542" t="s"/>
      <c r="J2542" t="n">
        <v>0.8908</v>
      </c>
      <c r="K2542" t="n">
        <v>0</v>
      </c>
      <c r="L2542" t="n">
        <v>0.665</v>
      </c>
      <c r="M2542" t="n">
        <v>0.335</v>
      </c>
    </row>
    <row r="2543" spans="1:13">
      <c r="A2543" s="1">
        <f>HYPERLINK("http://www.twitter.com/NathanBLawrence/status/990577538496901120", "990577538496901120")</f>
        <v/>
      </c>
      <c r="B2543" s="2" t="n">
        <v>43219.54471064815</v>
      </c>
      <c r="C2543" t="n">
        <v>0</v>
      </c>
      <c r="D2543" t="n">
        <v>130</v>
      </c>
      <c r="E2543" t="s">
        <v>2536</v>
      </c>
      <c r="F2543" t="s"/>
      <c r="G2543" t="s"/>
      <c r="H2543" t="s"/>
      <c r="I2543" t="s"/>
      <c r="J2543" t="n">
        <v>0</v>
      </c>
      <c r="K2543" t="n">
        <v>0</v>
      </c>
      <c r="L2543" t="n">
        <v>1</v>
      </c>
      <c r="M2543" t="n">
        <v>0</v>
      </c>
    </row>
    <row r="2544" spans="1:13">
      <c r="A2544" s="1">
        <f>HYPERLINK("http://www.twitter.com/NathanBLawrence/status/990577235756187649", "990577235756187649")</f>
        <v/>
      </c>
      <c r="B2544" s="2" t="n">
        <v>43219.54387731481</v>
      </c>
      <c r="C2544" t="n">
        <v>1</v>
      </c>
      <c r="D2544" t="n">
        <v>0</v>
      </c>
      <c r="E2544" t="s">
        <v>2537</v>
      </c>
      <c r="F2544" t="s"/>
      <c r="G2544" t="s"/>
      <c r="H2544" t="s"/>
      <c r="I2544" t="s"/>
      <c r="J2544" t="n">
        <v>0</v>
      </c>
      <c r="K2544" t="n">
        <v>0</v>
      </c>
      <c r="L2544" t="n">
        <v>1</v>
      </c>
      <c r="M2544" t="n">
        <v>0</v>
      </c>
    </row>
    <row r="2545" spans="1:13">
      <c r="A2545" s="1">
        <f>HYPERLINK("http://www.twitter.com/NathanBLawrence/status/990577166378250241", "990577166378250241")</f>
        <v/>
      </c>
      <c r="B2545" s="2" t="n">
        <v>43219.54369212963</v>
      </c>
      <c r="C2545" t="n">
        <v>0</v>
      </c>
      <c r="D2545" t="n">
        <v>134</v>
      </c>
      <c r="E2545" t="s">
        <v>2538</v>
      </c>
      <c r="F2545" t="s"/>
      <c r="G2545" t="s"/>
      <c r="H2545" t="s"/>
      <c r="I2545" t="s"/>
      <c r="J2545" t="n">
        <v>0</v>
      </c>
      <c r="K2545" t="n">
        <v>0</v>
      </c>
      <c r="L2545" t="n">
        <v>1</v>
      </c>
      <c r="M2545" t="n">
        <v>0</v>
      </c>
    </row>
    <row r="2546" spans="1:13">
      <c r="A2546" s="1">
        <f>HYPERLINK("http://www.twitter.com/NathanBLawrence/status/990576919950319618", "990576919950319618")</f>
        <v/>
      </c>
      <c r="B2546" s="2" t="n">
        <v>43219.54300925926</v>
      </c>
      <c r="C2546" t="n">
        <v>0</v>
      </c>
      <c r="D2546" t="n">
        <v>0</v>
      </c>
      <c r="E2546" t="s">
        <v>2539</v>
      </c>
      <c r="F2546" t="s"/>
      <c r="G2546" t="s"/>
      <c r="H2546" t="s"/>
      <c r="I2546" t="s"/>
      <c r="J2546" t="n">
        <v>0.2023</v>
      </c>
      <c r="K2546" t="n">
        <v>0</v>
      </c>
      <c r="L2546" t="n">
        <v>0.6899999999999999</v>
      </c>
      <c r="M2546" t="n">
        <v>0.31</v>
      </c>
    </row>
    <row r="2547" spans="1:13">
      <c r="A2547" s="1">
        <f>HYPERLINK("http://www.twitter.com/NathanBLawrence/status/990570781976473600", "990570781976473600")</f>
        <v/>
      </c>
      <c r="B2547" s="2" t="n">
        <v>43219.52606481482</v>
      </c>
      <c r="C2547" t="n">
        <v>0</v>
      </c>
      <c r="D2547" t="n">
        <v>14</v>
      </c>
      <c r="E2547" t="s">
        <v>2540</v>
      </c>
      <c r="F2547">
        <f>HYPERLINK("http://pbs.twimg.com/media/Db81g8pVQAAquPk.jpg", "http://pbs.twimg.com/media/Db81g8pVQAAquPk.jpg")</f>
        <v/>
      </c>
      <c r="G2547" t="s"/>
      <c r="H2547" t="s"/>
      <c r="I2547" t="s"/>
      <c r="J2547" t="n">
        <v>0</v>
      </c>
      <c r="K2547" t="n">
        <v>0</v>
      </c>
      <c r="L2547" t="n">
        <v>1</v>
      </c>
      <c r="M2547" t="n">
        <v>0</v>
      </c>
    </row>
    <row r="2548" spans="1:13">
      <c r="A2548" s="1">
        <f>HYPERLINK("http://www.twitter.com/NathanBLawrence/status/990570761076314116", "990570761076314116")</f>
        <v/>
      </c>
      <c r="B2548" s="2" t="n">
        <v>43219.52601851852</v>
      </c>
      <c r="C2548" t="n">
        <v>0</v>
      </c>
      <c r="D2548" t="n">
        <v>28</v>
      </c>
      <c r="E2548" t="s">
        <v>2541</v>
      </c>
      <c r="F2548">
        <f>HYPERLINK("http://pbs.twimg.com/media/Db8y_BtUQAMTBNO.jpg", "http://pbs.twimg.com/media/Db8y_BtUQAMTBNO.jpg")</f>
        <v/>
      </c>
      <c r="G2548" t="s"/>
      <c r="H2548" t="s"/>
      <c r="I2548" t="s"/>
      <c r="J2548" t="n">
        <v>0.8176</v>
      </c>
      <c r="K2548" t="n">
        <v>0</v>
      </c>
      <c r="L2548" t="n">
        <v>0.541</v>
      </c>
      <c r="M2548" t="n">
        <v>0.459</v>
      </c>
    </row>
    <row r="2549" spans="1:13">
      <c r="A2549" s="1">
        <f>HYPERLINK("http://www.twitter.com/NathanBLawrence/status/990570749218914304", "990570749218914304")</f>
        <v/>
      </c>
      <c r="B2549" s="2" t="n">
        <v>43219.52598379629</v>
      </c>
      <c r="C2549" t="n">
        <v>0</v>
      </c>
      <c r="D2549" t="n">
        <v>18</v>
      </c>
      <c r="E2549" t="s">
        <v>2542</v>
      </c>
      <c r="F2549">
        <f>HYPERLINK("http://pbs.twimg.com/media/Db8ydNwUwAUj8O-.jpg", "http://pbs.twimg.com/media/Db8ydNwUwAUj8O-.jpg")</f>
        <v/>
      </c>
      <c r="G2549" t="s"/>
      <c r="H2549" t="s"/>
      <c r="I2549" t="s"/>
      <c r="J2549" t="n">
        <v>0</v>
      </c>
      <c r="K2549" t="n">
        <v>0</v>
      </c>
      <c r="L2549" t="n">
        <v>1</v>
      </c>
      <c r="M2549" t="n">
        <v>0</v>
      </c>
    </row>
    <row r="2550" spans="1:13">
      <c r="A2550" s="1">
        <f>HYPERLINK("http://www.twitter.com/NathanBLawrence/status/990570736078254081", "990570736078254081")</f>
        <v/>
      </c>
      <c r="B2550" s="2" t="n">
        <v>43219.52594907407</v>
      </c>
      <c r="C2550" t="n">
        <v>0</v>
      </c>
      <c r="D2550" t="n">
        <v>38</v>
      </c>
      <c r="E2550" t="s">
        <v>2543</v>
      </c>
      <c r="F2550">
        <f>HYPERLINK("http://pbs.twimg.com/media/Db8yKvxU0AA3Ewt.jpg", "http://pbs.twimg.com/media/Db8yKvxU0AA3Ewt.jpg")</f>
        <v/>
      </c>
      <c r="G2550" t="s"/>
      <c r="H2550" t="s"/>
      <c r="I2550" t="s"/>
      <c r="J2550" t="n">
        <v>0</v>
      </c>
      <c r="K2550" t="n">
        <v>0</v>
      </c>
      <c r="L2550" t="n">
        <v>1</v>
      </c>
      <c r="M2550" t="n">
        <v>0</v>
      </c>
    </row>
    <row r="2551" spans="1:13">
      <c r="A2551" s="1">
        <f>HYPERLINK("http://www.twitter.com/NathanBLawrence/status/990570723130396672", "990570723130396672")</f>
        <v/>
      </c>
      <c r="B2551" s="2" t="n">
        <v>43219.52590277778</v>
      </c>
      <c r="C2551" t="n">
        <v>0</v>
      </c>
      <c r="D2551" t="n">
        <v>14</v>
      </c>
      <c r="E2551" t="s">
        <v>2544</v>
      </c>
      <c r="F2551">
        <f>HYPERLINK("http://pbs.twimg.com/media/Db8xvp0V0AAeNRL.jpg", "http://pbs.twimg.com/media/Db8xvp0V0AAeNRL.jpg")</f>
        <v/>
      </c>
      <c r="G2551" t="s"/>
      <c r="H2551" t="s"/>
      <c r="I2551" t="s"/>
      <c r="J2551" t="n">
        <v>0.4995</v>
      </c>
      <c r="K2551" t="n">
        <v>0</v>
      </c>
      <c r="L2551" t="n">
        <v>0.773</v>
      </c>
      <c r="M2551" t="n">
        <v>0.227</v>
      </c>
    </row>
    <row r="2552" spans="1:13">
      <c r="A2552" s="1">
        <f>HYPERLINK("http://www.twitter.com/NathanBLawrence/status/990570706961420288", "990570706961420288")</f>
        <v/>
      </c>
      <c r="B2552" s="2" t="n">
        <v>43219.52586805556</v>
      </c>
      <c r="C2552" t="n">
        <v>0</v>
      </c>
      <c r="D2552" t="n">
        <v>20</v>
      </c>
      <c r="E2552" t="s">
        <v>2545</v>
      </c>
      <c r="F2552">
        <f>HYPERLINK("http://pbs.twimg.com/media/Db8xdwWUwAAE9if.jpg", "http://pbs.twimg.com/media/Db8xdwWUwAAE9if.jpg")</f>
        <v/>
      </c>
      <c r="G2552" t="s"/>
      <c r="H2552" t="s"/>
      <c r="I2552" t="s"/>
      <c r="J2552" t="n">
        <v>0</v>
      </c>
      <c r="K2552" t="n">
        <v>0</v>
      </c>
      <c r="L2552" t="n">
        <v>1</v>
      </c>
      <c r="M2552" t="n">
        <v>0</v>
      </c>
    </row>
    <row r="2553" spans="1:13">
      <c r="A2553" s="1">
        <f>HYPERLINK("http://www.twitter.com/NathanBLawrence/status/990570662296276992", "990570662296276992")</f>
        <v/>
      </c>
      <c r="B2553" s="2" t="n">
        <v>43219.52574074074</v>
      </c>
      <c r="C2553" t="n">
        <v>0</v>
      </c>
      <c r="D2553" t="n">
        <v>23</v>
      </c>
      <c r="E2553" t="s">
        <v>2546</v>
      </c>
      <c r="F2553">
        <f>HYPERLINK("http://pbs.twimg.com/media/Db8xP3yUQAAURuw.jpg", "http://pbs.twimg.com/media/Db8xP3yUQAAURuw.jpg")</f>
        <v/>
      </c>
      <c r="G2553" t="s"/>
      <c r="H2553" t="s"/>
      <c r="I2553" t="s"/>
      <c r="J2553" t="n">
        <v>0.4995</v>
      </c>
      <c r="K2553" t="n">
        <v>0</v>
      </c>
      <c r="L2553" t="n">
        <v>0.788</v>
      </c>
      <c r="M2553" t="n">
        <v>0.212</v>
      </c>
    </row>
    <row r="2554" spans="1:13">
      <c r="A2554" s="1">
        <f>HYPERLINK("http://www.twitter.com/NathanBLawrence/status/990570657032400896", "990570657032400896")</f>
        <v/>
      </c>
      <c r="B2554" s="2" t="n">
        <v>43219.52572916666</v>
      </c>
      <c r="C2554" t="n">
        <v>0</v>
      </c>
      <c r="D2554" t="n">
        <v>89</v>
      </c>
      <c r="E2554" t="s">
        <v>2547</v>
      </c>
      <c r="F2554">
        <f>HYPERLINK("http://pbs.twimg.com/media/Db8w2riV0AEEKze.jpg", "http://pbs.twimg.com/media/Db8w2riV0AEEKze.jpg")</f>
        <v/>
      </c>
      <c r="G2554" t="s"/>
      <c r="H2554" t="s"/>
      <c r="I2554" t="s"/>
      <c r="J2554" t="n">
        <v>0</v>
      </c>
      <c r="K2554" t="n">
        <v>0</v>
      </c>
      <c r="L2554" t="n">
        <v>1</v>
      </c>
      <c r="M2554" t="n">
        <v>0</v>
      </c>
    </row>
    <row r="2555" spans="1:13">
      <c r="A2555" s="1">
        <f>HYPERLINK("http://www.twitter.com/NathanBLawrence/status/990548462591774720", "990548462591774720")</f>
        <v/>
      </c>
      <c r="B2555" s="2" t="n">
        <v>43219.46447916667</v>
      </c>
      <c r="C2555" t="n">
        <v>0</v>
      </c>
      <c r="D2555" t="n">
        <v>20</v>
      </c>
      <c r="E2555" t="s">
        <v>2548</v>
      </c>
      <c r="F2555">
        <f>HYPERLINK("http://pbs.twimg.com/media/Db8fECHW4AA1VbM.jpg", "http://pbs.twimg.com/media/Db8fECHW4AA1VbM.jpg")</f>
        <v/>
      </c>
      <c r="G2555" t="s"/>
      <c r="H2555" t="s"/>
      <c r="I2555" t="s"/>
      <c r="J2555" t="n">
        <v>0</v>
      </c>
      <c r="K2555" t="n">
        <v>0</v>
      </c>
      <c r="L2555" t="n">
        <v>1</v>
      </c>
      <c r="M2555" t="n">
        <v>0</v>
      </c>
    </row>
    <row r="2556" spans="1:13">
      <c r="A2556" s="1">
        <f>HYPERLINK("http://www.twitter.com/NathanBLawrence/status/990548386288939008", "990548386288939008")</f>
        <v/>
      </c>
      <c r="B2556" s="2" t="n">
        <v>43219.46427083333</v>
      </c>
      <c r="C2556" t="n">
        <v>0</v>
      </c>
      <c r="D2556" t="n">
        <v>5</v>
      </c>
      <c r="E2556" t="s">
        <v>2549</v>
      </c>
      <c r="F2556" t="s"/>
      <c r="G2556" t="s"/>
      <c r="H2556" t="s"/>
      <c r="I2556" t="s"/>
      <c r="J2556" t="n">
        <v>0</v>
      </c>
      <c r="K2556" t="n">
        <v>0</v>
      </c>
      <c r="L2556" t="n">
        <v>1</v>
      </c>
      <c r="M2556" t="n">
        <v>0</v>
      </c>
    </row>
    <row r="2557" spans="1:13">
      <c r="A2557" s="1">
        <f>HYPERLINK("http://www.twitter.com/NathanBLawrence/status/990522384854716416", "990522384854716416")</f>
        <v/>
      </c>
      <c r="B2557" s="2" t="n">
        <v>43219.39252314815</v>
      </c>
      <c r="C2557" t="n">
        <v>7</v>
      </c>
      <c r="D2557" t="n">
        <v>1</v>
      </c>
      <c r="E2557" t="s">
        <v>2550</v>
      </c>
      <c r="F2557" t="s"/>
      <c r="G2557" t="s"/>
      <c r="H2557" t="s"/>
      <c r="I2557" t="s"/>
      <c r="J2557" t="n">
        <v>0.7906</v>
      </c>
      <c r="K2557" t="n">
        <v>0</v>
      </c>
      <c r="L2557" t="n">
        <v>0.767</v>
      </c>
      <c r="M2557" t="n">
        <v>0.233</v>
      </c>
    </row>
    <row r="2558" spans="1:13">
      <c r="A2558" s="1">
        <f>HYPERLINK("http://www.twitter.com/NathanBLawrence/status/990474936639770624", "990474936639770624")</f>
        <v/>
      </c>
      <c r="B2558" s="2" t="n">
        <v>43219.26158564815</v>
      </c>
      <c r="C2558" t="n">
        <v>2</v>
      </c>
      <c r="D2558" t="n">
        <v>0</v>
      </c>
      <c r="E2558" t="s">
        <v>2551</v>
      </c>
      <c r="F2558" t="s"/>
      <c r="G2558" t="s"/>
      <c r="H2558" t="s"/>
      <c r="I2558" t="s"/>
      <c r="J2558" t="n">
        <v>0</v>
      </c>
      <c r="K2558" t="n">
        <v>0</v>
      </c>
      <c r="L2558" t="n">
        <v>1</v>
      </c>
      <c r="M2558" t="n">
        <v>0</v>
      </c>
    </row>
    <row r="2559" spans="1:13">
      <c r="A2559" s="1">
        <f>HYPERLINK("http://www.twitter.com/NathanBLawrence/status/990474685795184642", "990474685795184642")</f>
        <v/>
      </c>
      <c r="B2559" s="2" t="n">
        <v>43219.2608912037</v>
      </c>
      <c r="C2559" t="n">
        <v>0</v>
      </c>
      <c r="D2559" t="n">
        <v>1756</v>
      </c>
      <c r="E2559" t="s">
        <v>2552</v>
      </c>
      <c r="F2559" t="s"/>
      <c r="G2559" t="s"/>
      <c r="H2559" t="s"/>
      <c r="I2559" t="s"/>
      <c r="J2559" t="n">
        <v>0.2246</v>
      </c>
      <c r="K2559" t="n">
        <v>0.08699999999999999</v>
      </c>
      <c r="L2559" t="n">
        <v>0.789</v>
      </c>
      <c r="M2559" t="n">
        <v>0.124</v>
      </c>
    </row>
    <row r="2560" spans="1:13">
      <c r="A2560" s="1">
        <f>HYPERLINK("http://www.twitter.com/NathanBLawrence/status/990473964593008640", "990473964593008640")</f>
        <v/>
      </c>
      <c r="B2560" s="2" t="n">
        <v>43219.25890046296</v>
      </c>
      <c r="C2560" t="n">
        <v>0</v>
      </c>
      <c r="D2560" t="n">
        <v>1081</v>
      </c>
      <c r="E2560" t="s">
        <v>2553</v>
      </c>
      <c r="F2560">
        <f>HYPERLINK("http://pbs.twimg.com/media/Db7emkdX0AEqpTm.jpg", "http://pbs.twimg.com/media/Db7emkdX0AEqpTm.jpg")</f>
        <v/>
      </c>
      <c r="G2560" t="s"/>
      <c r="H2560" t="s"/>
      <c r="I2560" t="s"/>
      <c r="J2560" t="n">
        <v>-0.3818</v>
      </c>
      <c r="K2560" t="n">
        <v>0.154</v>
      </c>
      <c r="L2560" t="n">
        <v>0.752</v>
      </c>
      <c r="M2560" t="n">
        <v>0.094</v>
      </c>
    </row>
    <row r="2561" spans="1:13">
      <c r="A2561" s="1">
        <f>HYPERLINK("http://www.twitter.com/NathanBLawrence/status/990473750213812226", "990473750213812226")</f>
        <v/>
      </c>
      <c r="B2561" s="2" t="n">
        <v>43219.25831018519</v>
      </c>
      <c r="C2561" t="n">
        <v>0</v>
      </c>
      <c r="D2561" t="n">
        <v>60</v>
      </c>
      <c r="E2561" t="s">
        <v>2554</v>
      </c>
      <c r="F2561" t="s"/>
      <c r="G2561" t="s"/>
      <c r="H2561" t="s"/>
      <c r="I2561" t="s"/>
      <c r="J2561" t="n">
        <v>0.5994</v>
      </c>
      <c r="K2561" t="n">
        <v>0</v>
      </c>
      <c r="L2561" t="n">
        <v>0.698</v>
      </c>
      <c r="M2561" t="n">
        <v>0.302</v>
      </c>
    </row>
    <row r="2562" spans="1:13">
      <c r="A2562" s="1">
        <f>HYPERLINK("http://www.twitter.com/NathanBLawrence/status/990473695905943554", "990473695905943554")</f>
        <v/>
      </c>
      <c r="B2562" s="2" t="n">
        <v>43219.25815972222</v>
      </c>
      <c r="C2562" t="n">
        <v>0</v>
      </c>
      <c r="D2562" t="n">
        <v>12</v>
      </c>
      <c r="E2562" t="s">
        <v>2555</v>
      </c>
      <c r="F2562" t="s"/>
      <c r="G2562" t="s"/>
      <c r="H2562" t="s"/>
      <c r="I2562" t="s"/>
      <c r="J2562" t="n">
        <v>0.5707</v>
      </c>
      <c r="K2562" t="n">
        <v>0</v>
      </c>
      <c r="L2562" t="n">
        <v>0.837</v>
      </c>
      <c r="M2562" t="n">
        <v>0.163</v>
      </c>
    </row>
    <row r="2563" spans="1:13">
      <c r="A2563" s="1">
        <f>HYPERLINK("http://www.twitter.com/NathanBLawrence/status/990473388262125569", "990473388262125569")</f>
        <v/>
      </c>
      <c r="B2563" s="2" t="n">
        <v>43219.25731481481</v>
      </c>
      <c r="C2563" t="n">
        <v>0</v>
      </c>
      <c r="D2563" t="n">
        <v>12</v>
      </c>
      <c r="E2563" t="s">
        <v>2556</v>
      </c>
      <c r="F2563" t="s"/>
      <c r="G2563" t="s"/>
      <c r="H2563" t="s"/>
      <c r="I2563" t="s"/>
      <c r="J2563" t="n">
        <v>0</v>
      </c>
      <c r="K2563" t="n">
        <v>0</v>
      </c>
      <c r="L2563" t="n">
        <v>1</v>
      </c>
      <c r="M2563" t="n">
        <v>0</v>
      </c>
    </row>
    <row r="2564" spans="1:13">
      <c r="A2564" s="1">
        <f>HYPERLINK("http://www.twitter.com/NathanBLawrence/status/990473323581722624", "990473323581722624")</f>
        <v/>
      </c>
      <c r="B2564" s="2" t="n">
        <v>43219.25714120371</v>
      </c>
      <c r="C2564" t="n">
        <v>0</v>
      </c>
      <c r="D2564" t="n">
        <v>7</v>
      </c>
      <c r="E2564" t="s">
        <v>2557</v>
      </c>
      <c r="F2564" t="s"/>
      <c r="G2564" t="s"/>
      <c r="H2564" t="s"/>
      <c r="I2564" t="s"/>
      <c r="J2564" t="n">
        <v>0.4926</v>
      </c>
      <c r="K2564" t="n">
        <v>0</v>
      </c>
      <c r="L2564" t="n">
        <v>0.834</v>
      </c>
      <c r="M2564" t="n">
        <v>0.166</v>
      </c>
    </row>
    <row r="2565" spans="1:13">
      <c r="A2565" s="1">
        <f>HYPERLINK("http://www.twitter.com/NathanBLawrence/status/990472925433270272", "990472925433270272")</f>
        <v/>
      </c>
      <c r="B2565" s="2" t="n">
        <v>43219.25604166667</v>
      </c>
      <c r="C2565" t="n">
        <v>0</v>
      </c>
      <c r="D2565" t="n">
        <v>1</v>
      </c>
      <c r="E2565" t="s">
        <v>2558</v>
      </c>
      <c r="F2565" t="s"/>
      <c r="G2565" t="s"/>
      <c r="H2565" t="s"/>
      <c r="I2565" t="s"/>
      <c r="J2565" t="n">
        <v>0.3612</v>
      </c>
      <c r="K2565" t="n">
        <v>0</v>
      </c>
      <c r="L2565" t="n">
        <v>0.878</v>
      </c>
      <c r="M2565" t="n">
        <v>0.122</v>
      </c>
    </row>
    <row r="2566" spans="1:13">
      <c r="A2566" s="1">
        <f>HYPERLINK("http://www.twitter.com/NathanBLawrence/status/990472453477535744", "990472453477535744")</f>
        <v/>
      </c>
      <c r="B2566" s="2" t="n">
        <v>43219.2547337963</v>
      </c>
      <c r="C2566" t="n">
        <v>3</v>
      </c>
      <c r="D2566" t="n">
        <v>0</v>
      </c>
      <c r="E2566" t="s">
        <v>2559</v>
      </c>
      <c r="F2566" t="s"/>
      <c r="G2566" t="s"/>
      <c r="H2566" t="s"/>
      <c r="I2566" t="s"/>
      <c r="J2566" t="n">
        <v>0.3612</v>
      </c>
      <c r="K2566" t="n">
        <v>0</v>
      </c>
      <c r="L2566" t="n">
        <v>0.615</v>
      </c>
      <c r="M2566" t="n">
        <v>0.385</v>
      </c>
    </row>
    <row r="2567" spans="1:13">
      <c r="A2567" s="1">
        <f>HYPERLINK("http://www.twitter.com/NathanBLawrence/status/990472234492923904", "990472234492923904")</f>
        <v/>
      </c>
      <c r="B2567" s="2" t="n">
        <v>43219.25413194444</v>
      </c>
      <c r="C2567" t="n">
        <v>3</v>
      </c>
      <c r="D2567" t="n">
        <v>0</v>
      </c>
      <c r="E2567" t="s">
        <v>2560</v>
      </c>
      <c r="F2567" t="s"/>
      <c r="G2567" t="s"/>
      <c r="H2567" t="s"/>
      <c r="I2567" t="s"/>
      <c r="J2567" t="n">
        <v>0.8232</v>
      </c>
      <c r="K2567" t="n">
        <v>0</v>
      </c>
      <c r="L2567" t="n">
        <v>0.83</v>
      </c>
      <c r="M2567" t="n">
        <v>0.17</v>
      </c>
    </row>
    <row r="2568" spans="1:13">
      <c r="A2568" s="1">
        <f>HYPERLINK("http://www.twitter.com/NathanBLawrence/status/990467876254633985", "990467876254633985")</f>
        <v/>
      </c>
      <c r="B2568" s="2" t="n">
        <v>43219.24210648148</v>
      </c>
      <c r="C2568" t="n">
        <v>0</v>
      </c>
      <c r="D2568" t="n">
        <v>10915</v>
      </c>
      <c r="E2568" t="s">
        <v>2561</v>
      </c>
      <c r="F2568" t="s"/>
      <c r="G2568" t="s"/>
      <c r="H2568" t="s"/>
      <c r="I2568" t="s"/>
      <c r="J2568" t="n">
        <v>0.7579</v>
      </c>
      <c r="K2568" t="n">
        <v>0</v>
      </c>
      <c r="L2568" t="n">
        <v>0.698</v>
      </c>
      <c r="M2568" t="n">
        <v>0.302</v>
      </c>
    </row>
    <row r="2569" spans="1:13">
      <c r="A2569" s="1">
        <f>HYPERLINK("http://www.twitter.com/NathanBLawrence/status/990467703562493953", "990467703562493953")</f>
        <v/>
      </c>
      <c r="B2569" s="2" t="n">
        <v>43219.24163194445</v>
      </c>
      <c r="C2569" t="n">
        <v>1</v>
      </c>
      <c r="D2569" t="n">
        <v>0</v>
      </c>
      <c r="E2569" t="s">
        <v>2562</v>
      </c>
      <c r="F2569">
        <f>HYPERLINK("http://pbs.twimg.com/media/Db7ZHyOUQAEyjza.jpg", "http://pbs.twimg.com/media/Db7ZHyOUQAEyjza.jpg")</f>
        <v/>
      </c>
      <c r="G2569" t="s"/>
      <c r="H2569" t="s"/>
      <c r="I2569" t="s"/>
      <c r="J2569" t="n">
        <v>0.4404</v>
      </c>
      <c r="K2569" t="n">
        <v>0</v>
      </c>
      <c r="L2569" t="n">
        <v>0.707</v>
      </c>
      <c r="M2569" t="n">
        <v>0.293</v>
      </c>
    </row>
    <row r="2570" spans="1:13">
      <c r="A2570" s="1">
        <f>HYPERLINK("http://www.twitter.com/NathanBLawrence/status/990466905449299968", "990466905449299968")</f>
        <v/>
      </c>
      <c r="B2570" s="2" t="n">
        <v>43219.2394212963</v>
      </c>
      <c r="C2570" t="n">
        <v>0</v>
      </c>
      <c r="D2570" t="n">
        <v>7</v>
      </c>
      <c r="E2570" t="s">
        <v>2563</v>
      </c>
      <c r="F2570" t="s"/>
      <c r="G2570" t="s"/>
      <c r="H2570" t="s"/>
      <c r="I2570" t="s"/>
      <c r="J2570" t="n">
        <v>0.3412</v>
      </c>
      <c r="K2570" t="n">
        <v>0</v>
      </c>
      <c r="L2570" t="n">
        <v>0.876</v>
      </c>
      <c r="M2570" t="n">
        <v>0.124</v>
      </c>
    </row>
    <row r="2571" spans="1:13">
      <c r="A2571" s="1">
        <f>HYPERLINK("http://www.twitter.com/NathanBLawrence/status/990466613588774912", "990466613588774912")</f>
        <v/>
      </c>
      <c r="B2571" s="2" t="n">
        <v>43219.23862268519</v>
      </c>
      <c r="C2571" t="n">
        <v>0</v>
      </c>
      <c r="D2571" t="n">
        <v>28</v>
      </c>
      <c r="E2571" t="s">
        <v>2564</v>
      </c>
      <c r="F2571" t="s"/>
      <c r="G2571" t="s"/>
      <c r="H2571" t="s"/>
      <c r="I2571" t="s"/>
      <c r="J2571" t="n">
        <v>0.2924</v>
      </c>
      <c r="K2571" t="n">
        <v>0.074</v>
      </c>
      <c r="L2571" t="n">
        <v>0.8100000000000001</v>
      </c>
      <c r="M2571" t="n">
        <v>0.116</v>
      </c>
    </row>
    <row r="2572" spans="1:13">
      <c r="A2572" s="1">
        <f>HYPERLINK("http://www.twitter.com/NathanBLawrence/status/990466508999585793", "990466508999585793")</f>
        <v/>
      </c>
      <c r="B2572" s="2" t="n">
        <v>43219.23833333333</v>
      </c>
      <c r="C2572" t="n">
        <v>0</v>
      </c>
      <c r="D2572" t="n">
        <v>7964</v>
      </c>
      <c r="E2572" t="s">
        <v>2565</v>
      </c>
      <c r="F2572" t="s"/>
      <c r="G2572" t="s"/>
      <c r="H2572" t="s"/>
      <c r="I2572" t="s"/>
      <c r="J2572" t="n">
        <v>0.3612</v>
      </c>
      <c r="K2572" t="n">
        <v>0</v>
      </c>
      <c r="L2572" t="n">
        <v>0.898</v>
      </c>
      <c r="M2572" t="n">
        <v>0.102</v>
      </c>
    </row>
    <row r="2573" spans="1:13">
      <c r="A2573" s="1">
        <f>HYPERLINK("http://www.twitter.com/NathanBLawrence/status/990465399258001408", "990465399258001408")</f>
        <v/>
      </c>
      <c r="B2573" s="2" t="n">
        <v>43219.2352662037</v>
      </c>
      <c r="C2573" t="n">
        <v>5</v>
      </c>
      <c r="D2573" t="n">
        <v>4</v>
      </c>
      <c r="E2573" t="s">
        <v>2566</v>
      </c>
      <c r="F2573" t="s"/>
      <c r="G2573" t="s"/>
      <c r="H2573" t="s"/>
      <c r="I2573" t="s"/>
      <c r="J2573" t="n">
        <v>-0.4588</v>
      </c>
      <c r="K2573" t="n">
        <v>0.188</v>
      </c>
      <c r="L2573" t="n">
        <v>0.8120000000000001</v>
      </c>
      <c r="M2573" t="n">
        <v>0</v>
      </c>
    </row>
    <row r="2574" spans="1:13">
      <c r="A2574" s="1">
        <f>HYPERLINK("http://www.twitter.com/NathanBLawrence/status/990465003600965632", "990465003600965632")</f>
        <v/>
      </c>
      <c r="B2574" s="2" t="n">
        <v>43219.23417824074</v>
      </c>
      <c r="C2574" t="n">
        <v>0</v>
      </c>
      <c r="D2574" t="n">
        <v>317</v>
      </c>
      <c r="E2574" t="s">
        <v>2567</v>
      </c>
      <c r="F2574">
        <f>HYPERLINK("http://pbs.twimg.com/media/Db7WZDDUQAEsA1P.jpg", "http://pbs.twimg.com/media/Db7WZDDUQAEsA1P.jpg")</f>
        <v/>
      </c>
      <c r="G2574" t="s"/>
      <c r="H2574" t="s"/>
      <c r="I2574" t="s"/>
      <c r="J2574" t="n">
        <v>0.5574</v>
      </c>
      <c r="K2574" t="n">
        <v>0</v>
      </c>
      <c r="L2574" t="n">
        <v>0.854</v>
      </c>
      <c r="M2574" t="n">
        <v>0.146</v>
      </c>
    </row>
    <row r="2575" spans="1:13">
      <c r="A2575" s="1">
        <f>HYPERLINK("http://www.twitter.com/NathanBLawrence/status/990464674880741377", "990464674880741377")</f>
        <v/>
      </c>
      <c r="B2575" s="2" t="n">
        <v>43219.23327546296</v>
      </c>
      <c r="C2575" t="n">
        <v>3</v>
      </c>
      <c r="D2575" t="n">
        <v>1</v>
      </c>
      <c r="E2575" t="s">
        <v>2568</v>
      </c>
      <c r="F2575">
        <f>HYPERLINK("http://pbs.twimg.com/media/Db7WXyYW0AAikcg.jpg", "http://pbs.twimg.com/media/Db7WXyYW0AAikcg.jpg")</f>
        <v/>
      </c>
      <c r="G2575" t="s"/>
      <c r="H2575" t="s"/>
      <c r="I2575" t="s"/>
      <c r="J2575" t="n">
        <v>0</v>
      </c>
      <c r="K2575" t="n">
        <v>0</v>
      </c>
      <c r="L2575" t="n">
        <v>1</v>
      </c>
      <c r="M2575" t="n">
        <v>0</v>
      </c>
    </row>
    <row r="2576" spans="1:13">
      <c r="A2576" s="1">
        <f>HYPERLINK("http://www.twitter.com/NathanBLawrence/status/990462474305654784", "990462474305654784")</f>
        <v/>
      </c>
      <c r="B2576" s="2" t="n">
        <v>43219.22719907408</v>
      </c>
      <c r="C2576" t="n">
        <v>9</v>
      </c>
      <c r="D2576" t="n">
        <v>3</v>
      </c>
      <c r="E2576" t="s">
        <v>2569</v>
      </c>
      <c r="F2576" t="s"/>
      <c r="G2576" t="s"/>
      <c r="H2576" t="s"/>
      <c r="I2576" t="s"/>
      <c r="J2576" t="n">
        <v>0.3384</v>
      </c>
      <c r="K2576" t="n">
        <v>0</v>
      </c>
      <c r="L2576" t="n">
        <v>0.854</v>
      </c>
      <c r="M2576" t="n">
        <v>0.146</v>
      </c>
    </row>
    <row r="2577" spans="1:13">
      <c r="A2577" s="1">
        <f>HYPERLINK("http://www.twitter.com/NathanBLawrence/status/990462126505512960", "990462126505512960")</f>
        <v/>
      </c>
      <c r="B2577" s="2" t="n">
        <v>43219.22623842592</v>
      </c>
      <c r="C2577" t="n">
        <v>0</v>
      </c>
      <c r="D2577" t="n">
        <v>7707</v>
      </c>
      <c r="E2577" t="s">
        <v>2570</v>
      </c>
      <c r="F2577" t="s"/>
      <c r="G2577" t="s"/>
      <c r="H2577" t="s"/>
      <c r="I2577" t="s"/>
      <c r="J2577" t="n">
        <v>-0.7506</v>
      </c>
      <c r="K2577" t="n">
        <v>0.234</v>
      </c>
      <c r="L2577" t="n">
        <v>0.766</v>
      </c>
      <c r="M2577" t="n">
        <v>0</v>
      </c>
    </row>
    <row r="2578" spans="1:13">
      <c r="A2578" s="1">
        <f>HYPERLINK("http://www.twitter.com/NathanBLawrence/status/990462010163892229", "990462010163892229")</f>
        <v/>
      </c>
      <c r="B2578" s="2" t="n">
        <v>43219.22591435185</v>
      </c>
      <c r="C2578" t="n">
        <v>0</v>
      </c>
      <c r="D2578" t="n">
        <v>1</v>
      </c>
      <c r="E2578" t="s">
        <v>2571</v>
      </c>
      <c r="F2578" t="s"/>
      <c r="G2578" t="s"/>
      <c r="H2578" t="s"/>
      <c r="I2578" t="s"/>
      <c r="J2578" t="n">
        <v>-0.25</v>
      </c>
      <c r="K2578" t="n">
        <v>0.159</v>
      </c>
      <c r="L2578" t="n">
        <v>0.727</v>
      </c>
      <c r="M2578" t="n">
        <v>0.114</v>
      </c>
    </row>
    <row r="2579" spans="1:13">
      <c r="A2579" s="1">
        <f>HYPERLINK("http://www.twitter.com/NathanBLawrence/status/990460880772128768", "990460880772128768")</f>
        <v/>
      </c>
      <c r="B2579" s="2" t="n">
        <v>43219.22280092593</v>
      </c>
      <c r="C2579" t="n">
        <v>0</v>
      </c>
      <c r="D2579" t="n">
        <v>10</v>
      </c>
      <c r="E2579" t="s">
        <v>2572</v>
      </c>
      <c r="F2579" t="s"/>
      <c r="G2579" t="s"/>
      <c r="H2579" t="s"/>
      <c r="I2579" t="s"/>
      <c r="J2579" t="n">
        <v>-0.9167999999999999</v>
      </c>
      <c r="K2579" t="n">
        <v>0.386</v>
      </c>
      <c r="L2579" t="n">
        <v>0.579</v>
      </c>
      <c r="M2579" t="n">
        <v>0.036</v>
      </c>
    </row>
    <row r="2580" spans="1:13">
      <c r="A2580" s="1">
        <f>HYPERLINK("http://www.twitter.com/NathanBLawrence/status/990451328085385216", "990451328085385216")</f>
        <v/>
      </c>
      <c r="B2580" s="2" t="n">
        <v>43219.19643518519</v>
      </c>
      <c r="C2580" t="n">
        <v>0</v>
      </c>
      <c r="D2580" t="n">
        <v>5</v>
      </c>
      <c r="E2580" t="s">
        <v>2573</v>
      </c>
      <c r="F2580" t="s"/>
      <c r="G2580" t="s"/>
      <c r="H2580" t="s"/>
      <c r="I2580" t="s"/>
      <c r="J2580" t="n">
        <v>0.6909</v>
      </c>
      <c r="K2580" t="n">
        <v>0</v>
      </c>
      <c r="L2580" t="n">
        <v>0.749</v>
      </c>
      <c r="M2580" t="n">
        <v>0.251</v>
      </c>
    </row>
    <row r="2581" spans="1:13">
      <c r="A2581" s="1">
        <f>HYPERLINK("http://www.twitter.com/NathanBLawrence/status/990451242286673920", "990451242286673920")</f>
        <v/>
      </c>
      <c r="B2581" s="2" t="n">
        <v>43219.1962037037</v>
      </c>
      <c r="C2581" t="n">
        <v>3</v>
      </c>
      <c r="D2581" t="n">
        <v>1</v>
      </c>
      <c r="E2581" t="s">
        <v>2574</v>
      </c>
      <c r="F2581" t="s"/>
      <c r="G2581" t="s"/>
      <c r="H2581" t="s"/>
      <c r="I2581" t="s"/>
      <c r="J2581" t="n">
        <v>-0.4949</v>
      </c>
      <c r="K2581" t="n">
        <v>0.208</v>
      </c>
      <c r="L2581" t="n">
        <v>0.792</v>
      </c>
      <c r="M2581" t="n">
        <v>0</v>
      </c>
    </row>
    <row r="2582" spans="1:13">
      <c r="A2582" s="1">
        <f>HYPERLINK("http://www.twitter.com/NathanBLawrence/status/990450893941346305", "990450893941346305")</f>
        <v/>
      </c>
      <c r="B2582" s="2" t="n">
        <v>43219.19524305555</v>
      </c>
      <c r="C2582" t="n">
        <v>0</v>
      </c>
      <c r="D2582" t="n">
        <v>7734</v>
      </c>
      <c r="E2582" t="s">
        <v>2575</v>
      </c>
      <c r="F2582" t="s"/>
      <c r="G2582" t="s"/>
      <c r="H2582" t="s"/>
      <c r="I2582" t="s"/>
      <c r="J2582" t="n">
        <v>-0.4019</v>
      </c>
      <c r="K2582" t="n">
        <v>0.119</v>
      </c>
      <c r="L2582" t="n">
        <v>0.881</v>
      </c>
      <c r="M2582" t="n">
        <v>0</v>
      </c>
    </row>
    <row r="2583" spans="1:13">
      <c r="A2583" s="1">
        <f>HYPERLINK("http://www.twitter.com/NathanBLawrence/status/990450812122955777", "990450812122955777")</f>
        <v/>
      </c>
      <c r="B2583" s="2" t="n">
        <v>43219.19501157408</v>
      </c>
      <c r="C2583" t="n">
        <v>0</v>
      </c>
      <c r="D2583" t="n">
        <v>5553</v>
      </c>
      <c r="E2583" t="s">
        <v>2576</v>
      </c>
      <c r="F2583" t="s"/>
      <c r="G2583" t="s"/>
      <c r="H2583" t="s"/>
      <c r="I2583" t="s"/>
      <c r="J2583" t="n">
        <v>-0.5867</v>
      </c>
      <c r="K2583" t="n">
        <v>0.231</v>
      </c>
      <c r="L2583" t="n">
        <v>0.674</v>
      </c>
      <c r="M2583" t="n">
        <v>0.096</v>
      </c>
    </row>
    <row r="2584" spans="1:13">
      <c r="A2584" s="1">
        <f>HYPERLINK("http://www.twitter.com/NathanBLawrence/status/990426624159092736", "990426624159092736")</f>
        <v/>
      </c>
      <c r="B2584" s="2" t="n">
        <v>43219.12827546296</v>
      </c>
      <c r="C2584" t="n">
        <v>2</v>
      </c>
      <c r="D2584" t="n">
        <v>0</v>
      </c>
      <c r="E2584" t="s">
        <v>2577</v>
      </c>
      <c r="F2584" t="s"/>
      <c r="G2584" t="s"/>
      <c r="H2584" t="s"/>
      <c r="I2584" t="s"/>
      <c r="J2584" t="n">
        <v>0</v>
      </c>
      <c r="K2584" t="n">
        <v>0</v>
      </c>
      <c r="L2584" t="n">
        <v>1</v>
      </c>
      <c r="M2584" t="n">
        <v>0</v>
      </c>
    </row>
    <row r="2585" spans="1:13">
      <c r="A2585" s="1">
        <f>HYPERLINK("http://www.twitter.com/NathanBLawrence/status/990426404734078976", "990426404734078976")</f>
        <v/>
      </c>
      <c r="B2585" s="2" t="n">
        <v>43219.12766203703</v>
      </c>
      <c r="C2585" t="n">
        <v>0</v>
      </c>
      <c r="D2585" t="n">
        <v>0</v>
      </c>
      <c r="E2585" t="s">
        <v>2578</v>
      </c>
      <c r="F2585" t="s"/>
      <c r="G2585" t="s"/>
      <c r="H2585" t="s"/>
      <c r="I2585" t="s"/>
      <c r="J2585" t="n">
        <v>0.4404</v>
      </c>
      <c r="K2585" t="n">
        <v>0</v>
      </c>
      <c r="L2585" t="n">
        <v>0.707</v>
      </c>
      <c r="M2585" t="n">
        <v>0.293</v>
      </c>
    </row>
    <row r="2586" spans="1:13">
      <c r="A2586" s="1">
        <f>HYPERLINK("http://www.twitter.com/NathanBLawrence/status/990426049824649216", "990426049824649216")</f>
        <v/>
      </c>
      <c r="B2586" s="2" t="n">
        <v>43219.12668981482</v>
      </c>
      <c r="C2586" t="n">
        <v>0</v>
      </c>
      <c r="D2586" t="n">
        <v>987</v>
      </c>
      <c r="E2586" t="s">
        <v>2579</v>
      </c>
      <c r="F2586" t="s"/>
      <c r="G2586" t="s"/>
      <c r="H2586" t="s"/>
      <c r="I2586" t="s"/>
      <c r="J2586" t="n">
        <v>0</v>
      </c>
      <c r="K2586" t="n">
        <v>0</v>
      </c>
      <c r="L2586" t="n">
        <v>1</v>
      </c>
      <c r="M2586" t="n">
        <v>0</v>
      </c>
    </row>
    <row r="2587" spans="1:13">
      <c r="A2587" s="1">
        <f>HYPERLINK("http://www.twitter.com/NathanBLawrence/status/990425871965151232", "990425871965151232")</f>
        <v/>
      </c>
      <c r="B2587" s="2" t="n">
        <v>43219.12619212963</v>
      </c>
      <c r="C2587" t="n">
        <v>3</v>
      </c>
      <c r="D2587" t="n">
        <v>0</v>
      </c>
      <c r="E2587" t="s">
        <v>2580</v>
      </c>
      <c r="F2587" t="s"/>
      <c r="G2587" t="s"/>
      <c r="H2587" t="s"/>
      <c r="I2587" t="s"/>
      <c r="J2587" t="n">
        <v>0.4019</v>
      </c>
      <c r="K2587" t="n">
        <v>0</v>
      </c>
      <c r="L2587" t="n">
        <v>0.597</v>
      </c>
      <c r="M2587" t="n">
        <v>0.403</v>
      </c>
    </row>
    <row r="2588" spans="1:13">
      <c r="A2588" s="1">
        <f>HYPERLINK("http://www.twitter.com/NathanBLawrence/status/990425777849229318", "990425777849229318")</f>
        <v/>
      </c>
      <c r="B2588" s="2" t="n">
        <v>43219.1259375</v>
      </c>
      <c r="C2588" t="n">
        <v>0</v>
      </c>
      <c r="D2588" t="n">
        <v>256</v>
      </c>
      <c r="E2588" t="s">
        <v>2581</v>
      </c>
      <c r="F2588" t="s"/>
      <c r="G2588" t="s"/>
      <c r="H2588" t="s"/>
      <c r="I2588" t="s"/>
      <c r="J2588" t="n">
        <v>0.871</v>
      </c>
      <c r="K2588" t="n">
        <v>0</v>
      </c>
      <c r="L2588" t="n">
        <v>0.658</v>
      </c>
      <c r="M2588" t="n">
        <v>0.342</v>
      </c>
    </row>
    <row r="2589" spans="1:13">
      <c r="A2589" s="1">
        <f>HYPERLINK("http://www.twitter.com/NathanBLawrence/status/990425719326068736", "990425719326068736")</f>
        <v/>
      </c>
      <c r="B2589" s="2" t="n">
        <v>43219.12577546296</v>
      </c>
      <c r="C2589" t="n">
        <v>0</v>
      </c>
      <c r="D2589" t="n">
        <v>27</v>
      </c>
      <c r="E2589" t="s">
        <v>2582</v>
      </c>
      <c r="F2589" t="s"/>
      <c r="G2589" t="s"/>
      <c r="H2589" t="s"/>
      <c r="I2589" t="s"/>
      <c r="J2589" t="n">
        <v>0.6249</v>
      </c>
      <c r="K2589" t="n">
        <v>0</v>
      </c>
      <c r="L2589" t="n">
        <v>0.728</v>
      </c>
      <c r="M2589" t="n">
        <v>0.272</v>
      </c>
    </row>
    <row r="2590" spans="1:13">
      <c r="A2590" s="1">
        <f>HYPERLINK("http://www.twitter.com/NathanBLawrence/status/990412419968176128", "990412419968176128")</f>
        <v/>
      </c>
      <c r="B2590" s="2" t="n">
        <v>43219.08907407407</v>
      </c>
      <c r="C2590" t="n">
        <v>8</v>
      </c>
      <c r="D2590" t="n">
        <v>6</v>
      </c>
      <c r="E2590" t="s">
        <v>2583</v>
      </c>
      <c r="F2590" t="s"/>
      <c r="G2590" t="s"/>
      <c r="H2590" t="s"/>
      <c r="I2590" t="s"/>
      <c r="J2590" t="n">
        <v>0.891</v>
      </c>
      <c r="K2590" t="n">
        <v>0.089</v>
      </c>
      <c r="L2590" t="n">
        <v>0.623</v>
      </c>
      <c r="M2590" t="n">
        <v>0.289</v>
      </c>
    </row>
    <row r="2591" spans="1:13">
      <c r="A2591" s="1">
        <f>HYPERLINK("http://www.twitter.com/NathanBLawrence/status/990411588669771776", "990411588669771776")</f>
        <v/>
      </c>
      <c r="B2591" s="2" t="n">
        <v>43219.08678240741</v>
      </c>
      <c r="C2591" t="n">
        <v>0</v>
      </c>
      <c r="D2591" t="n">
        <v>3717</v>
      </c>
      <c r="E2591" t="s">
        <v>2584</v>
      </c>
      <c r="F2591" t="s"/>
      <c r="G2591" t="s"/>
      <c r="H2591" t="s"/>
      <c r="I2591" t="s"/>
      <c r="J2591" t="n">
        <v>-0.5719</v>
      </c>
      <c r="K2591" t="n">
        <v>0.176</v>
      </c>
      <c r="L2591" t="n">
        <v>0.824</v>
      </c>
      <c r="M2591" t="n">
        <v>0</v>
      </c>
    </row>
    <row r="2592" spans="1:13">
      <c r="A2592" s="1">
        <f>HYPERLINK("http://www.twitter.com/NathanBLawrence/status/990398531339980800", "990398531339980800")</f>
        <v/>
      </c>
      <c r="B2592" s="2" t="n">
        <v>43219.05075231481</v>
      </c>
      <c r="C2592" t="n">
        <v>9</v>
      </c>
      <c r="D2592" t="n">
        <v>1</v>
      </c>
      <c r="E2592" t="s">
        <v>2585</v>
      </c>
      <c r="F2592" t="s"/>
      <c r="G2592" t="s"/>
      <c r="H2592" t="s"/>
      <c r="I2592" t="s"/>
      <c r="J2592" t="n">
        <v>0</v>
      </c>
      <c r="K2592" t="n">
        <v>0</v>
      </c>
      <c r="L2592" t="n">
        <v>1</v>
      </c>
      <c r="M2592" t="n">
        <v>0</v>
      </c>
    </row>
    <row r="2593" spans="1:13">
      <c r="A2593" s="1">
        <f>HYPERLINK("http://www.twitter.com/NathanBLawrence/status/990398472951140355", "990398472951140355")</f>
        <v/>
      </c>
      <c r="B2593" s="2" t="n">
        <v>43219.05059027778</v>
      </c>
      <c r="C2593" t="n">
        <v>0</v>
      </c>
      <c r="D2593" t="n">
        <v>3398</v>
      </c>
      <c r="E2593" t="s">
        <v>2586</v>
      </c>
      <c r="F2593">
        <f>HYPERLINK("http://pbs.twimg.com/media/Db4NygVU8AA1Go7.jpg", "http://pbs.twimg.com/media/Db4NygVU8AA1Go7.jpg")</f>
        <v/>
      </c>
      <c r="G2593" t="s"/>
      <c r="H2593" t="s"/>
      <c r="I2593" t="s"/>
      <c r="J2593" t="n">
        <v>0.3612</v>
      </c>
      <c r="K2593" t="n">
        <v>0.104</v>
      </c>
      <c r="L2593" t="n">
        <v>0.734</v>
      </c>
      <c r="M2593" t="n">
        <v>0.162</v>
      </c>
    </row>
    <row r="2594" spans="1:13">
      <c r="A2594" s="1">
        <f>HYPERLINK("http://www.twitter.com/NathanBLawrence/status/990397441974456320", "990397441974456320")</f>
        <v/>
      </c>
      <c r="B2594" s="2" t="n">
        <v>43219.04774305555</v>
      </c>
      <c r="C2594" t="n">
        <v>0</v>
      </c>
      <c r="D2594" t="n">
        <v>8</v>
      </c>
      <c r="E2594" t="s">
        <v>2587</v>
      </c>
      <c r="F2594">
        <f>HYPERLINK("http://pbs.twimg.com/media/Db6QfQpX0AA45c3.jpg", "http://pbs.twimg.com/media/Db6QfQpX0AA45c3.jpg")</f>
        <v/>
      </c>
      <c r="G2594">
        <f>HYPERLINK("http://pbs.twimg.com/media/Db6QfoWWAAEi4z2.jpg", "http://pbs.twimg.com/media/Db6QfoWWAAEi4z2.jpg")</f>
        <v/>
      </c>
      <c r="H2594" t="s"/>
      <c r="I2594" t="s"/>
      <c r="J2594" t="n">
        <v>0</v>
      </c>
      <c r="K2594" t="n">
        <v>0</v>
      </c>
      <c r="L2594" t="n">
        <v>1</v>
      </c>
      <c r="M2594" t="n">
        <v>0</v>
      </c>
    </row>
    <row r="2595" spans="1:13">
      <c r="A2595" s="1">
        <f>HYPERLINK("http://www.twitter.com/NathanBLawrence/status/990397244120674305", "990397244120674305")</f>
        <v/>
      </c>
      <c r="B2595" s="2" t="n">
        <v>43219.04719907408</v>
      </c>
      <c r="C2595" t="n">
        <v>0</v>
      </c>
      <c r="D2595" t="n">
        <v>3</v>
      </c>
      <c r="E2595" t="s">
        <v>2588</v>
      </c>
      <c r="F2595" t="s"/>
      <c r="G2595" t="s"/>
      <c r="H2595" t="s"/>
      <c r="I2595" t="s"/>
      <c r="J2595" t="n">
        <v>0</v>
      </c>
      <c r="K2595" t="n">
        <v>0</v>
      </c>
      <c r="L2595" t="n">
        <v>1</v>
      </c>
      <c r="M2595" t="n">
        <v>0</v>
      </c>
    </row>
    <row r="2596" spans="1:13">
      <c r="A2596" s="1">
        <f>HYPERLINK("http://www.twitter.com/NathanBLawrence/status/990396826418368513", "990396826418368513")</f>
        <v/>
      </c>
      <c r="B2596" s="2" t="n">
        <v>43219.04604166667</v>
      </c>
      <c r="C2596" t="n">
        <v>4</v>
      </c>
      <c r="D2596" t="n">
        <v>2</v>
      </c>
      <c r="E2596" t="s">
        <v>2589</v>
      </c>
      <c r="F2596" t="s"/>
      <c r="G2596" t="s"/>
      <c r="H2596" t="s"/>
      <c r="I2596" t="s"/>
      <c r="J2596" t="n">
        <v>0</v>
      </c>
      <c r="K2596" t="n">
        <v>0</v>
      </c>
      <c r="L2596" t="n">
        <v>1</v>
      </c>
      <c r="M2596" t="n">
        <v>0</v>
      </c>
    </row>
    <row r="2597" spans="1:13">
      <c r="A2597" s="1">
        <f>HYPERLINK("http://www.twitter.com/NathanBLawrence/status/990374167718621184", "990374167718621184")</f>
        <v/>
      </c>
      <c r="B2597" s="2" t="n">
        <v>43218.98351851852</v>
      </c>
      <c r="C2597" t="n">
        <v>0</v>
      </c>
      <c r="D2597" t="n">
        <v>142</v>
      </c>
      <c r="E2597" t="s">
        <v>2590</v>
      </c>
      <c r="F2597" t="s"/>
      <c r="G2597" t="s"/>
      <c r="H2597" t="s"/>
      <c r="I2597" t="s"/>
      <c r="J2597" t="n">
        <v>-0.8401999999999999</v>
      </c>
      <c r="K2597" t="n">
        <v>0.286</v>
      </c>
      <c r="L2597" t="n">
        <v>0.714</v>
      </c>
      <c r="M2597" t="n">
        <v>0</v>
      </c>
    </row>
    <row r="2598" spans="1:13">
      <c r="A2598" s="1">
        <f>HYPERLINK("http://www.twitter.com/NathanBLawrence/status/990354178672349184", "990354178672349184")</f>
        <v/>
      </c>
      <c r="B2598" s="2" t="n">
        <v>43218.92835648148</v>
      </c>
      <c r="C2598" t="n">
        <v>0</v>
      </c>
      <c r="D2598" t="n">
        <v>67</v>
      </c>
      <c r="E2598" t="s">
        <v>2591</v>
      </c>
      <c r="F2598">
        <f>HYPERLINK("http://pbs.twimg.com/media/Db5thDdVQAAdjR4.jpg", "http://pbs.twimg.com/media/Db5thDdVQAAdjR4.jpg")</f>
        <v/>
      </c>
      <c r="G2598">
        <f>HYPERLINK("http://pbs.twimg.com/media/Db5thDgVMAAUm6v.jpg", "http://pbs.twimg.com/media/Db5thDgVMAAUm6v.jpg")</f>
        <v/>
      </c>
      <c r="H2598">
        <f>HYPERLINK("http://pbs.twimg.com/media/Db5thDfU8AA_VEE.jpg", "http://pbs.twimg.com/media/Db5thDfU8AA_VEE.jpg")</f>
        <v/>
      </c>
      <c r="I2598">
        <f>HYPERLINK("http://pbs.twimg.com/media/Db5thDfV4AArRv6.jpg", "http://pbs.twimg.com/media/Db5thDfV4AArRv6.jpg")</f>
        <v/>
      </c>
      <c r="J2598" t="n">
        <v>0.7723</v>
      </c>
      <c r="K2598" t="n">
        <v>0</v>
      </c>
      <c r="L2598" t="n">
        <v>0.584</v>
      </c>
      <c r="M2598" t="n">
        <v>0.416</v>
      </c>
    </row>
    <row r="2599" spans="1:13">
      <c r="A2599" s="1">
        <f>HYPERLINK("http://www.twitter.com/NathanBLawrence/status/990348143941312512", "990348143941312512")</f>
        <v/>
      </c>
      <c r="B2599" s="2" t="n">
        <v>43218.91170138889</v>
      </c>
      <c r="C2599" t="n">
        <v>0</v>
      </c>
      <c r="D2599" t="n">
        <v>1</v>
      </c>
      <c r="E2599" t="s">
        <v>2592</v>
      </c>
      <c r="F2599" t="s"/>
      <c r="G2599" t="s"/>
      <c r="H2599" t="s"/>
      <c r="I2599" t="s"/>
      <c r="J2599" t="n">
        <v>0</v>
      </c>
      <c r="K2599" t="n">
        <v>0</v>
      </c>
      <c r="L2599" t="n">
        <v>1</v>
      </c>
      <c r="M2599" t="n">
        <v>0</v>
      </c>
    </row>
    <row r="2600" spans="1:13">
      <c r="A2600" s="1">
        <f>HYPERLINK("http://www.twitter.com/NathanBLawrence/status/990343453363068929", "990343453363068929")</f>
        <v/>
      </c>
      <c r="B2600" s="2" t="n">
        <v>43218.89876157408</v>
      </c>
      <c r="C2600" t="n">
        <v>0</v>
      </c>
      <c r="D2600" t="n">
        <v>0</v>
      </c>
      <c r="E2600" t="s">
        <v>2593</v>
      </c>
      <c r="F2600" t="s"/>
      <c r="G2600" t="s"/>
      <c r="H2600" t="s"/>
      <c r="I2600" t="s"/>
      <c r="J2600" t="n">
        <v>0.4404</v>
      </c>
      <c r="K2600" t="n">
        <v>0</v>
      </c>
      <c r="L2600" t="n">
        <v>0.633</v>
      </c>
      <c r="M2600" t="n">
        <v>0.367</v>
      </c>
    </row>
    <row r="2601" spans="1:13">
      <c r="A2601" s="1">
        <f>HYPERLINK("http://www.twitter.com/NathanBLawrence/status/990343177436631040", "990343177436631040")</f>
        <v/>
      </c>
      <c r="B2601" s="2" t="n">
        <v>43218.89799768518</v>
      </c>
      <c r="C2601" t="n">
        <v>0</v>
      </c>
      <c r="D2601" t="n">
        <v>2</v>
      </c>
      <c r="E2601" t="s">
        <v>2594</v>
      </c>
      <c r="F2601" t="s"/>
      <c r="G2601" t="s"/>
      <c r="H2601" t="s"/>
      <c r="I2601" t="s"/>
      <c r="J2601" t="n">
        <v>0.4404</v>
      </c>
      <c r="K2601" t="n">
        <v>0</v>
      </c>
      <c r="L2601" t="n">
        <v>0.734</v>
      </c>
      <c r="M2601" t="n">
        <v>0.266</v>
      </c>
    </row>
    <row r="2602" spans="1:13">
      <c r="A2602" s="1">
        <f>HYPERLINK("http://www.twitter.com/NathanBLawrence/status/990343108729753600", "990343108729753600")</f>
        <v/>
      </c>
      <c r="B2602" s="2" t="n">
        <v>43218.8978125</v>
      </c>
      <c r="C2602" t="n">
        <v>0</v>
      </c>
      <c r="D2602" t="n">
        <v>5</v>
      </c>
      <c r="E2602" t="s">
        <v>2595</v>
      </c>
      <c r="F2602">
        <f>HYPERLINK("http://pbs.twimg.com/media/DbsDSP4V4AA9b6I.jpg", "http://pbs.twimg.com/media/DbsDSP4V4AA9b6I.jpg")</f>
        <v/>
      </c>
      <c r="G2602" t="s"/>
      <c r="H2602" t="s"/>
      <c r="I2602" t="s"/>
      <c r="J2602" t="n">
        <v>0</v>
      </c>
      <c r="K2602" t="n">
        <v>0</v>
      </c>
      <c r="L2602" t="n">
        <v>1</v>
      </c>
      <c r="M2602" t="n">
        <v>0</v>
      </c>
    </row>
    <row r="2603" spans="1:13">
      <c r="A2603" s="1">
        <f>HYPERLINK("http://www.twitter.com/NathanBLawrence/status/990343014739521536", "990343014739521536")</f>
        <v/>
      </c>
      <c r="B2603" s="2" t="n">
        <v>43218.89755787037</v>
      </c>
      <c r="C2603" t="n">
        <v>0</v>
      </c>
      <c r="D2603" t="n">
        <v>2</v>
      </c>
      <c r="E2603" t="s">
        <v>2596</v>
      </c>
      <c r="F2603">
        <f>HYPERLINK("http://pbs.twimg.com/media/Dbtp04RVwAAqCjp.jpg", "http://pbs.twimg.com/media/Dbtp04RVwAAqCjp.jpg")</f>
        <v/>
      </c>
      <c r="G2603" t="s"/>
      <c r="H2603" t="s"/>
      <c r="I2603" t="s"/>
      <c r="J2603" t="n">
        <v>-0.2481</v>
      </c>
      <c r="K2603" t="n">
        <v>0.2</v>
      </c>
      <c r="L2603" t="n">
        <v>0.634</v>
      </c>
      <c r="M2603" t="n">
        <v>0.167</v>
      </c>
    </row>
    <row r="2604" spans="1:13">
      <c r="A2604" s="1">
        <f>HYPERLINK("http://www.twitter.com/NathanBLawrence/status/990342981751312384", "990342981751312384")</f>
        <v/>
      </c>
      <c r="B2604" s="2" t="n">
        <v>43218.89746527778</v>
      </c>
      <c r="C2604" t="n">
        <v>0</v>
      </c>
      <c r="D2604" t="n">
        <v>5</v>
      </c>
      <c r="E2604" t="s">
        <v>2597</v>
      </c>
      <c r="F2604">
        <f>HYPERLINK("http://pbs.twimg.com/media/Dbt7KiDWAAIemvw.jpg", "http://pbs.twimg.com/media/Dbt7KiDWAAIemvw.jpg")</f>
        <v/>
      </c>
      <c r="G2604" t="s"/>
      <c r="H2604" t="s"/>
      <c r="I2604" t="s"/>
      <c r="J2604" t="n">
        <v>0.6588000000000001</v>
      </c>
      <c r="K2604" t="n">
        <v>0</v>
      </c>
      <c r="L2604" t="n">
        <v>0.779</v>
      </c>
      <c r="M2604" t="n">
        <v>0.221</v>
      </c>
    </row>
    <row r="2605" spans="1:13">
      <c r="A2605" s="1">
        <f>HYPERLINK("http://www.twitter.com/NathanBLawrence/status/990342937769906176", "990342937769906176")</f>
        <v/>
      </c>
      <c r="B2605" s="2" t="n">
        <v>43218.89733796296</v>
      </c>
      <c r="C2605" t="n">
        <v>0</v>
      </c>
      <c r="D2605" t="n">
        <v>8</v>
      </c>
      <c r="E2605" t="s">
        <v>2598</v>
      </c>
      <c r="F2605" t="s"/>
      <c r="G2605" t="s"/>
      <c r="H2605" t="s"/>
      <c r="I2605" t="s"/>
      <c r="J2605" t="n">
        <v>0.3612</v>
      </c>
      <c r="K2605" t="n">
        <v>0</v>
      </c>
      <c r="L2605" t="n">
        <v>0.884</v>
      </c>
      <c r="M2605" t="n">
        <v>0.116</v>
      </c>
    </row>
    <row r="2606" spans="1:13">
      <c r="A2606" s="1">
        <f>HYPERLINK("http://www.twitter.com/NathanBLawrence/status/990342905322786818", "990342905322786818")</f>
        <v/>
      </c>
      <c r="B2606" s="2" t="n">
        <v>43218.89724537037</v>
      </c>
      <c r="C2606" t="n">
        <v>0</v>
      </c>
      <c r="D2606" t="n">
        <v>6</v>
      </c>
      <c r="E2606" t="s">
        <v>2599</v>
      </c>
      <c r="F2606" t="s"/>
      <c r="G2606" t="s"/>
      <c r="H2606" t="s"/>
      <c r="I2606" t="s"/>
      <c r="J2606" t="n">
        <v>0</v>
      </c>
      <c r="K2606" t="n">
        <v>0</v>
      </c>
      <c r="L2606" t="n">
        <v>1</v>
      </c>
      <c r="M2606" t="n">
        <v>0</v>
      </c>
    </row>
    <row r="2607" spans="1:13">
      <c r="A2607" s="1">
        <f>HYPERLINK("http://www.twitter.com/NathanBLawrence/status/990342877183184896", "990342877183184896")</f>
        <v/>
      </c>
      <c r="B2607" s="2" t="n">
        <v>43218.89717592593</v>
      </c>
      <c r="C2607" t="n">
        <v>1</v>
      </c>
      <c r="D2607" t="n">
        <v>0</v>
      </c>
      <c r="E2607" t="s">
        <v>2600</v>
      </c>
      <c r="F2607" t="s"/>
      <c r="G2607" t="s"/>
      <c r="H2607" t="s"/>
      <c r="I2607" t="s"/>
      <c r="J2607" t="n">
        <v>-0.1779</v>
      </c>
      <c r="K2607" t="n">
        <v>0.08599999999999999</v>
      </c>
      <c r="L2607" t="n">
        <v>0.914</v>
      </c>
      <c r="M2607" t="n">
        <v>0</v>
      </c>
    </row>
    <row r="2608" spans="1:13">
      <c r="A2608" s="1">
        <f>HYPERLINK("http://www.twitter.com/NathanBLawrence/status/990342516443701248", "990342516443701248")</f>
        <v/>
      </c>
      <c r="B2608" s="2" t="n">
        <v>43218.89618055556</v>
      </c>
      <c r="C2608" t="n">
        <v>0</v>
      </c>
      <c r="D2608" t="n">
        <v>13</v>
      </c>
      <c r="E2608" t="s">
        <v>2601</v>
      </c>
      <c r="F2608" t="s"/>
      <c r="G2608" t="s"/>
      <c r="H2608" t="s"/>
      <c r="I2608" t="s"/>
      <c r="J2608" t="n">
        <v>0.1531</v>
      </c>
      <c r="K2608" t="n">
        <v>0</v>
      </c>
      <c r="L2608" t="n">
        <v>0.929</v>
      </c>
      <c r="M2608" t="n">
        <v>0.07099999999999999</v>
      </c>
    </row>
    <row r="2609" spans="1:13">
      <c r="A2609" s="1">
        <f>HYPERLINK("http://www.twitter.com/NathanBLawrence/status/990342469190635520", "990342469190635520")</f>
        <v/>
      </c>
      <c r="B2609" s="2" t="n">
        <v>43218.89604166667</v>
      </c>
      <c r="C2609" t="n">
        <v>0</v>
      </c>
      <c r="D2609" t="n">
        <v>0</v>
      </c>
      <c r="E2609" t="s">
        <v>2602</v>
      </c>
      <c r="F2609" t="s"/>
      <c r="G2609" t="s"/>
      <c r="H2609" t="s"/>
      <c r="I2609" t="s"/>
      <c r="J2609" t="n">
        <v>0</v>
      </c>
      <c r="K2609" t="n">
        <v>0</v>
      </c>
      <c r="L2609" t="n">
        <v>1</v>
      </c>
      <c r="M2609" t="n">
        <v>0</v>
      </c>
    </row>
    <row r="2610" spans="1:13">
      <c r="A2610" s="1">
        <f>HYPERLINK("http://www.twitter.com/NathanBLawrence/status/990342273178243073", "990342273178243073")</f>
        <v/>
      </c>
      <c r="B2610" s="2" t="n">
        <v>43218.89550925926</v>
      </c>
      <c r="C2610" t="n">
        <v>0</v>
      </c>
      <c r="D2610" t="n">
        <v>7</v>
      </c>
      <c r="E2610" t="s">
        <v>2603</v>
      </c>
      <c r="F2610" t="s"/>
      <c r="G2610" t="s"/>
      <c r="H2610" t="s"/>
      <c r="I2610" t="s"/>
      <c r="J2610" t="n">
        <v>0.2714</v>
      </c>
      <c r="K2610" t="n">
        <v>0</v>
      </c>
      <c r="L2610" t="n">
        <v>0.909</v>
      </c>
      <c r="M2610" t="n">
        <v>0.091</v>
      </c>
    </row>
    <row r="2611" spans="1:13">
      <c r="A2611" s="1">
        <f>HYPERLINK("http://www.twitter.com/NathanBLawrence/status/990342184263090176", "990342184263090176")</f>
        <v/>
      </c>
      <c r="B2611" s="2" t="n">
        <v>43218.8952662037</v>
      </c>
      <c r="C2611" t="n">
        <v>0</v>
      </c>
      <c r="D2611" t="n">
        <v>8</v>
      </c>
      <c r="E2611" t="s">
        <v>2604</v>
      </c>
      <c r="F2611" t="s"/>
      <c r="G2611" t="s"/>
      <c r="H2611" t="s"/>
      <c r="I2611" t="s"/>
      <c r="J2611" t="n">
        <v>0</v>
      </c>
      <c r="K2611" t="n">
        <v>0</v>
      </c>
      <c r="L2611" t="n">
        <v>1</v>
      </c>
      <c r="M2611" t="n">
        <v>0</v>
      </c>
    </row>
    <row r="2612" spans="1:13">
      <c r="A2612" s="1">
        <f>HYPERLINK("http://www.twitter.com/NathanBLawrence/status/990334741479067651", "990334741479067651")</f>
        <v/>
      </c>
      <c r="B2612" s="2" t="n">
        <v>43218.87472222222</v>
      </c>
      <c r="C2612" t="n">
        <v>1</v>
      </c>
      <c r="D2612" t="n">
        <v>1</v>
      </c>
      <c r="E2612" t="s">
        <v>2605</v>
      </c>
      <c r="F2612" t="s"/>
      <c r="G2612" t="s"/>
      <c r="H2612" t="s"/>
      <c r="I2612" t="s"/>
      <c r="J2612" t="n">
        <v>0.34</v>
      </c>
      <c r="K2612" t="n">
        <v>0.045</v>
      </c>
      <c r="L2612" t="n">
        <v>0.833</v>
      </c>
      <c r="M2612" t="n">
        <v>0.122</v>
      </c>
    </row>
    <row r="2613" spans="1:13">
      <c r="A2613" s="1">
        <f>HYPERLINK("http://www.twitter.com/NathanBLawrence/status/990333433300865026", "990333433300865026")</f>
        <v/>
      </c>
      <c r="B2613" s="2" t="n">
        <v>43218.87111111111</v>
      </c>
      <c r="C2613" t="n">
        <v>0</v>
      </c>
      <c r="D2613" t="n">
        <v>36</v>
      </c>
      <c r="E2613" t="s">
        <v>2606</v>
      </c>
      <c r="F2613" t="s"/>
      <c r="G2613" t="s"/>
      <c r="H2613" t="s"/>
      <c r="I2613" t="s"/>
      <c r="J2613" t="n">
        <v>-0.296</v>
      </c>
      <c r="K2613" t="n">
        <v>0.147</v>
      </c>
      <c r="L2613" t="n">
        <v>0.752</v>
      </c>
      <c r="M2613" t="n">
        <v>0.102</v>
      </c>
    </row>
    <row r="2614" spans="1:13">
      <c r="A2614" s="1">
        <f>HYPERLINK("http://www.twitter.com/NathanBLawrence/status/990333171240722434", "990333171240722434")</f>
        <v/>
      </c>
      <c r="B2614" s="2" t="n">
        <v>43218.87039351852</v>
      </c>
      <c r="C2614" t="n">
        <v>1</v>
      </c>
      <c r="D2614" t="n">
        <v>0</v>
      </c>
      <c r="E2614" t="s">
        <v>2607</v>
      </c>
      <c r="F2614" t="s"/>
      <c r="G2614" t="s"/>
      <c r="H2614" t="s"/>
      <c r="I2614" t="s"/>
      <c r="J2614" t="n">
        <v>-0.4767</v>
      </c>
      <c r="K2614" t="n">
        <v>0.437</v>
      </c>
      <c r="L2614" t="n">
        <v>0.5629999999999999</v>
      </c>
      <c r="M2614" t="n">
        <v>0</v>
      </c>
    </row>
    <row r="2615" spans="1:13">
      <c r="A2615" s="1">
        <f>HYPERLINK("http://www.twitter.com/NathanBLawrence/status/990329088127700992", "990329088127700992")</f>
        <v/>
      </c>
      <c r="B2615" s="2" t="n">
        <v>43218.85912037037</v>
      </c>
      <c r="C2615" t="n">
        <v>0</v>
      </c>
      <c r="D2615" t="n">
        <v>0</v>
      </c>
      <c r="E2615" t="s">
        <v>2608</v>
      </c>
      <c r="F2615" t="s"/>
      <c r="G2615" t="s"/>
      <c r="H2615" t="s"/>
      <c r="I2615" t="s"/>
      <c r="J2615" t="n">
        <v>0</v>
      </c>
      <c r="K2615" t="n">
        <v>0</v>
      </c>
      <c r="L2615" t="n">
        <v>1</v>
      </c>
      <c r="M2615" t="n">
        <v>0</v>
      </c>
    </row>
    <row r="2616" spans="1:13">
      <c r="A2616" s="1">
        <f>HYPERLINK("http://www.twitter.com/NathanBLawrence/status/990327223734370304", "990327223734370304")</f>
        <v/>
      </c>
      <c r="B2616" s="2" t="n">
        <v>43218.85398148148</v>
      </c>
      <c r="C2616" t="n">
        <v>0</v>
      </c>
      <c r="D2616" t="n">
        <v>1</v>
      </c>
      <c r="E2616" t="s">
        <v>2609</v>
      </c>
      <c r="F2616" t="s"/>
      <c r="G2616" t="s"/>
      <c r="H2616" t="s"/>
      <c r="I2616" t="s"/>
      <c r="J2616" t="n">
        <v>0</v>
      </c>
      <c r="K2616" t="n">
        <v>0</v>
      </c>
      <c r="L2616" t="n">
        <v>1</v>
      </c>
      <c r="M2616" t="n">
        <v>0</v>
      </c>
    </row>
    <row r="2617" spans="1:13">
      <c r="A2617" s="1">
        <f>HYPERLINK("http://www.twitter.com/NathanBLawrence/status/990326918779109377", "990326918779109377")</f>
        <v/>
      </c>
      <c r="B2617" s="2" t="n">
        <v>43218.85313657407</v>
      </c>
      <c r="C2617" t="n">
        <v>5</v>
      </c>
      <c r="D2617" t="n">
        <v>0</v>
      </c>
      <c r="E2617" t="s">
        <v>2610</v>
      </c>
      <c r="F2617" t="s"/>
      <c r="G2617" t="s"/>
      <c r="H2617" t="s"/>
      <c r="I2617" t="s"/>
      <c r="J2617" t="n">
        <v>0.4404</v>
      </c>
      <c r="K2617" t="n">
        <v>0</v>
      </c>
      <c r="L2617" t="n">
        <v>0.879</v>
      </c>
      <c r="M2617" t="n">
        <v>0.121</v>
      </c>
    </row>
    <row r="2618" spans="1:13">
      <c r="A2618" s="1">
        <f>HYPERLINK("http://www.twitter.com/NathanBLawrence/status/990326855755497473", "990326855755497473")</f>
        <v/>
      </c>
      <c r="B2618" s="2" t="n">
        <v>43218.85296296296</v>
      </c>
      <c r="C2618" t="n">
        <v>0</v>
      </c>
      <c r="D2618" t="n">
        <v>1</v>
      </c>
      <c r="E2618" t="s">
        <v>2611</v>
      </c>
      <c r="F2618" t="s"/>
      <c r="G2618" t="s"/>
      <c r="H2618" t="s"/>
      <c r="I2618" t="s"/>
      <c r="J2618" t="n">
        <v>0</v>
      </c>
      <c r="K2618" t="n">
        <v>0</v>
      </c>
      <c r="L2618" t="n">
        <v>1</v>
      </c>
      <c r="M2618" t="n">
        <v>0</v>
      </c>
    </row>
    <row r="2619" spans="1:13">
      <c r="A2619" s="1">
        <f>HYPERLINK("http://www.twitter.com/NathanBLawrence/status/990326782695018497", "990326782695018497")</f>
        <v/>
      </c>
      <c r="B2619" s="2" t="n">
        <v>43218.8527662037</v>
      </c>
      <c r="C2619" t="n">
        <v>3</v>
      </c>
      <c r="D2619" t="n">
        <v>2</v>
      </c>
      <c r="E2619" t="s">
        <v>2612</v>
      </c>
      <c r="F2619" t="s"/>
      <c r="G2619" t="s"/>
      <c r="H2619" t="s"/>
      <c r="I2619" t="s"/>
      <c r="J2619" t="n">
        <v>-0.5994</v>
      </c>
      <c r="K2619" t="n">
        <v>0.122</v>
      </c>
      <c r="L2619" t="n">
        <v>0.832</v>
      </c>
      <c r="M2619" t="n">
        <v>0.046</v>
      </c>
    </row>
    <row r="2620" spans="1:13">
      <c r="A2620" s="1">
        <f>HYPERLINK("http://www.twitter.com/NathanBLawrence/status/990287341565677570", "990287341565677570")</f>
        <v/>
      </c>
      <c r="B2620" s="2" t="n">
        <v>43218.74392361111</v>
      </c>
      <c r="C2620" t="n">
        <v>0</v>
      </c>
      <c r="D2620" t="n">
        <v>1</v>
      </c>
      <c r="E2620" t="s">
        <v>2613</v>
      </c>
      <c r="F2620" t="s"/>
      <c r="G2620" t="s"/>
      <c r="H2620" t="s"/>
      <c r="I2620" t="s"/>
      <c r="J2620" t="n">
        <v>0</v>
      </c>
      <c r="K2620" t="n">
        <v>0</v>
      </c>
      <c r="L2620" t="n">
        <v>1</v>
      </c>
      <c r="M2620" t="n">
        <v>0</v>
      </c>
    </row>
    <row r="2621" spans="1:13">
      <c r="A2621" s="1">
        <f>HYPERLINK("http://www.twitter.com/NathanBLawrence/status/990286962836811777", "990286962836811777")</f>
        <v/>
      </c>
      <c r="B2621" s="2" t="n">
        <v>43218.74288194445</v>
      </c>
      <c r="C2621" t="n">
        <v>1</v>
      </c>
      <c r="D2621" t="n">
        <v>0</v>
      </c>
      <c r="E2621" t="s">
        <v>2614</v>
      </c>
      <c r="F2621" t="s"/>
      <c r="G2621" t="s"/>
      <c r="H2621" t="s"/>
      <c r="I2621" t="s"/>
      <c r="J2621" t="n">
        <v>0.7845</v>
      </c>
      <c r="K2621" t="n">
        <v>0</v>
      </c>
      <c r="L2621" t="n">
        <v>0.635</v>
      </c>
      <c r="M2621" t="n">
        <v>0.365</v>
      </c>
    </row>
    <row r="2622" spans="1:13">
      <c r="A2622" s="1">
        <f>HYPERLINK("http://www.twitter.com/NathanBLawrence/status/990286460107591681", "990286460107591681")</f>
        <v/>
      </c>
      <c r="B2622" s="2" t="n">
        <v>43218.74149305555</v>
      </c>
      <c r="C2622" t="n">
        <v>0</v>
      </c>
      <c r="D2622" t="n">
        <v>1</v>
      </c>
      <c r="E2622" t="s">
        <v>2615</v>
      </c>
      <c r="F2622" t="s"/>
      <c r="G2622" t="s"/>
      <c r="H2622" t="s"/>
      <c r="I2622" t="s"/>
      <c r="J2622" t="n">
        <v>0</v>
      </c>
      <c r="K2622" t="n">
        <v>0</v>
      </c>
      <c r="L2622" t="n">
        <v>1</v>
      </c>
      <c r="M2622" t="n">
        <v>0</v>
      </c>
    </row>
    <row r="2623" spans="1:13">
      <c r="A2623" s="1">
        <f>HYPERLINK("http://www.twitter.com/NathanBLawrence/status/990286078820212736", "990286078820212736")</f>
        <v/>
      </c>
      <c r="B2623" s="2" t="n">
        <v>43218.74043981481</v>
      </c>
      <c r="C2623" t="n">
        <v>2</v>
      </c>
      <c r="D2623" t="n">
        <v>0</v>
      </c>
      <c r="E2623" t="s">
        <v>2616</v>
      </c>
      <c r="F2623" t="s"/>
      <c r="G2623" t="s"/>
      <c r="H2623" t="s"/>
      <c r="I2623" t="s"/>
      <c r="J2623" t="n">
        <v>0.3612</v>
      </c>
      <c r="K2623" t="n">
        <v>0</v>
      </c>
      <c r="L2623" t="n">
        <v>0.889</v>
      </c>
      <c r="M2623" t="n">
        <v>0.111</v>
      </c>
    </row>
    <row r="2624" spans="1:13">
      <c r="A2624" s="1">
        <f>HYPERLINK("http://www.twitter.com/NathanBLawrence/status/990285901040377856", "990285901040377856")</f>
        <v/>
      </c>
      <c r="B2624" s="2" t="n">
        <v>43218.73995370371</v>
      </c>
      <c r="C2624" t="n">
        <v>0</v>
      </c>
      <c r="D2624" t="n">
        <v>1</v>
      </c>
      <c r="E2624" t="s">
        <v>2617</v>
      </c>
      <c r="F2624" t="s"/>
      <c r="G2624" t="s"/>
      <c r="H2624" t="s"/>
      <c r="I2624" t="s"/>
      <c r="J2624" t="n">
        <v>0</v>
      </c>
      <c r="K2624" t="n">
        <v>0.09</v>
      </c>
      <c r="L2624" t="n">
        <v>0.82</v>
      </c>
      <c r="M2624" t="n">
        <v>0.09</v>
      </c>
    </row>
    <row r="2625" spans="1:13">
      <c r="A2625" s="1">
        <f>HYPERLINK("http://www.twitter.com/NathanBLawrence/status/990263980995301377", "990263980995301377")</f>
        <v/>
      </c>
      <c r="B2625" s="2" t="n">
        <v>43218.67945601852</v>
      </c>
      <c r="C2625" t="n">
        <v>0</v>
      </c>
      <c r="D2625" t="n">
        <v>110</v>
      </c>
      <c r="E2625" t="s">
        <v>2618</v>
      </c>
      <c r="F2625" t="s"/>
      <c r="G2625" t="s"/>
      <c r="H2625" t="s"/>
      <c r="I2625" t="s"/>
      <c r="J2625" t="n">
        <v>0</v>
      </c>
      <c r="K2625" t="n">
        <v>0</v>
      </c>
      <c r="L2625" t="n">
        <v>1</v>
      </c>
      <c r="M2625" t="n">
        <v>0</v>
      </c>
    </row>
    <row r="2626" spans="1:13">
      <c r="A2626" s="1">
        <f>HYPERLINK("http://www.twitter.com/NathanBLawrence/status/990263821804736512", "990263821804736512")</f>
        <v/>
      </c>
      <c r="B2626" s="2" t="n">
        <v>43218.67901620371</v>
      </c>
      <c r="C2626" t="n">
        <v>0</v>
      </c>
      <c r="D2626" t="n">
        <v>5175</v>
      </c>
      <c r="E2626" t="s">
        <v>2619</v>
      </c>
      <c r="F2626" t="s"/>
      <c r="G2626" t="s"/>
      <c r="H2626" t="s"/>
      <c r="I2626" t="s"/>
      <c r="J2626" t="n">
        <v>-0.3566</v>
      </c>
      <c r="K2626" t="n">
        <v>0.216</v>
      </c>
      <c r="L2626" t="n">
        <v>0.784</v>
      </c>
      <c r="M2626" t="n">
        <v>0</v>
      </c>
    </row>
    <row r="2627" spans="1:13">
      <c r="A2627" s="1">
        <f>HYPERLINK("http://www.twitter.com/NathanBLawrence/status/990263737666998272", "990263737666998272")</f>
        <v/>
      </c>
      <c r="B2627" s="2" t="n">
        <v>43218.67878472222</v>
      </c>
      <c r="C2627" t="n">
        <v>1</v>
      </c>
      <c r="D2627" t="n">
        <v>0</v>
      </c>
      <c r="E2627" t="s">
        <v>2620</v>
      </c>
      <c r="F2627" t="s"/>
      <c r="G2627" t="s"/>
      <c r="H2627" t="s"/>
      <c r="I2627" t="s"/>
      <c r="J2627" t="n">
        <v>0</v>
      </c>
      <c r="K2627" t="n">
        <v>0</v>
      </c>
      <c r="L2627" t="n">
        <v>1</v>
      </c>
      <c r="M2627" t="n">
        <v>0</v>
      </c>
    </row>
    <row r="2628" spans="1:13">
      <c r="A2628" s="1">
        <f>HYPERLINK("http://www.twitter.com/NathanBLawrence/status/990262956154814464", "990262956154814464")</f>
        <v/>
      </c>
      <c r="B2628" s="2" t="n">
        <v>43218.67663194444</v>
      </c>
      <c r="C2628" t="n">
        <v>1</v>
      </c>
      <c r="D2628" t="n">
        <v>0</v>
      </c>
      <c r="E2628" t="s">
        <v>2621</v>
      </c>
      <c r="F2628" t="s"/>
      <c r="G2628" t="s"/>
      <c r="H2628" t="s"/>
      <c r="I2628" t="s"/>
      <c r="J2628" t="n">
        <v>0.6597</v>
      </c>
      <c r="K2628" t="n">
        <v>0</v>
      </c>
      <c r="L2628" t="n">
        <v>0.625</v>
      </c>
      <c r="M2628" t="n">
        <v>0.375</v>
      </c>
    </row>
    <row r="2629" spans="1:13">
      <c r="A2629" s="1">
        <f>HYPERLINK("http://www.twitter.com/NathanBLawrence/status/990262632736264198", "990262632736264198")</f>
        <v/>
      </c>
      <c r="B2629" s="2" t="n">
        <v>43218.67574074074</v>
      </c>
      <c r="C2629" t="n">
        <v>0</v>
      </c>
      <c r="D2629" t="n">
        <v>5</v>
      </c>
      <c r="E2629" t="s">
        <v>2622</v>
      </c>
      <c r="F2629" t="s"/>
      <c r="G2629" t="s"/>
      <c r="H2629" t="s"/>
      <c r="I2629" t="s"/>
      <c r="J2629" t="n">
        <v>0.128</v>
      </c>
      <c r="K2629" t="n">
        <v>0.111</v>
      </c>
      <c r="L2629" t="n">
        <v>0.754</v>
      </c>
      <c r="M2629" t="n">
        <v>0.136</v>
      </c>
    </row>
    <row r="2630" spans="1:13">
      <c r="A2630" s="1">
        <f>HYPERLINK("http://www.twitter.com/NathanBLawrence/status/990261774040621057", "990261774040621057")</f>
        <v/>
      </c>
      <c r="B2630" s="2" t="n">
        <v>43218.67336805556</v>
      </c>
      <c r="C2630" t="n">
        <v>0</v>
      </c>
      <c r="D2630" t="n">
        <v>0</v>
      </c>
      <c r="E2630" t="s">
        <v>2623</v>
      </c>
      <c r="F2630" t="s"/>
      <c r="G2630" t="s"/>
      <c r="H2630" t="s"/>
      <c r="I2630" t="s"/>
      <c r="J2630" t="n">
        <v>0</v>
      </c>
      <c r="K2630" t="n">
        <v>0</v>
      </c>
      <c r="L2630" t="n">
        <v>1</v>
      </c>
      <c r="M2630" t="n">
        <v>0</v>
      </c>
    </row>
    <row r="2631" spans="1:13">
      <c r="A2631" s="1">
        <f>HYPERLINK("http://www.twitter.com/NathanBLawrence/status/990261529172955136", "990261529172955136")</f>
        <v/>
      </c>
      <c r="B2631" s="2" t="n">
        <v>43218.67269675926</v>
      </c>
      <c r="C2631" t="n">
        <v>0</v>
      </c>
      <c r="D2631" t="n">
        <v>0</v>
      </c>
      <c r="E2631" t="s">
        <v>2624</v>
      </c>
      <c r="F2631" t="s"/>
      <c r="G2631" t="s"/>
      <c r="H2631" t="s"/>
      <c r="I2631" t="s"/>
      <c r="J2631" t="n">
        <v>0.7845</v>
      </c>
      <c r="K2631" t="n">
        <v>0</v>
      </c>
      <c r="L2631" t="n">
        <v>0.802</v>
      </c>
      <c r="M2631" t="n">
        <v>0.198</v>
      </c>
    </row>
    <row r="2632" spans="1:13">
      <c r="A2632" s="1">
        <f>HYPERLINK("http://www.twitter.com/NathanBLawrence/status/990260686528897029", "990260686528897029")</f>
        <v/>
      </c>
      <c r="B2632" s="2" t="n">
        <v>43218.67037037037</v>
      </c>
      <c r="C2632" t="n">
        <v>0</v>
      </c>
      <c r="D2632" t="n">
        <v>0</v>
      </c>
      <c r="E2632" t="s">
        <v>2625</v>
      </c>
      <c r="F2632" t="s"/>
      <c r="G2632" t="s"/>
      <c r="H2632" t="s"/>
      <c r="I2632" t="s"/>
      <c r="J2632" t="n">
        <v>0.4019</v>
      </c>
      <c r="K2632" t="n">
        <v>0</v>
      </c>
      <c r="L2632" t="n">
        <v>0.828</v>
      </c>
      <c r="M2632" t="n">
        <v>0.172</v>
      </c>
    </row>
    <row r="2633" spans="1:13">
      <c r="A2633" s="1">
        <f>HYPERLINK("http://www.twitter.com/NathanBLawrence/status/990259947832250368", "990259947832250368")</f>
        <v/>
      </c>
      <c r="B2633" s="2" t="n">
        <v>43218.66833333333</v>
      </c>
      <c r="C2633" t="n">
        <v>0</v>
      </c>
      <c r="D2633" t="n">
        <v>3</v>
      </c>
      <c r="E2633" t="s">
        <v>2626</v>
      </c>
      <c r="F2633">
        <f>HYPERLINK("http://pbs.twimg.com/media/Db3wdOlU8AEjTad.jpg", "http://pbs.twimg.com/media/Db3wdOlU8AEjTad.jpg")</f>
        <v/>
      </c>
      <c r="G2633" t="s"/>
      <c r="H2633" t="s"/>
      <c r="I2633" t="s"/>
      <c r="J2633" t="n">
        <v>0.5848</v>
      </c>
      <c r="K2633" t="n">
        <v>0</v>
      </c>
      <c r="L2633" t="n">
        <v>0.725</v>
      </c>
      <c r="M2633" t="n">
        <v>0.275</v>
      </c>
    </row>
    <row r="2634" spans="1:13">
      <c r="A2634" s="1">
        <f>HYPERLINK("http://www.twitter.com/NathanBLawrence/status/990259686816518145", "990259686816518145")</f>
        <v/>
      </c>
      <c r="B2634" s="2" t="n">
        <v>43218.66761574074</v>
      </c>
      <c r="C2634" t="n">
        <v>1</v>
      </c>
      <c r="D2634" t="n">
        <v>1</v>
      </c>
      <c r="E2634" t="s">
        <v>2627</v>
      </c>
      <c r="F2634" t="s"/>
      <c r="G2634" t="s"/>
      <c r="H2634" t="s"/>
      <c r="I2634" t="s"/>
      <c r="J2634" t="n">
        <v>0</v>
      </c>
      <c r="K2634" t="n">
        <v>0</v>
      </c>
      <c r="L2634" t="n">
        <v>1</v>
      </c>
      <c r="M2634" t="n">
        <v>0</v>
      </c>
    </row>
    <row r="2635" spans="1:13">
      <c r="A2635" s="1">
        <f>HYPERLINK("http://www.twitter.com/NathanBLawrence/status/990258936963051520", "990258936963051520")</f>
        <v/>
      </c>
      <c r="B2635" s="2" t="n">
        <v>43218.66554398148</v>
      </c>
      <c r="C2635" t="n">
        <v>3</v>
      </c>
      <c r="D2635" t="n">
        <v>2</v>
      </c>
      <c r="E2635" t="s">
        <v>2628</v>
      </c>
      <c r="F2635" t="s"/>
      <c r="G2635" t="s"/>
      <c r="H2635" t="s"/>
      <c r="I2635" t="s"/>
      <c r="J2635" t="n">
        <v>0.3804</v>
      </c>
      <c r="K2635" t="n">
        <v>0</v>
      </c>
      <c r="L2635" t="n">
        <v>0.9379999999999999</v>
      </c>
      <c r="M2635" t="n">
        <v>0.062</v>
      </c>
    </row>
    <row r="2636" spans="1:13">
      <c r="A2636" s="1">
        <f>HYPERLINK("http://www.twitter.com/NathanBLawrence/status/990257588561432581", "990257588561432581")</f>
        <v/>
      </c>
      <c r="B2636" s="2" t="n">
        <v>43218.66181712963</v>
      </c>
      <c r="C2636" t="n">
        <v>0</v>
      </c>
      <c r="D2636" t="n">
        <v>2</v>
      </c>
      <c r="E2636" t="s">
        <v>2629</v>
      </c>
      <c r="F2636" t="s"/>
      <c r="G2636" t="s"/>
      <c r="H2636" t="s"/>
      <c r="I2636" t="s"/>
      <c r="J2636" t="n">
        <v>0.2183</v>
      </c>
      <c r="K2636" t="n">
        <v>0.08699999999999999</v>
      </c>
      <c r="L2636" t="n">
        <v>0.752</v>
      </c>
      <c r="M2636" t="n">
        <v>0.161</v>
      </c>
    </row>
    <row r="2637" spans="1:13">
      <c r="A2637" s="1">
        <f>HYPERLINK("http://www.twitter.com/NathanBLawrence/status/990257518843752449", "990257518843752449")</f>
        <v/>
      </c>
      <c r="B2637" s="2" t="n">
        <v>43218.66163194444</v>
      </c>
      <c r="C2637" t="n">
        <v>1</v>
      </c>
      <c r="D2637" t="n">
        <v>0</v>
      </c>
      <c r="E2637" t="s">
        <v>2630</v>
      </c>
      <c r="F2637" t="s"/>
      <c r="G2637" t="s"/>
      <c r="H2637" t="s"/>
      <c r="I2637" t="s"/>
      <c r="J2637" t="n">
        <v>0.4404</v>
      </c>
      <c r="K2637" t="n">
        <v>0</v>
      </c>
      <c r="L2637" t="n">
        <v>0.775</v>
      </c>
      <c r="M2637" t="n">
        <v>0.225</v>
      </c>
    </row>
    <row r="2638" spans="1:13">
      <c r="A2638" s="1">
        <f>HYPERLINK("http://www.twitter.com/NathanBLawrence/status/990257091699986432", "990257091699986432")</f>
        <v/>
      </c>
      <c r="B2638" s="2" t="n">
        <v>43218.66045138889</v>
      </c>
      <c r="C2638" t="n">
        <v>0</v>
      </c>
      <c r="D2638" t="n">
        <v>2</v>
      </c>
      <c r="E2638" t="s">
        <v>2631</v>
      </c>
      <c r="F2638" t="s"/>
      <c r="G2638" t="s"/>
      <c r="H2638" t="s"/>
      <c r="I2638" t="s"/>
      <c r="J2638" t="n">
        <v>0</v>
      </c>
      <c r="K2638" t="n">
        <v>0</v>
      </c>
      <c r="L2638" t="n">
        <v>1</v>
      </c>
      <c r="M2638" t="n">
        <v>0</v>
      </c>
    </row>
    <row r="2639" spans="1:13">
      <c r="A2639" s="1">
        <f>HYPERLINK("http://www.twitter.com/NathanBLawrence/status/990256293800800256", "990256293800800256")</f>
        <v/>
      </c>
      <c r="B2639" s="2" t="n">
        <v>43218.65825231482</v>
      </c>
      <c r="C2639" t="n">
        <v>0</v>
      </c>
      <c r="D2639" t="n">
        <v>0</v>
      </c>
      <c r="E2639" t="s">
        <v>2632</v>
      </c>
      <c r="F2639" t="s"/>
      <c r="G2639" t="s"/>
      <c r="H2639" t="s"/>
      <c r="I2639" t="s"/>
      <c r="J2639" t="n">
        <v>0.7579</v>
      </c>
      <c r="K2639" t="n">
        <v>0</v>
      </c>
      <c r="L2639" t="n">
        <v>0.444</v>
      </c>
      <c r="M2639" t="n">
        <v>0.556</v>
      </c>
    </row>
    <row r="2640" spans="1:13">
      <c r="A2640" s="1">
        <f>HYPERLINK("http://www.twitter.com/NathanBLawrence/status/990253275462160384", "990253275462160384")</f>
        <v/>
      </c>
      <c r="B2640" s="2" t="n">
        <v>43218.64991898148</v>
      </c>
      <c r="C2640" t="n">
        <v>44</v>
      </c>
      <c r="D2640" t="n">
        <v>44</v>
      </c>
      <c r="E2640" t="s">
        <v>2633</v>
      </c>
      <c r="F2640" t="s"/>
      <c r="G2640" t="s"/>
      <c r="H2640" t="s"/>
      <c r="I2640" t="s"/>
      <c r="J2640" t="n">
        <v>0.7096</v>
      </c>
      <c r="K2640" t="n">
        <v>0.048</v>
      </c>
      <c r="L2640" t="n">
        <v>0.778</v>
      </c>
      <c r="M2640" t="n">
        <v>0.175</v>
      </c>
    </row>
    <row r="2641" spans="1:13">
      <c r="A2641" s="1">
        <f>HYPERLINK("http://www.twitter.com/NathanBLawrence/status/990251446942781440", "990251446942781440")</f>
        <v/>
      </c>
      <c r="B2641" s="2" t="n">
        <v>43218.64487268519</v>
      </c>
      <c r="C2641" t="n">
        <v>3</v>
      </c>
      <c r="D2641" t="n">
        <v>2</v>
      </c>
      <c r="E2641" t="s">
        <v>2634</v>
      </c>
      <c r="F2641" t="s"/>
      <c r="G2641" t="s"/>
      <c r="H2641" t="s"/>
      <c r="I2641" t="s"/>
      <c r="J2641" t="n">
        <v>0</v>
      </c>
      <c r="K2641" t="n">
        <v>0</v>
      </c>
      <c r="L2641" t="n">
        <v>1</v>
      </c>
      <c r="M2641" t="n">
        <v>0</v>
      </c>
    </row>
    <row r="2642" spans="1:13">
      <c r="A2642" s="1">
        <f>HYPERLINK("http://www.twitter.com/NathanBLawrence/status/990250715967840256", "990250715967840256")</f>
        <v/>
      </c>
      <c r="B2642" s="2" t="n">
        <v>43218.64285879629</v>
      </c>
      <c r="C2642" t="n">
        <v>0</v>
      </c>
      <c r="D2642" t="n">
        <v>0</v>
      </c>
      <c r="E2642" t="s">
        <v>2635</v>
      </c>
      <c r="F2642" t="s"/>
      <c r="G2642" t="s"/>
      <c r="H2642" t="s"/>
      <c r="I2642" t="s"/>
      <c r="J2642" t="n">
        <v>0.5574</v>
      </c>
      <c r="K2642" t="n">
        <v>0</v>
      </c>
      <c r="L2642" t="n">
        <v>0.723</v>
      </c>
      <c r="M2642" t="n">
        <v>0.277</v>
      </c>
    </row>
    <row r="2643" spans="1:13">
      <c r="A2643" s="1">
        <f>HYPERLINK("http://www.twitter.com/NathanBLawrence/status/990248941953396736", "990248941953396736")</f>
        <v/>
      </c>
      <c r="B2643" s="2" t="n">
        <v>43218.63796296297</v>
      </c>
      <c r="C2643" t="n">
        <v>0</v>
      </c>
      <c r="D2643" t="n">
        <v>128</v>
      </c>
      <c r="E2643" t="s">
        <v>2636</v>
      </c>
      <c r="F2643" t="s"/>
      <c r="G2643" t="s"/>
      <c r="H2643" t="s"/>
      <c r="I2643" t="s"/>
      <c r="J2643" t="n">
        <v>0</v>
      </c>
      <c r="K2643" t="n">
        <v>0</v>
      </c>
      <c r="L2643" t="n">
        <v>1</v>
      </c>
      <c r="M2643" t="n">
        <v>0</v>
      </c>
    </row>
    <row r="2644" spans="1:13">
      <c r="A2644" s="1">
        <f>HYPERLINK("http://www.twitter.com/NathanBLawrence/status/990248817957236736", "990248817957236736")</f>
        <v/>
      </c>
      <c r="B2644" s="2" t="n">
        <v>43218.63761574074</v>
      </c>
      <c r="C2644" t="n">
        <v>0</v>
      </c>
      <c r="D2644" t="n">
        <v>847</v>
      </c>
      <c r="E2644" t="s">
        <v>2637</v>
      </c>
      <c r="F2644" t="s"/>
      <c r="G2644" t="s"/>
      <c r="H2644" t="s"/>
      <c r="I2644" t="s"/>
      <c r="J2644" t="n">
        <v>0.4019</v>
      </c>
      <c r="K2644" t="n">
        <v>0</v>
      </c>
      <c r="L2644" t="n">
        <v>0.876</v>
      </c>
      <c r="M2644" t="n">
        <v>0.124</v>
      </c>
    </row>
    <row r="2645" spans="1:13">
      <c r="A2645" s="1">
        <f>HYPERLINK("http://www.twitter.com/NathanBLawrence/status/990248709945470976", "990248709945470976")</f>
        <v/>
      </c>
      <c r="B2645" s="2" t="n">
        <v>43218.63732638889</v>
      </c>
      <c r="C2645" t="n">
        <v>0</v>
      </c>
      <c r="D2645" t="n">
        <v>62</v>
      </c>
      <c r="E2645" t="s">
        <v>2638</v>
      </c>
      <c r="F2645">
        <f>HYPERLINK("http://pbs.twimg.com/media/Db4QUjoXkAA094L.jpg", "http://pbs.twimg.com/media/Db4QUjoXkAA094L.jpg")</f>
        <v/>
      </c>
      <c r="G2645" t="s"/>
      <c r="H2645" t="s"/>
      <c r="I2645" t="s"/>
      <c r="J2645" t="n">
        <v>0.8585</v>
      </c>
      <c r="K2645" t="n">
        <v>0</v>
      </c>
      <c r="L2645" t="n">
        <v>0.596</v>
      </c>
      <c r="M2645" t="n">
        <v>0.404</v>
      </c>
    </row>
    <row r="2646" spans="1:13">
      <c r="A2646" s="1">
        <f>HYPERLINK("http://www.twitter.com/NathanBLawrence/status/990246498595164165", "990246498595164165")</f>
        <v/>
      </c>
      <c r="B2646" s="2" t="n">
        <v>43218.63121527778</v>
      </c>
      <c r="C2646" t="n">
        <v>1</v>
      </c>
      <c r="D2646" t="n">
        <v>0</v>
      </c>
      <c r="E2646" t="s">
        <v>2639</v>
      </c>
      <c r="F2646" t="s"/>
      <c r="G2646" t="s"/>
      <c r="H2646" t="s"/>
      <c r="I2646" t="s"/>
      <c r="J2646" t="n">
        <v>0.6249</v>
      </c>
      <c r="K2646" t="n">
        <v>0</v>
      </c>
      <c r="L2646" t="n">
        <v>0.773</v>
      </c>
      <c r="M2646" t="n">
        <v>0.227</v>
      </c>
    </row>
    <row r="2647" spans="1:13">
      <c r="A2647" s="1">
        <f>HYPERLINK("http://www.twitter.com/NathanBLawrence/status/990245828622200832", "990245828622200832")</f>
        <v/>
      </c>
      <c r="B2647" s="2" t="n">
        <v>43218.629375</v>
      </c>
      <c r="C2647" t="n">
        <v>1</v>
      </c>
      <c r="D2647" t="n">
        <v>0</v>
      </c>
      <c r="E2647" t="s">
        <v>2640</v>
      </c>
      <c r="F2647" t="s"/>
      <c r="G2647" t="s"/>
      <c r="H2647" t="s"/>
      <c r="I2647" t="s"/>
      <c r="J2647" t="n">
        <v>0</v>
      </c>
      <c r="K2647" t="n">
        <v>0</v>
      </c>
      <c r="L2647" t="n">
        <v>1</v>
      </c>
      <c r="M2647" t="n">
        <v>0</v>
      </c>
    </row>
    <row r="2648" spans="1:13">
      <c r="A2648" s="1">
        <f>HYPERLINK("http://www.twitter.com/NathanBLawrence/status/990245180640022528", "990245180640022528")</f>
        <v/>
      </c>
      <c r="B2648" s="2" t="n">
        <v>43218.62758101852</v>
      </c>
      <c r="C2648" t="n">
        <v>0</v>
      </c>
      <c r="D2648" t="n">
        <v>1408</v>
      </c>
      <c r="E2648" t="s">
        <v>2641</v>
      </c>
      <c r="F2648" t="s"/>
      <c r="G2648" t="s"/>
      <c r="H2648" t="s"/>
      <c r="I2648" t="s"/>
      <c r="J2648" t="n">
        <v>0</v>
      </c>
      <c r="K2648" t="n">
        <v>0</v>
      </c>
      <c r="L2648" t="n">
        <v>1</v>
      </c>
      <c r="M2648" t="n">
        <v>0</v>
      </c>
    </row>
    <row r="2649" spans="1:13">
      <c r="A2649" s="1">
        <f>HYPERLINK("http://www.twitter.com/NathanBLawrence/status/990244582091841538", "990244582091841538")</f>
        <v/>
      </c>
      <c r="B2649" s="2" t="n">
        <v>43218.62592592592</v>
      </c>
      <c r="C2649" t="n">
        <v>0</v>
      </c>
      <c r="D2649" t="n">
        <v>137</v>
      </c>
      <c r="E2649" t="s">
        <v>2642</v>
      </c>
      <c r="F2649" t="s"/>
      <c r="G2649" t="s"/>
      <c r="H2649" t="s"/>
      <c r="I2649" t="s"/>
      <c r="J2649" t="n">
        <v>0</v>
      </c>
      <c r="K2649" t="n">
        <v>0</v>
      </c>
      <c r="L2649" t="n">
        <v>1</v>
      </c>
      <c r="M2649" t="n">
        <v>0</v>
      </c>
    </row>
    <row r="2650" spans="1:13">
      <c r="A2650" s="1">
        <f>HYPERLINK("http://www.twitter.com/NathanBLawrence/status/990244468447174657", "990244468447174657")</f>
        <v/>
      </c>
      <c r="B2650" s="2" t="n">
        <v>43218.62561342592</v>
      </c>
      <c r="C2650" t="n">
        <v>7</v>
      </c>
      <c r="D2650" t="n">
        <v>6</v>
      </c>
      <c r="E2650" t="s">
        <v>2643</v>
      </c>
      <c r="F2650" t="s"/>
      <c r="G2650" t="s"/>
      <c r="H2650" t="s"/>
      <c r="I2650" t="s"/>
      <c r="J2650" t="n">
        <v>0.4939</v>
      </c>
      <c r="K2650" t="n">
        <v>0</v>
      </c>
      <c r="L2650" t="n">
        <v>0.61</v>
      </c>
      <c r="M2650" t="n">
        <v>0.39</v>
      </c>
    </row>
    <row r="2651" spans="1:13">
      <c r="A2651" s="1">
        <f>HYPERLINK("http://www.twitter.com/NathanBLawrence/status/990243804652457984", "990243804652457984")</f>
        <v/>
      </c>
      <c r="B2651" s="2" t="n">
        <v>43218.62378472222</v>
      </c>
      <c r="C2651" t="n">
        <v>2</v>
      </c>
      <c r="D2651" t="n">
        <v>0</v>
      </c>
      <c r="E2651" t="s">
        <v>2644</v>
      </c>
      <c r="F2651" t="s"/>
      <c r="G2651" t="s"/>
      <c r="H2651" t="s"/>
      <c r="I2651" t="s"/>
      <c r="J2651" t="n">
        <v>0</v>
      </c>
      <c r="K2651" t="n">
        <v>0</v>
      </c>
      <c r="L2651" t="n">
        <v>1</v>
      </c>
      <c r="M2651" t="n">
        <v>0</v>
      </c>
    </row>
    <row r="2652" spans="1:13">
      <c r="A2652" s="1">
        <f>HYPERLINK("http://www.twitter.com/NathanBLawrence/status/990243417111310337", "990243417111310337")</f>
        <v/>
      </c>
      <c r="B2652" s="2" t="n">
        <v>43218.62271990741</v>
      </c>
      <c r="C2652" t="n">
        <v>5</v>
      </c>
      <c r="D2652" t="n">
        <v>2</v>
      </c>
      <c r="E2652" t="s">
        <v>2645</v>
      </c>
      <c r="F2652" t="s"/>
      <c r="G2652" t="s"/>
      <c r="H2652" t="s"/>
      <c r="I2652" t="s"/>
      <c r="J2652" t="n">
        <v>0.9815</v>
      </c>
      <c r="K2652" t="n">
        <v>0</v>
      </c>
      <c r="L2652" t="n">
        <v>0.5570000000000001</v>
      </c>
      <c r="M2652" t="n">
        <v>0.443</v>
      </c>
    </row>
    <row r="2653" spans="1:13">
      <c r="A2653" s="1">
        <f>HYPERLINK("http://www.twitter.com/NathanBLawrence/status/990239573883129863", "990239573883129863")</f>
        <v/>
      </c>
      <c r="B2653" s="2" t="n">
        <v>43218.61210648148</v>
      </c>
      <c r="C2653" t="n">
        <v>0</v>
      </c>
      <c r="D2653" t="n">
        <v>21</v>
      </c>
      <c r="E2653" t="s">
        <v>2646</v>
      </c>
      <c r="F2653" t="s"/>
      <c r="G2653" t="s"/>
      <c r="H2653" t="s"/>
      <c r="I2653" t="s"/>
      <c r="J2653" t="n">
        <v>-0.743</v>
      </c>
      <c r="K2653" t="n">
        <v>0.249</v>
      </c>
      <c r="L2653" t="n">
        <v>0.751</v>
      </c>
      <c r="M2653" t="n">
        <v>0</v>
      </c>
    </row>
    <row r="2654" spans="1:13">
      <c r="A2654" s="1">
        <f>HYPERLINK("http://www.twitter.com/NathanBLawrence/status/990239416567418881", "990239416567418881")</f>
        <v/>
      </c>
      <c r="B2654" s="2" t="n">
        <v>43218.61167824074</v>
      </c>
      <c r="C2654" t="n">
        <v>18</v>
      </c>
      <c r="D2654" t="n">
        <v>21</v>
      </c>
      <c r="E2654" t="s">
        <v>2647</v>
      </c>
      <c r="F2654" t="s"/>
      <c r="G2654" t="s"/>
      <c r="H2654" t="s"/>
      <c r="I2654" t="s"/>
      <c r="J2654" t="n">
        <v>-0.8728</v>
      </c>
      <c r="K2654" t="n">
        <v>0.293</v>
      </c>
      <c r="L2654" t="n">
        <v>0.707</v>
      </c>
      <c r="M2654" t="n">
        <v>0</v>
      </c>
    </row>
    <row r="2655" spans="1:13">
      <c r="A2655" s="1">
        <f>HYPERLINK("http://www.twitter.com/NathanBLawrence/status/990239026765590529", "990239026765590529")</f>
        <v/>
      </c>
      <c r="B2655" s="2" t="n">
        <v>43218.61060185185</v>
      </c>
      <c r="C2655" t="n">
        <v>0</v>
      </c>
      <c r="D2655" t="n">
        <v>16</v>
      </c>
      <c r="E2655" t="s">
        <v>2648</v>
      </c>
      <c r="F2655" t="s"/>
      <c r="G2655" t="s"/>
      <c r="H2655" t="s"/>
      <c r="I2655" t="s"/>
      <c r="J2655" t="n">
        <v>-0.3555</v>
      </c>
      <c r="K2655" t="n">
        <v>0.155</v>
      </c>
      <c r="L2655" t="n">
        <v>0.761</v>
      </c>
      <c r="M2655" t="n">
        <v>0.08500000000000001</v>
      </c>
    </row>
    <row r="2656" spans="1:13">
      <c r="A2656" s="1">
        <f>HYPERLINK("http://www.twitter.com/NathanBLawrence/status/990234373743108096", "990234373743108096")</f>
        <v/>
      </c>
      <c r="B2656" s="2" t="n">
        <v>43218.5977662037</v>
      </c>
      <c r="C2656" t="n">
        <v>0</v>
      </c>
      <c r="D2656" t="n">
        <v>1752</v>
      </c>
      <c r="E2656" t="s">
        <v>2649</v>
      </c>
      <c r="F2656" t="s"/>
      <c r="G2656" t="s"/>
      <c r="H2656" t="s"/>
      <c r="I2656" t="s"/>
      <c r="J2656" t="n">
        <v>-0.6202</v>
      </c>
      <c r="K2656" t="n">
        <v>0.218</v>
      </c>
      <c r="L2656" t="n">
        <v>0.672</v>
      </c>
      <c r="M2656" t="n">
        <v>0.11</v>
      </c>
    </row>
    <row r="2657" spans="1:13">
      <c r="A2657" s="1">
        <f>HYPERLINK("http://www.twitter.com/NathanBLawrence/status/990233610899902467", "990233610899902467")</f>
        <v/>
      </c>
      <c r="B2657" s="2" t="n">
        <v>43218.59565972222</v>
      </c>
      <c r="C2657" t="n">
        <v>2</v>
      </c>
      <c r="D2657" t="n">
        <v>1</v>
      </c>
      <c r="E2657" t="s">
        <v>2650</v>
      </c>
      <c r="F2657" t="s"/>
      <c r="G2657" t="s"/>
      <c r="H2657" t="s"/>
      <c r="I2657" t="s"/>
      <c r="J2657" t="n">
        <v>-0.2003</v>
      </c>
      <c r="K2657" t="n">
        <v>0.214</v>
      </c>
      <c r="L2657" t="n">
        <v>0.612</v>
      </c>
      <c r="M2657" t="n">
        <v>0.174</v>
      </c>
    </row>
    <row r="2658" spans="1:13">
      <c r="A2658" s="1">
        <f>HYPERLINK("http://www.twitter.com/NathanBLawrence/status/990233308138221568", "990233308138221568")</f>
        <v/>
      </c>
      <c r="B2658" s="2" t="n">
        <v>43218.59481481482</v>
      </c>
      <c r="C2658" t="n">
        <v>5</v>
      </c>
      <c r="D2658" t="n">
        <v>2</v>
      </c>
      <c r="E2658" t="s">
        <v>2651</v>
      </c>
      <c r="F2658" t="s"/>
      <c r="G2658" t="s"/>
      <c r="H2658" t="s"/>
      <c r="I2658" t="s"/>
      <c r="J2658" t="n">
        <v>-0.1531</v>
      </c>
      <c r="K2658" t="n">
        <v>0.074</v>
      </c>
      <c r="L2658" t="n">
        <v>0.867</v>
      </c>
      <c r="M2658" t="n">
        <v>0.059</v>
      </c>
    </row>
    <row r="2659" spans="1:13">
      <c r="A2659" s="1">
        <f>HYPERLINK("http://www.twitter.com/NathanBLawrence/status/990231683801780225", "990231683801780225")</f>
        <v/>
      </c>
      <c r="B2659" s="2" t="n">
        <v>43218.59033564815</v>
      </c>
      <c r="C2659" t="n">
        <v>23</v>
      </c>
      <c r="D2659" t="n">
        <v>22</v>
      </c>
      <c r="E2659" t="s">
        <v>2652</v>
      </c>
      <c r="F2659" t="s"/>
      <c r="G2659" t="s"/>
      <c r="H2659" t="s"/>
      <c r="I2659" t="s"/>
      <c r="J2659" t="n">
        <v>-0.2283</v>
      </c>
      <c r="K2659" t="n">
        <v>0.102</v>
      </c>
      <c r="L2659" t="n">
        <v>0.848</v>
      </c>
      <c r="M2659" t="n">
        <v>0.05</v>
      </c>
    </row>
    <row r="2660" spans="1:13">
      <c r="A2660" s="1">
        <f>HYPERLINK("http://www.twitter.com/NathanBLawrence/status/990230904877481984", "990230904877481984")</f>
        <v/>
      </c>
      <c r="B2660" s="2" t="n">
        <v>43218.58818287037</v>
      </c>
      <c r="C2660" t="n">
        <v>5</v>
      </c>
      <c r="D2660" t="n">
        <v>3</v>
      </c>
      <c r="E2660" t="s">
        <v>2653</v>
      </c>
      <c r="F2660" t="s"/>
      <c r="G2660" t="s"/>
      <c r="H2660" t="s"/>
      <c r="I2660" t="s"/>
      <c r="J2660" t="n">
        <v>-0.6966</v>
      </c>
      <c r="K2660" t="n">
        <v>0.12</v>
      </c>
      <c r="L2660" t="n">
        <v>0.854</v>
      </c>
      <c r="M2660" t="n">
        <v>0.026</v>
      </c>
    </row>
    <row r="2661" spans="1:13">
      <c r="A2661" s="1">
        <f>HYPERLINK("http://www.twitter.com/NathanBLawrence/status/990228610970800128", "990228610970800128")</f>
        <v/>
      </c>
      <c r="B2661" s="2" t="n">
        <v>43218.58186342593</v>
      </c>
      <c r="C2661" t="n">
        <v>1</v>
      </c>
      <c r="D2661" t="n">
        <v>1</v>
      </c>
      <c r="E2661" t="s">
        <v>2654</v>
      </c>
      <c r="F2661" t="s"/>
      <c r="G2661" t="s"/>
      <c r="H2661" t="s"/>
      <c r="I2661" t="s"/>
      <c r="J2661" t="n">
        <v>0</v>
      </c>
      <c r="K2661" t="n">
        <v>0</v>
      </c>
      <c r="L2661" t="n">
        <v>1</v>
      </c>
      <c r="M2661" t="n">
        <v>0</v>
      </c>
    </row>
    <row r="2662" spans="1:13">
      <c r="A2662" s="1">
        <f>HYPERLINK("http://www.twitter.com/NathanBLawrence/status/990227915752255489", "990227915752255489")</f>
        <v/>
      </c>
      <c r="B2662" s="2" t="n">
        <v>43218.57994212963</v>
      </c>
      <c r="C2662" t="n">
        <v>0</v>
      </c>
      <c r="D2662" t="n">
        <v>8</v>
      </c>
      <c r="E2662" t="s">
        <v>2655</v>
      </c>
      <c r="F2662" t="s"/>
      <c r="G2662" t="s"/>
      <c r="H2662" t="s"/>
      <c r="I2662" t="s"/>
      <c r="J2662" t="n">
        <v>0.2263</v>
      </c>
      <c r="K2662" t="n">
        <v>0.143</v>
      </c>
      <c r="L2662" t="n">
        <v>0.673</v>
      </c>
      <c r="M2662" t="n">
        <v>0.184</v>
      </c>
    </row>
    <row r="2663" spans="1:13">
      <c r="A2663" s="1">
        <f>HYPERLINK("http://www.twitter.com/NathanBLawrence/status/990227310354804737", "990227310354804737")</f>
        <v/>
      </c>
      <c r="B2663" s="2" t="n">
        <v>43218.57826388889</v>
      </c>
      <c r="C2663" t="n">
        <v>0</v>
      </c>
      <c r="D2663" t="n">
        <v>35</v>
      </c>
      <c r="E2663" t="s">
        <v>2656</v>
      </c>
      <c r="F2663" t="s"/>
      <c r="G2663" t="s"/>
      <c r="H2663" t="s"/>
      <c r="I2663" t="s"/>
      <c r="J2663" t="n">
        <v>-0.4404</v>
      </c>
      <c r="K2663" t="n">
        <v>0.112</v>
      </c>
      <c r="L2663" t="n">
        <v>0.888</v>
      </c>
      <c r="M2663" t="n">
        <v>0</v>
      </c>
    </row>
    <row r="2664" spans="1:13">
      <c r="A2664" s="1">
        <f>HYPERLINK("http://www.twitter.com/NathanBLawrence/status/990227223528574979", "990227223528574979")</f>
        <v/>
      </c>
      <c r="B2664" s="2" t="n">
        <v>43218.57803240741</v>
      </c>
      <c r="C2664" t="n">
        <v>38</v>
      </c>
      <c r="D2664" t="n">
        <v>35</v>
      </c>
      <c r="E2664" t="s">
        <v>2657</v>
      </c>
      <c r="F2664" t="s"/>
      <c r="G2664" t="s"/>
      <c r="H2664" t="s"/>
      <c r="I2664" t="s"/>
      <c r="J2664" t="n">
        <v>-0.6908</v>
      </c>
      <c r="K2664" t="n">
        <v>0.153</v>
      </c>
      <c r="L2664" t="n">
        <v>0.803</v>
      </c>
      <c r="M2664" t="n">
        <v>0.044</v>
      </c>
    </row>
    <row r="2665" spans="1:13">
      <c r="A2665" s="1">
        <f>HYPERLINK("http://www.twitter.com/NathanBLawrence/status/990227221850804228", "990227221850804228")</f>
        <v/>
      </c>
      <c r="B2665" s="2" t="n">
        <v>43218.57802083333</v>
      </c>
      <c r="C2665" t="n">
        <v>37</v>
      </c>
      <c r="D2665" t="n">
        <v>36</v>
      </c>
      <c r="E2665" t="s">
        <v>2658</v>
      </c>
      <c r="F2665" t="s"/>
      <c r="G2665" t="s"/>
      <c r="H2665" t="s"/>
      <c r="I2665" t="s"/>
      <c r="J2665" t="n">
        <v>-0.296</v>
      </c>
      <c r="K2665" t="n">
        <v>0.077</v>
      </c>
      <c r="L2665" t="n">
        <v>0.87</v>
      </c>
      <c r="M2665" t="n">
        <v>0.053</v>
      </c>
    </row>
    <row r="2666" spans="1:13">
      <c r="A2666" s="1">
        <f>HYPERLINK("http://www.twitter.com/NathanBLawrence/status/990224247808315392", "990224247808315392")</f>
        <v/>
      </c>
      <c r="B2666" s="2" t="n">
        <v>43218.56981481481</v>
      </c>
      <c r="C2666" t="n">
        <v>0</v>
      </c>
      <c r="D2666" t="n">
        <v>10</v>
      </c>
      <c r="E2666" t="s">
        <v>2659</v>
      </c>
      <c r="F2666" t="s"/>
      <c r="G2666" t="s"/>
      <c r="H2666" t="s"/>
      <c r="I2666" t="s"/>
      <c r="J2666" t="n">
        <v>-0.8807</v>
      </c>
      <c r="K2666" t="n">
        <v>0.338</v>
      </c>
      <c r="L2666" t="n">
        <v>0.662</v>
      </c>
      <c r="M2666" t="n">
        <v>0</v>
      </c>
    </row>
    <row r="2667" spans="1:13">
      <c r="A2667" s="1">
        <f>HYPERLINK("http://www.twitter.com/NathanBLawrence/status/990199240562528258", "990199240562528258")</f>
        <v/>
      </c>
      <c r="B2667" s="2" t="n">
        <v>43218.50081018519</v>
      </c>
      <c r="C2667" t="n">
        <v>0</v>
      </c>
      <c r="D2667" t="n">
        <v>8</v>
      </c>
      <c r="E2667" t="s">
        <v>2660</v>
      </c>
      <c r="F2667" t="s"/>
      <c r="G2667" t="s"/>
      <c r="H2667" t="s"/>
      <c r="I2667" t="s"/>
      <c r="J2667" t="n">
        <v>0</v>
      </c>
      <c r="K2667" t="n">
        <v>0</v>
      </c>
      <c r="L2667" t="n">
        <v>1</v>
      </c>
      <c r="M2667" t="n">
        <v>0</v>
      </c>
    </row>
    <row r="2668" spans="1:13">
      <c r="A2668" s="1">
        <f>HYPERLINK("http://www.twitter.com/NathanBLawrence/status/990199223781031936", "990199223781031936")</f>
        <v/>
      </c>
      <c r="B2668" s="2" t="n">
        <v>43218.50076388889</v>
      </c>
      <c r="C2668" t="n">
        <v>0</v>
      </c>
      <c r="D2668" t="n">
        <v>6</v>
      </c>
      <c r="E2668" t="s">
        <v>2661</v>
      </c>
      <c r="F2668" t="s"/>
      <c r="G2668" t="s"/>
      <c r="H2668" t="s"/>
      <c r="I2668" t="s"/>
      <c r="J2668" t="n">
        <v>0.4199</v>
      </c>
      <c r="K2668" t="n">
        <v>0</v>
      </c>
      <c r="L2668" t="n">
        <v>0.741</v>
      </c>
      <c r="M2668" t="n">
        <v>0.259</v>
      </c>
    </row>
    <row r="2669" spans="1:13">
      <c r="A2669" s="1">
        <f>HYPERLINK("http://www.twitter.com/NathanBLawrence/status/990199206500622336", "990199206500622336")</f>
        <v/>
      </c>
      <c r="B2669" s="2" t="n">
        <v>43218.50071759259</v>
      </c>
      <c r="C2669" t="n">
        <v>0</v>
      </c>
      <c r="D2669" t="n">
        <v>5</v>
      </c>
      <c r="E2669" t="s">
        <v>2662</v>
      </c>
      <c r="F2669" t="s"/>
      <c r="G2669" t="s"/>
      <c r="H2669" t="s"/>
      <c r="I2669" t="s"/>
      <c r="J2669" t="n">
        <v>0</v>
      </c>
      <c r="K2669" t="n">
        <v>0</v>
      </c>
      <c r="L2669" t="n">
        <v>1</v>
      </c>
      <c r="M2669" t="n">
        <v>0</v>
      </c>
    </row>
    <row r="2670" spans="1:13">
      <c r="A2670" s="1">
        <f>HYPERLINK("http://www.twitter.com/NathanBLawrence/status/990199080889540608", "990199080889540608")</f>
        <v/>
      </c>
      <c r="B2670" s="2" t="n">
        <v>43218.50037037037</v>
      </c>
      <c r="C2670" t="n">
        <v>0</v>
      </c>
      <c r="D2670" t="n">
        <v>14</v>
      </c>
      <c r="E2670" t="s">
        <v>2663</v>
      </c>
      <c r="F2670" t="s"/>
      <c r="G2670" t="s"/>
      <c r="H2670" t="s"/>
      <c r="I2670" t="s"/>
      <c r="J2670" t="n">
        <v>0</v>
      </c>
      <c r="K2670" t="n">
        <v>0</v>
      </c>
      <c r="L2670" t="n">
        <v>1</v>
      </c>
      <c r="M2670" t="n">
        <v>0</v>
      </c>
    </row>
    <row r="2671" spans="1:13">
      <c r="A2671" s="1">
        <f>HYPERLINK("http://www.twitter.com/NathanBLawrence/status/990199068491120640", "990199068491120640")</f>
        <v/>
      </c>
      <c r="B2671" s="2" t="n">
        <v>43218.50033564815</v>
      </c>
      <c r="C2671" t="n">
        <v>0</v>
      </c>
      <c r="D2671" t="n">
        <v>7</v>
      </c>
      <c r="E2671" t="s">
        <v>2664</v>
      </c>
      <c r="F2671" t="s"/>
      <c r="G2671" t="s"/>
      <c r="H2671" t="s"/>
      <c r="I2671" t="s"/>
      <c r="J2671" t="n">
        <v>0</v>
      </c>
      <c r="K2671" t="n">
        <v>0</v>
      </c>
      <c r="L2671" t="n">
        <v>1</v>
      </c>
      <c r="M2671" t="n">
        <v>0</v>
      </c>
    </row>
    <row r="2672" spans="1:13">
      <c r="A2672" s="1">
        <f>HYPERLINK("http://www.twitter.com/NathanBLawrence/status/990198954108358656", "990198954108358656")</f>
        <v/>
      </c>
      <c r="B2672" s="2" t="n">
        <v>43218.50002314815</v>
      </c>
      <c r="C2672" t="n">
        <v>0</v>
      </c>
      <c r="D2672" t="n">
        <v>27</v>
      </c>
      <c r="E2672" t="s">
        <v>2665</v>
      </c>
      <c r="F2672">
        <f>HYPERLINK("http://pbs.twimg.com/media/Dbs4Y5fVAAAI0aT.jpg", "http://pbs.twimg.com/media/Dbs4Y5fVAAAI0aT.jpg")</f>
        <v/>
      </c>
      <c r="G2672" t="s"/>
      <c r="H2672" t="s"/>
      <c r="I2672" t="s"/>
      <c r="J2672" t="n">
        <v>0</v>
      </c>
      <c r="K2672" t="n">
        <v>0</v>
      </c>
      <c r="L2672" t="n">
        <v>1</v>
      </c>
      <c r="M2672" t="n">
        <v>0</v>
      </c>
    </row>
    <row r="2673" spans="1:13">
      <c r="A2673" s="1">
        <f>HYPERLINK("http://www.twitter.com/NathanBLawrence/status/990198914316931072", "990198914316931072")</f>
        <v/>
      </c>
      <c r="B2673" s="2" t="n">
        <v>43218.49990740741</v>
      </c>
      <c r="C2673" t="n">
        <v>0</v>
      </c>
      <c r="D2673" t="n">
        <v>61</v>
      </c>
      <c r="E2673" t="s">
        <v>2666</v>
      </c>
      <c r="F2673">
        <f>HYPERLINK("http://pbs.twimg.com/media/Da8kleEVQAEBNlU.jpg", "http://pbs.twimg.com/media/Da8kleEVQAEBNlU.jpg")</f>
        <v/>
      </c>
      <c r="G2673" t="s"/>
      <c r="H2673" t="s"/>
      <c r="I2673" t="s"/>
      <c r="J2673" t="n">
        <v>0</v>
      </c>
      <c r="K2673" t="n">
        <v>0</v>
      </c>
      <c r="L2673" t="n">
        <v>1</v>
      </c>
      <c r="M2673" t="n">
        <v>0</v>
      </c>
    </row>
    <row r="2674" spans="1:13">
      <c r="A2674" s="1">
        <f>HYPERLINK("http://www.twitter.com/NathanBLawrence/status/990063718703693824", "990063718703693824")</f>
        <v/>
      </c>
      <c r="B2674" s="2" t="n">
        <v>43218.12684027778</v>
      </c>
      <c r="C2674" t="n">
        <v>0</v>
      </c>
      <c r="D2674" t="n">
        <v>321</v>
      </c>
      <c r="E2674" t="s">
        <v>2667</v>
      </c>
      <c r="F2674" t="s"/>
      <c r="G2674" t="s"/>
      <c r="H2674" t="s"/>
      <c r="I2674" t="s"/>
      <c r="J2674" t="n">
        <v>-0.1779</v>
      </c>
      <c r="K2674" t="n">
        <v>0.117</v>
      </c>
      <c r="L2674" t="n">
        <v>0.795</v>
      </c>
      <c r="M2674" t="n">
        <v>0.08799999999999999</v>
      </c>
    </row>
    <row r="2675" spans="1:13">
      <c r="A2675" s="1">
        <f>HYPERLINK("http://www.twitter.com/NathanBLawrence/status/990063611136696322", "990063611136696322")</f>
        <v/>
      </c>
      <c r="B2675" s="2" t="n">
        <v>43218.12655092592</v>
      </c>
      <c r="C2675" t="n">
        <v>0</v>
      </c>
      <c r="D2675" t="n">
        <v>6791</v>
      </c>
      <c r="E2675" t="s">
        <v>2668</v>
      </c>
      <c r="F2675">
        <f>HYPERLINK("http://pbs.twimg.com/media/Db1QYBUWsAEgA5n.jpg", "http://pbs.twimg.com/media/Db1QYBUWsAEgA5n.jpg")</f>
        <v/>
      </c>
      <c r="G2675" t="s"/>
      <c r="H2675" t="s"/>
      <c r="I2675" t="s"/>
      <c r="J2675" t="n">
        <v>-0.4648</v>
      </c>
      <c r="K2675" t="n">
        <v>0.163</v>
      </c>
      <c r="L2675" t="n">
        <v>0.742</v>
      </c>
      <c r="M2675" t="n">
        <v>0.094</v>
      </c>
    </row>
    <row r="2676" spans="1:13">
      <c r="A2676" s="1">
        <f>HYPERLINK("http://www.twitter.com/NathanBLawrence/status/990029544328499200", "990029544328499200")</f>
        <v/>
      </c>
      <c r="B2676" s="2" t="n">
        <v>43218.03253472222</v>
      </c>
      <c r="C2676" t="n">
        <v>0</v>
      </c>
      <c r="D2676" t="n">
        <v>17547</v>
      </c>
      <c r="E2676" t="s">
        <v>2669</v>
      </c>
      <c r="F2676" t="s"/>
      <c r="G2676" t="s"/>
      <c r="H2676" t="s"/>
      <c r="I2676" t="s"/>
      <c r="J2676" t="n">
        <v>-0.5106000000000001</v>
      </c>
      <c r="K2676" t="n">
        <v>0.17</v>
      </c>
      <c r="L2676" t="n">
        <v>0.83</v>
      </c>
      <c r="M2676" t="n">
        <v>0</v>
      </c>
    </row>
    <row r="2677" spans="1:13">
      <c r="A2677" s="1">
        <f>HYPERLINK("http://www.twitter.com/NathanBLawrence/status/990029476577804288", "990029476577804288")</f>
        <v/>
      </c>
      <c r="B2677" s="2" t="n">
        <v>43218.03234953704</v>
      </c>
      <c r="C2677" t="n">
        <v>0</v>
      </c>
      <c r="D2677" t="n">
        <v>12541</v>
      </c>
      <c r="E2677" t="s">
        <v>2670</v>
      </c>
      <c r="F2677" t="s"/>
      <c r="G2677" t="s"/>
      <c r="H2677" t="s"/>
      <c r="I2677" t="s"/>
      <c r="J2677" t="n">
        <v>0.1779</v>
      </c>
      <c r="K2677" t="n">
        <v>0.08799999999999999</v>
      </c>
      <c r="L2677" t="n">
        <v>0.797</v>
      </c>
      <c r="M2677" t="n">
        <v>0.116</v>
      </c>
    </row>
    <row r="2678" spans="1:13">
      <c r="A2678" s="1">
        <f>HYPERLINK("http://www.twitter.com/NathanBLawrence/status/990021436063600641", "990021436063600641")</f>
        <v/>
      </c>
      <c r="B2678" s="2" t="n">
        <v>43218.01016203704</v>
      </c>
      <c r="C2678" t="n">
        <v>0</v>
      </c>
      <c r="D2678" t="n">
        <v>998</v>
      </c>
      <c r="E2678" t="s">
        <v>2671</v>
      </c>
      <c r="F2678">
        <f>HYPERLINK("http://pbs.twimg.com/media/Db1AuGyX0AA_VIQ.jpg", "http://pbs.twimg.com/media/Db1AuGyX0AA_VIQ.jpg")</f>
        <v/>
      </c>
      <c r="G2678" t="s"/>
      <c r="H2678" t="s"/>
      <c r="I2678" t="s"/>
      <c r="J2678" t="n">
        <v>-0.4404</v>
      </c>
      <c r="K2678" t="n">
        <v>0.132</v>
      </c>
      <c r="L2678" t="n">
        <v>0.868</v>
      </c>
      <c r="M2678" t="n">
        <v>0</v>
      </c>
    </row>
    <row r="2679" spans="1:13">
      <c r="A2679" s="1">
        <f>HYPERLINK("http://www.twitter.com/NathanBLawrence/status/990021366631059456", "990021366631059456")</f>
        <v/>
      </c>
      <c r="B2679" s="2" t="n">
        <v>43218.00997685185</v>
      </c>
      <c r="C2679" t="n">
        <v>0</v>
      </c>
      <c r="D2679" t="n">
        <v>7663</v>
      </c>
      <c r="E2679" t="s">
        <v>2672</v>
      </c>
      <c r="F2679">
        <f>HYPERLINK("http://pbs.twimg.com/media/Db1AuedVwAAb_fM.jpg", "http://pbs.twimg.com/media/Db1AuedVwAAb_fM.jpg")</f>
        <v/>
      </c>
      <c r="G2679" t="s"/>
      <c r="H2679" t="s"/>
      <c r="I2679" t="s"/>
      <c r="J2679" t="n">
        <v>0.6249</v>
      </c>
      <c r="K2679" t="n">
        <v>0</v>
      </c>
      <c r="L2679" t="n">
        <v>0.709</v>
      </c>
      <c r="M2679" t="n">
        <v>0.291</v>
      </c>
    </row>
    <row r="2680" spans="1:13">
      <c r="A2680" s="1">
        <f>HYPERLINK("http://www.twitter.com/NathanBLawrence/status/990016936150003712", "990016936150003712")</f>
        <v/>
      </c>
      <c r="B2680" s="2" t="n">
        <v>43217.99774305556</v>
      </c>
      <c r="C2680" t="n">
        <v>0</v>
      </c>
      <c r="D2680" t="n">
        <v>10</v>
      </c>
      <c r="E2680" t="s">
        <v>2673</v>
      </c>
      <c r="F2680" t="s"/>
      <c r="G2680" t="s"/>
      <c r="H2680" t="s"/>
      <c r="I2680" t="s"/>
      <c r="J2680" t="n">
        <v>0</v>
      </c>
      <c r="K2680" t="n">
        <v>0</v>
      </c>
      <c r="L2680" t="n">
        <v>1</v>
      </c>
      <c r="M2680" t="n">
        <v>0</v>
      </c>
    </row>
    <row r="2681" spans="1:13">
      <c r="A2681" s="1">
        <f>HYPERLINK("http://www.twitter.com/NathanBLawrence/status/990016900716515328", "990016900716515328")</f>
        <v/>
      </c>
      <c r="B2681" s="2" t="n">
        <v>43217.99765046296</v>
      </c>
      <c r="C2681" t="n">
        <v>0</v>
      </c>
      <c r="D2681" t="n">
        <v>1</v>
      </c>
      <c r="E2681" t="s">
        <v>2674</v>
      </c>
      <c r="F2681" t="s"/>
      <c r="G2681" t="s"/>
      <c r="H2681" t="s"/>
      <c r="I2681" t="s"/>
      <c r="J2681" t="n">
        <v>0</v>
      </c>
      <c r="K2681" t="n">
        <v>0</v>
      </c>
      <c r="L2681" t="n">
        <v>1</v>
      </c>
      <c r="M2681" t="n">
        <v>0</v>
      </c>
    </row>
    <row r="2682" spans="1:13">
      <c r="A2682" s="1">
        <f>HYPERLINK("http://www.twitter.com/NathanBLawrence/status/990016883318542336", "990016883318542336")</f>
        <v/>
      </c>
      <c r="B2682" s="2" t="n">
        <v>43217.99760416667</v>
      </c>
      <c r="C2682" t="n">
        <v>0</v>
      </c>
      <c r="D2682" t="n">
        <v>1265</v>
      </c>
      <c r="E2682" t="s">
        <v>2675</v>
      </c>
      <c r="F2682">
        <f>HYPERLINK("https://video.twimg.com/ext_tw_video/990007888621031425/pu/vid/1280x720/vhIn-T9aL4DazKGO.mp4?tag=3", "https://video.twimg.com/ext_tw_video/990007888621031425/pu/vid/1280x720/vhIn-T9aL4DazKGO.mp4?tag=3")</f>
        <v/>
      </c>
      <c r="G2682" t="s"/>
      <c r="H2682" t="s"/>
      <c r="I2682" t="s"/>
      <c r="J2682" t="n">
        <v>-0.5266999999999999</v>
      </c>
      <c r="K2682" t="n">
        <v>0.206</v>
      </c>
      <c r="L2682" t="n">
        <v>0.794</v>
      </c>
      <c r="M2682" t="n">
        <v>0</v>
      </c>
    </row>
    <row r="2683" spans="1:13">
      <c r="A2683" s="1">
        <f>HYPERLINK("http://www.twitter.com/NathanBLawrence/status/990008371251171328", "990008371251171328")</f>
        <v/>
      </c>
      <c r="B2683" s="2" t="n">
        <v>43217.9741087963</v>
      </c>
      <c r="C2683" t="n">
        <v>0</v>
      </c>
      <c r="D2683" t="n">
        <v>2</v>
      </c>
      <c r="E2683" t="s">
        <v>2676</v>
      </c>
      <c r="F2683" t="s"/>
      <c r="G2683" t="s"/>
      <c r="H2683" t="s"/>
      <c r="I2683" t="s"/>
      <c r="J2683" t="n">
        <v>-0.296</v>
      </c>
      <c r="K2683" t="n">
        <v>0.121</v>
      </c>
      <c r="L2683" t="n">
        <v>0.879</v>
      </c>
      <c r="M2683" t="n">
        <v>0</v>
      </c>
    </row>
    <row r="2684" spans="1:13">
      <c r="A2684" s="1">
        <f>HYPERLINK("http://www.twitter.com/NathanBLawrence/status/990008234760171520", "990008234760171520")</f>
        <v/>
      </c>
      <c r="B2684" s="2" t="n">
        <v>43217.97373842593</v>
      </c>
      <c r="C2684" t="n">
        <v>3</v>
      </c>
      <c r="D2684" t="n">
        <v>0</v>
      </c>
      <c r="E2684" t="s">
        <v>2677</v>
      </c>
      <c r="F2684" t="s"/>
      <c r="G2684" t="s"/>
      <c r="H2684" t="s"/>
      <c r="I2684" t="s"/>
      <c r="J2684" t="n">
        <v>0</v>
      </c>
      <c r="K2684" t="n">
        <v>0</v>
      </c>
      <c r="L2684" t="n">
        <v>1</v>
      </c>
      <c r="M2684" t="n">
        <v>0</v>
      </c>
    </row>
    <row r="2685" spans="1:13">
      <c r="A2685" s="1">
        <f>HYPERLINK("http://www.twitter.com/NathanBLawrence/status/990007685805375489", "990007685805375489")</f>
        <v/>
      </c>
      <c r="B2685" s="2" t="n">
        <v>43217.97222222222</v>
      </c>
      <c r="C2685" t="n">
        <v>3</v>
      </c>
      <c r="D2685" t="n">
        <v>2</v>
      </c>
      <c r="E2685" t="s">
        <v>2678</v>
      </c>
      <c r="F2685" t="s"/>
      <c r="G2685" t="s"/>
      <c r="H2685" t="s"/>
      <c r="I2685" t="s"/>
      <c r="J2685" t="n">
        <v>0</v>
      </c>
      <c r="K2685" t="n">
        <v>0</v>
      </c>
      <c r="L2685" t="n">
        <v>1</v>
      </c>
      <c r="M2685" t="n">
        <v>0</v>
      </c>
    </row>
    <row r="2686" spans="1:13">
      <c r="A2686" s="1">
        <f>HYPERLINK("http://www.twitter.com/NathanBLawrence/status/989995966068674560", "989995966068674560")</f>
        <v/>
      </c>
      <c r="B2686" s="2" t="n">
        <v>43217.93988425926</v>
      </c>
      <c r="C2686" t="n">
        <v>12</v>
      </c>
      <c r="D2686" t="n">
        <v>9</v>
      </c>
      <c r="E2686" t="s">
        <v>2679</v>
      </c>
      <c r="F2686">
        <f>HYPERLINK("http://pbs.twimg.com/media/Db0sFVCVAAAJZ44.jpg", "http://pbs.twimg.com/media/Db0sFVCVAAAJZ44.jpg")</f>
        <v/>
      </c>
      <c r="G2686" t="s"/>
      <c r="H2686" t="s"/>
      <c r="I2686" t="s"/>
      <c r="J2686" t="n">
        <v>0.6808</v>
      </c>
      <c r="K2686" t="n">
        <v>0</v>
      </c>
      <c r="L2686" t="n">
        <v>0.851</v>
      </c>
      <c r="M2686" t="n">
        <v>0.149</v>
      </c>
    </row>
    <row r="2687" spans="1:13">
      <c r="A2687" s="1">
        <f>HYPERLINK("http://www.twitter.com/NathanBLawrence/status/989983369697071104", "989983369697071104")</f>
        <v/>
      </c>
      <c r="B2687" s="2" t="n">
        <v>43217.90511574074</v>
      </c>
      <c r="C2687" t="n">
        <v>1</v>
      </c>
      <c r="D2687" t="n">
        <v>1</v>
      </c>
      <c r="E2687" t="s">
        <v>2680</v>
      </c>
      <c r="F2687" t="s"/>
      <c r="G2687" t="s"/>
      <c r="H2687" t="s"/>
      <c r="I2687" t="s"/>
      <c r="J2687" t="n">
        <v>-0.4767</v>
      </c>
      <c r="K2687" t="n">
        <v>0.091</v>
      </c>
      <c r="L2687" t="n">
        <v>0.909</v>
      </c>
      <c r="M2687" t="n">
        <v>0</v>
      </c>
    </row>
    <row r="2688" spans="1:13">
      <c r="A2688" s="1">
        <f>HYPERLINK("http://www.twitter.com/NathanBLawrence/status/989981935580655617", "989981935580655617")</f>
        <v/>
      </c>
      <c r="B2688" s="2" t="n">
        <v>43217.90116898148</v>
      </c>
      <c r="C2688" t="n">
        <v>0</v>
      </c>
      <c r="D2688" t="n">
        <v>1</v>
      </c>
      <c r="E2688" t="s">
        <v>2681</v>
      </c>
      <c r="F2688" t="s"/>
      <c r="G2688" t="s"/>
      <c r="H2688" t="s"/>
      <c r="I2688" t="s"/>
      <c r="J2688" t="n">
        <v>0</v>
      </c>
      <c r="K2688" t="n">
        <v>0</v>
      </c>
      <c r="L2688" t="n">
        <v>1</v>
      </c>
      <c r="M2688" t="n">
        <v>0</v>
      </c>
    </row>
    <row r="2689" spans="1:13">
      <c r="A2689" s="1">
        <f>HYPERLINK("http://www.twitter.com/NathanBLawrence/status/989981760581701634", "989981760581701634")</f>
        <v/>
      </c>
      <c r="B2689" s="2" t="n">
        <v>43217.90068287037</v>
      </c>
      <c r="C2689" t="n">
        <v>0</v>
      </c>
      <c r="D2689" t="n">
        <v>4</v>
      </c>
      <c r="E2689" t="s">
        <v>2682</v>
      </c>
      <c r="F2689" t="s"/>
      <c r="G2689" t="s"/>
      <c r="H2689" t="s"/>
      <c r="I2689" t="s"/>
      <c r="J2689" t="n">
        <v>0</v>
      </c>
      <c r="K2689" t="n">
        <v>0</v>
      </c>
      <c r="L2689" t="n">
        <v>1</v>
      </c>
      <c r="M2689" t="n">
        <v>0</v>
      </c>
    </row>
    <row r="2690" spans="1:13">
      <c r="A2690" s="1">
        <f>HYPERLINK("http://www.twitter.com/NathanBLawrence/status/989981529358196736", "989981529358196736")</f>
        <v/>
      </c>
      <c r="B2690" s="2" t="n">
        <v>43217.90004629629</v>
      </c>
      <c r="C2690" t="n">
        <v>2</v>
      </c>
      <c r="D2690" t="n">
        <v>0</v>
      </c>
      <c r="E2690" t="s">
        <v>2683</v>
      </c>
      <c r="F2690" t="s"/>
      <c r="G2690" t="s"/>
      <c r="H2690" t="s"/>
      <c r="I2690" t="s"/>
      <c r="J2690" t="n">
        <v>0</v>
      </c>
      <c r="K2690" t="n">
        <v>0</v>
      </c>
      <c r="L2690" t="n">
        <v>1</v>
      </c>
      <c r="M2690" t="n">
        <v>0</v>
      </c>
    </row>
    <row r="2691" spans="1:13">
      <c r="A2691" s="1">
        <f>HYPERLINK("http://www.twitter.com/NathanBLawrence/status/989981490942537728", "989981490942537728")</f>
        <v/>
      </c>
      <c r="B2691" s="2" t="n">
        <v>43217.89994212963</v>
      </c>
      <c r="C2691" t="n">
        <v>0</v>
      </c>
      <c r="D2691" t="n">
        <v>128</v>
      </c>
      <c r="E2691" t="s">
        <v>2684</v>
      </c>
      <c r="F2691">
        <f>HYPERLINK("http://pbs.twimg.com/media/DX26cwaW4AAJiEa.jpg", "http://pbs.twimg.com/media/DX26cwaW4AAJiEa.jpg")</f>
        <v/>
      </c>
      <c r="G2691" t="s"/>
      <c r="H2691" t="s"/>
      <c r="I2691" t="s"/>
      <c r="J2691" t="n">
        <v>0</v>
      </c>
      <c r="K2691" t="n">
        <v>0</v>
      </c>
      <c r="L2691" t="n">
        <v>1</v>
      </c>
      <c r="M2691" t="n">
        <v>0</v>
      </c>
    </row>
    <row r="2692" spans="1:13">
      <c r="A2692" s="1">
        <f>HYPERLINK("http://www.twitter.com/NathanBLawrence/status/989981291973144576", "989981291973144576")</f>
        <v/>
      </c>
      <c r="B2692" s="2" t="n">
        <v>43217.89938657408</v>
      </c>
      <c r="C2692" t="n">
        <v>3</v>
      </c>
      <c r="D2692" t="n">
        <v>0</v>
      </c>
      <c r="E2692" t="s">
        <v>2685</v>
      </c>
      <c r="F2692" t="s"/>
      <c r="G2692" t="s"/>
      <c r="H2692" t="s"/>
      <c r="I2692" t="s"/>
      <c r="J2692" t="n">
        <v>0</v>
      </c>
      <c r="K2692" t="n">
        <v>0</v>
      </c>
      <c r="L2692" t="n">
        <v>1</v>
      </c>
      <c r="M2692" t="n">
        <v>0</v>
      </c>
    </row>
    <row r="2693" spans="1:13">
      <c r="A2693" s="1">
        <f>HYPERLINK("http://www.twitter.com/NathanBLawrence/status/989981229457043456", "989981229457043456")</f>
        <v/>
      </c>
      <c r="B2693" s="2" t="n">
        <v>43217.89921296296</v>
      </c>
      <c r="C2693" t="n">
        <v>0</v>
      </c>
      <c r="D2693" t="n">
        <v>90</v>
      </c>
      <c r="E2693" t="s">
        <v>2686</v>
      </c>
      <c r="F2693">
        <f>HYPERLINK("http://pbs.twimg.com/media/DX26NSbW0AArpfU.jpg", "http://pbs.twimg.com/media/DX26NSbW0AArpfU.jpg")</f>
        <v/>
      </c>
      <c r="G2693" t="s"/>
      <c r="H2693" t="s"/>
      <c r="I2693" t="s"/>
      <c r="J2693" t="n">
        <v>0</v>
      </c>
      <c r="K2693" t="n">
        <v>0</v>
      </c>
      <c r="L2693" t="n">
        <v>1</v>
      </c>
      <c r="M2693" t="n">
        <v>0</v>
      </c>
    </row>
    <row r="2694" spans="1:13">
      <c r="A2694" s="1">
        <f>HYPERLINK("http://www.twitter.com/NathanBLawrence/status/989980994110451712", "989980994110451712")</f>
        <v/>
      </c>
      <c r="B2694" s="2" t="n">
        <v>43217.89856481482</v>
      </c>
      <c r="C2694" t="n">
        <v>2</v>
      </c>
      <c r="D2694" t="n">
        <v>0</v>
      </c>
      <c r="E2694" t="s">
        <v>2687</v>
      </c>
      <c r="F2694" t="s"/>
      <c r="G2694" t="s"/>
      <c r="H2694" t="s"/>
      <c r="I2694" t="s"/>
      <c r="J2694" t="n">
        <v>0</v>
      </c>
      <c r="K2694" t="n">
        <v>0</v>
      </c>
      <c r="L2694" t="n">
        <v>1</v>
      </c>
      <c r="M2694" t="n">
        <v>0</v>
      </c>
    </row>
    <row r="2695" spans="1:13">
      <c r="A2695" s="1">
        <f>HYPERLINK("http://www.twitter.com/NathanBLawrence/status/989980959125786624", "989980959125786624")</f>
        <v/>
      </c>
      <c r="B2695" s="2" t="n">
        <v>43217.89847222222</v>
      </c>
      <c r="C2695" t="n">
        <v>0</v>
      </c>
      <c r="D2695" t="n">
        <v>220</v>
      </c>
      <c r="E2695" t="s">
        <v>2688</v>
      </c>
      <c r="F2695">
        <f>HYPERLINK("http://pbs.twimg.com/media/DX26CpYWAAEspzd.jpg", "http://pbs.twimg.com/media/DX26CpYWAAEspzd.jpg")</f>
        <v/>
      </c>
      <c r="G2695" t="s"/>
      <c r="H2695" t="s"/>
      <c r="I2695" t="s"/>
      <c r="J2695" t="n">
        <v>0</v>
      </c>
      <c r="K2695" t="n">
        <v>0</v>
      </c>
      <c r="L2695" t="n">
        <v>1</v>
      </c>
      <c r="M2695" t="n">
        <v>0</v>
      </c>
    </row>
    <row r="2696" spans="1:13">
      <c r="A2696" s="1">
        <f>HYPERLINK("http://www.twitter.com/NathanBLawrence/status/989980722642513921", "989980722642513921")</f>
        <v/>
      </c>
      <c r="B2696" s="2" t="n">
        <v>43217.8978125</v>
      </c>
      <c r="C2696" t="n">
        <v>0</v>
      </c>
      <c r="D2696" t="n">
        <v>12</v>
      </c>
      <c r="E2696" t="s">
        <v>2689</v>
      </c>
      <c r="F2696">
        <f>HYPERLINK("http://pbs.twimg.com/media/Db0b2MuVwAAlkGG.jpg", "http://pbs.twimg.com/media/Db0b2MuVwAAlkGG.jpg")</f>
        <v/>
      </c>
      <c r="G2696" t="s"/>
      <c r="H2696" t="s"/>
      <c r="I2696" t="s"/>
      <c r="J2696" t="n">
        <v>0</v>
      </c>
      <c r="K2696" t="n">
        <v>0</v>
      </c>
      <c r="L2696" t="n">
        <v>1</v>
      </c>
      <c r="M2696" t="n">
        <v>0</v>
      </c>
    </row>
    <row r="2697" spans="1:13">
      <c r="A2697" s="1">
        <f>HYPERLINK("http://www.twitter.com/NathanBLawrence/status/989979924609077248", "989979924609077248")</f>
        <v/>
      </c>
      <c r="B2697" s="2" t="n">
        <v>43217.89561342593</v>
      </c>
      <c r="C2697" t="n">
        <v>0</v>
      </c>
      <c r="D2697" t="n">
        <v>20</v>
      </c>
      <c r="E2697" t="s">
        <v>2690</v>
      </c>
      <c r="F2697">
        <f>HYPERLINK("https://video.twimg.com/ext_tw_video/989964324390268928/pu/vid/1280x720/LDHsCxKIVQWdHAFF.mp4?tag=3", "https://video.twimg.com/ext_tw_video/989964324390268928/pu/vid/1280x720/LDHsCxKIVQWdHAFF.mp4?tag=3")</f>
        <v/>
      </c>
      <c r="G2697" t="s"/>
      <c r="H2697" t="s"/>
      <c r="I2697" t="s"/>
      <c r="J2697" t="n">
        <v>-0.9231</v>
      </c>
      <c r="K2697" t="n">
        <v>0.451</v>
      </c>
      <c r="L2697" t="n">
        <v>0.549</v>
      </c>
      <c r="M2697" t="n">
        <v>0</v>
      </c>
    </row>
    <row r="2698" spans="1:13">
      <c r="A2698" s="1">
        <f>HYPERLINK("http://www.twitter.com/NathanBLawrence/status/989975976804278272", "989975976804278272")</f>
        <v/>
      </c>
      <c r="B2698" s="2" t="n">
        <v>43217.88472222222</v>
      </c>
      <c r="C2698" t="n">
        <v>0</v>
      </c>
      <c r="D2698" t="n">
        <v>20</v>
      </c>
      <c r="E2698" t="s">
        <v>2691</v>
      </c>
      <c r="F2698">
        <f>HYPERLINK("http://pbs.twimg.com/media/DbzxZAKWkAA9c_u.jpg", "http://pbs.twimg.com/media/DbzxZAKWkAA9c_u.jpg")</f>
        <v/>
      </c>
      <c r="G2698" t="s"/>
      <c r="H2698" t="s"/>
      <c r="I2698" t="s"/>
      <c r="J2698" t="n">
        <v>-0.4824</v>
      </c>
      <c r="K2698" t="n">
        <v>0.142</v>
      </c>
      <c r="L2698" t="n">
        <v>0.858</v>
      </c>
      <c r="M2698" t="n">
        <v>0</v>
      </c>
    </row>
    <row r="2699" spans="1:13">
      <c r="A2699" s="1">
        <f>HYPERLINK("http://www.twitter.com/NathanBLawrence/status/989975892838486017", "989975892838486017")</f>
        <v/>
      </c>
      <c r="B2699" s="2" t="n">
        <v>43217.88449074074</v>
      </c>
      <c r="C2699" t="n">
        <v>0</v>
      </c>
      <c r="D2699" t="n">
        <v>6</v>
      </c>
      <c r="E2699" t="s">
        <v>2692</v>
      </c>
      <c r="F2699" t="s"/>
      <c r="G2699" t="s"/>
      <c r="H2699" t="s"/>
      <c r="I2699" t="s"/>
      <c r="J2699" t="n">
        <v>0</v>
      </c>
      <c r="K2699" t="n">
        <v>0</v>
      </c>
      <c r="L2699" t="n">
        <v>1</v>
      </c>
      <c r="M2699" t="n">
        <v>0</v>
      </c>
    </row>
    <row r="2700" spans="1:13">
      <c r="A2700" s="1">
        <f>HYPERLINK("http://www.twitter.com/NathanBLawrence/status/989973127160614912", "989973127160614912")</f>
        <v/>
      </c>
      <c r="B2700" s="2" t="n">
        <v>43217.87685185186</v>
      </c>
      <c r="C2700" t="n">
        <v>0</v>
      </c>
      <c r="D2700" t="n">
        <v>16</v>
      </c>
      <c r="E2700" t="s">
        <v>2693</v>
      </c>
      <c r="F2700">
        <f>HYPERLINK("http://pbs.twimg.com/media/DbzwfHGX4AA8sSY.jpg", "http://pbs.twimg.com/media/DbzwfHGX4AA8sSY.jpg")</f>
        <v/>
      </c>
      <c r="G2700" t="s"/>
      <c r="H2700" t="s"/>
      <c r="I2700" t="s"/>
      <c r="J2700" t="n">
        <v>-0.9169</v>
      </c>
      <c r="K2700" t="n">
        <v>0.617</v>
      </c>
      <c r="L2700" t="n">
        <v>0.383</v>
      </c>
      <c r="M2700" t="n">
        <v>0</v>
      </c>
    </row>
    <row r="2701" spans="1:13">
      <c r="A2701" s="1">
        <f>HYPERLINK("http://www.twitter.com/NathanBLawrence/status/989973020340051969", "989973020340051969")</f>
        <v/>
      </c>
      <c r="B2701" s="2" t="n">
        <v>43217.8765625</v>
      </c>
      <c r="C2701" t="n">
        <v>0</v>
      </c>
      <c r="D2701" t="n">
        <v>21</v>
      </c>
      <c r="E2701" t="s">
        <v>2694</v>
      </c>
      <c r="F2701">
        <f>HYPERLINK("http://pbs.twimg.com/media/DbzuBPWVwAAxr7q.jpg", "http://pbs.twimg.com/media/DbzuBPWVwAAxr7q.jpg")</f>
        <v/>
      </c>
      <c r="G2701" t="s"/>
      <c r="H2701" t="s"/>
      <c r="I2701" t="s"/>
      <c r="J2701" t="n">
        <v>0</v>
      </c>
      <c r="K2701" t="n">
        <v>0</v>
      </c>
      <c r="L2701" t="n">
        <v>1</v>
      </c>
      <c r="M2701" t="n">
        <v>0</v>
      </c>
    </row>
    <row r="2702" spans="1:13">
      <c r="A2702" s="1">
        <f>HYPERLINK("http://www.twitter.com/NathanBLawrence/status/989973007861977088", "989973007861977088")</f>
        <v/>
      </c>
      <c r="B2702" s="2" t="n">
        <v>43217.87652777778</v>
      </c>
      <c r="C2702" t="n">
        <v>0</v>
      </c>
      <c r="D2702" t="n">
        <v>30</v>
      </c>
      <c r="E2702" t="s">
        <v>2695</v>
      </c>
      <c r="F2702">
        <f>HYPERLINK("http://pbs.twimg.com/media/Dbzty-2UQAAdpUM.jpg", "http://pbs.twimg.com/media/Dbzty-2UQAAdpUM.jpg")</f>
        <v/>
      </c>
      <c r="G2702" t="s"/>
      <c r="H2702" t="s"/>
      <c r="I2702" t="s"/>
      <c r="J2702" t="n">
        <v>0</v>
      </c>
      <c r="K2702" t="n">
        <v>0</v>
      </c>
      <c r="L2702" t="n">
        <v>1</v>
      </c>
      <c r="M2702" t="n">
        <v>0</v>
      </c>
    </row>
    <row r="2703" spans="1:13">
      <c r="A2703" s="1">
        <f>HYPERLINK("http://www.twitter.com/NathanBLawrence/status/989972997187538944", "989972997187538944")</f>
        <v/>
      </c>
      <c r="B2703" s="2" t="n">
        <v>43217.87649305556</v>
      </c>
      <c r="C2703" t="n">
        <v>0</v>
      </c>
      <c r="D2703" t="n">
        <v>41</v>
      </c>
      <c r="E2703" t="s">
        <v>2696</v>
      </c>
      <c r="F2703" t="s"/>
      <c r="G2703" t="s"/>
      <c r="H2703" t="s"/>
      <c r="I2703" t="s"/>
      <c r="J2703" t="n">
        <v>0</v>
      </c>
      <c r="K2703" t="n">
        <v>0</v>
      </c>
      <c r="L2703" t="n">
        <v>1</v>
      </c>
      <c r="M2703" t="n">
        <v>0</v>
      </c>
    </row>
    <row r="2704" spans="1:13">
      <c r="A2704" s="1">
        <f>HYPERLINK("http://www.twitter.com/NathanBLawrence/status/989972948172857345", "989972948172857345")</f>
        <v/>
      </c>
      <c r="B2704" s="2" t="n">
        <v>43217.87636574074</v>
      </c>
      <c r="C2704" t="n">
        <v>0</v>
      </c>
      <c r="D2704" t="n">
        <v>22</v>
      </c>
      <c r="E2704" t="s">
        <v>2697</v>
      </c>
      <c r="F2704">
        <f>HYPERLINK("http://pbs.twimg.com/media/Db0Urb1VQAAdCLa.jpg", "http://pbs.twimg.com/media/Db0Urb1VQAAdCLa.jpg")</f>
        <v/>
      </c>
      <c r="G2704" t="s"/>
      <c r="H2704" t="s"/>
      <c r="I2704" t="s"/>
      <c r="J2704" t="n">
        <v>0</v>
      </c>
      <c r="K2704" t="n">
        <v>0</v>
      </c>
      <c r="L2704" t="n">
        <v>1</v>
      </c>
      <c r="M2704" t="n">
        <v>0</v>
      </c>
    </row>
    <row r="2705" spans="1:13">
      <c r="A2705" s="1">
        <f>HYPERLINK("http://www.twitter.com/NathanBLawrence/status/989972925225885696", "989972925225885696")</f>
        <v/>
      </c>
      <c r="B2705" s="2" t="n">
        <v>43217.87629629629</v>
      </c>
      <c r="C2705" t="n">
        <v>0</v>
      </c>
      <c r="D2705" t="n">
        <v>34</v>
      </c>
      <c r="E2705" t="s">
        <v>2698</v>
      </c>
      <c r="F2705">
        <f>HYPERLINK("http://pbs.twimg.com/media/Db0WczAW0AUpeAR.jpg", "http://pbs.twimg.com/media/Db0WczAW0AUpeAR.jpg")</f>
        <v/>
      </c>
      <c r="G2705" t="s"/>
      <c r="H2705" t="s"/>
      <c r="I2705" t="s"/>
      <c r="J2705" t="n">
        <v>0.7096</v>
      </c>
      <c r="K2705" t="n">
        <v>0</v>
      </c>
      <c r="L2705" t="n">
        <v>0.6850000000000001</v>
      </c>
      <c r="M2705" t="n">
        <v>0.315</v>
      </c>
    </row>
    <row r="2706" spans="1:13">
      <c r="A2706" s="1">
        <f>HYPERLINK("http://www.twitter.com/NathanBLawrence/status/989972896838750210", "989972896838750210")</f>
        <v/>
      </c>
      <c r="B2706" s="2" t="n">
        <v>43217.87622685185</v>
      </c>
      <c r="C2706" t="n">
        <v>3</v>
      </c>
      <c r="D2706" t="n">
        <v>1</v>
      </c>
      <c r="E2706" t="s">
        <v>2699</v>
      </c>
      <c r="F2706" t="s"/>
      <c r="G2706" t="s"/>
      <c r="H2706" t="s"/>
      <c r="I2706" t="s"/>
      <c r="J2706" t="n">
        <v>0.5106000000000001</v>
      </c>
      <c r="K2706" t="n">
        <v>0</v>
      </c>
      <c r="L2706" t="n">
        <v>0.751</v>
      </c>
      <c r="M2706" t="n">
        <v>0.249</v>
      </c>
    </row>
    <row r="2707" spans="1:13">
      <c r="A2707" s="1">
        <f>HYPERLINK("http://www.twitter.com/NathanBLawrence/status/989972669918601217", "989972669918601217")</f>
        <v/>
      </c>
      <c r="B2707" s="2" t="n">
        <v>43217.87559027778</v>
      </c>
      <c r="C2707" t="n">
        <v>0</v>
      </c>
      <c r="D2707" t="n">
        <v>266</v>
      </c>
      <c r="E2707" t="s">
        <v>2700</v>
      </c>
      <c r="F2707">
        <f>HYPERLINK("http://pbs.twimg.com/media/Db0ST8hUwAAfIyu.jpg", "http://pbs.twimg.com/media/Db0ST8hUwAAfIyu.jpg")</f>
        <v/>
      </c>
      <c r="G2707" t="s"/>
      <c r="H2707" t="s"/>
      <c r="I2707" t="s"/>
      <c r="J2707" t="n">
        <v>0.7783</v>
      </c>
      <c r="K2707" t="n">
        <v>0</v>
      </c>
      <c r="L2707" t="n">
        <v>0.772</v>
      </c>
      <c r="M2707" t="n">
        <v>0.228</v>
      </c>
    </row>
    <row r="2708" spans="1:13">
      <c r="A2708" s="1">
        <f>HYPERLINK("http://www.twitter.com/NathanBLawrence/status/989969987531046914", "989969987531046914")</f>
        <v/>
      </c>
      <c r="B2708" s="2" t="n">
        <v>43217.86819444445</v>
      </c>
      <c r="C2708" t="n">
        <v>36</v>
      </c>
      <c r="D2708" t="n">
        <v>5</v>
      </c>
      <c r="E2708" t="s">
        <v>2701</v>
      </c>
      <c r="F2708" t="s"/>
      <c r="G2708" t="s"/>
      <c r="H2708" t="s"/>
      <c r="I2708" t="s"/>
      <c r="J2708" t="n">
        <v>0.8555</v>
      </c>
      <c r="K2708" t="n">
        <v>0</v>
      </c>
      <c r="L2708" t="n">
        <v>0.6889999999999999</v>
      </c>
      <c r="M2708" t="n">
        <v>0.311</v>
      </c>
    </row>
    <row r="2709" spans="1:13">
      <c r="A2709" s="1">
        <f>HYPERLINK("http://www.twitter.com/NathanBLawrence/status/989969376995696640", "989969376995696640")</f>
        <v/>
      </c>
      <c r="B2709" s="2" t="n">
        <v>43217.86650462963</v>
      </c>
      <c r="C2709" t="n">
        <v>0</v>
      </c>
      <c r="D2709" t="n">
        <v>9782</v>
      </c>
      <c r="E2709" t="s">
        <v>2702</v>
      </c>
      <c r="F2709" t="s"/>
      <c r="G2709" t="s"/>
      <c r="H2709" t="s"/>
      <c r="I2709" t="s"/>
      <c r="J2709" t="n">
        <v>0.0772</v>
      </c>
      <c r="K2709" t="n">
        <v>0</v>
      </c>
      <c r="L2709" t="n">
        <v>0.9419999999999999</v>
      </c>
      <c r="M2709" t="n">
        <v>0.058</v>
      </c>
    </row>
    <row r="2710" spans="1:13">
      <c r="A2710" s="1">
        <f>HYPERLINK("http://www.twitter.com/NathanBLawrence/status/989969321123307521", "989969321123307521")</f>
        <v/>
      </c>
      <c r="B2710" s="2" t="n">
        <v>43217.86635416667</v>
      </c>
      <c r="C2710" t="n">
        <v>7</v>
      </c>
      <c r="D2710" t="n">
        <v>1</v>
      </c>
      <c r="E2710" t="s">
        <v>2703</v>
      </c>
      <c r="F2710" t="s"/>
      <c r="G2710" t="s"/>
      <c r="H2710" t="s"/>
      <c r="I2710" t="s"/>
      <c r="J2710" t="n">
        <v>0.1139</v>
      </c>
      <c r="K2710" t="n">
        <v>0</v>
      </c>
      <c r="L2710" t="n">
        <v>0.893</v>
      </c>
      <c r="M2710" t="n">
        <v>0.107</v>
      </c>
    </row>
    <row r="2711" spans="1:13">
      <c r="A2711" s="1">
        <f>HYPERLINK("http://www.twitter.com/NathanBLawrence/status/989969142030749697", "989969142030749697")</f>
        <v/>
      </c>
      <c r="B2711" s="2" t="n">
        <v>43217.86585648148</v>
      </c>
      <c r="C2711" t="n">
        <v>0</v>
      </c>
      <c r="D2711" t="n">
        <v>3114</v>
      </c>
      <c r="E2711" t="s">
        <v>2704</v>
      </c>
      <c r="F2711" t="s"/>
      <c r="G2711" t="s"/>
      <c r="H2711" t="s"/>
      <c r="I2711" t="s"/>
      <c r="J2711" t="n">
        <v>0.3182</v>
      </c>
      <c r="K2711" t="n">
        <v>0</v>
      </c>
      <c r="L2711" t="n">
        <v>0.887</v>
      </c>
      <c r="M2711" t="n">
        <v>0.113</v>
      </c>
    </row>
    <row r="2712" spans="1:13">
      <c r="A2712" s="1">
        <f>HYPERLINK("http://www.twitter.com/NathanBLawrence/status/989969017124384770", "989969017124384770")</f>
        <v/>
      </c>
      <c r="B2712" s="2" t="n">
        <v>43217.86552083334</v>
      </c>
      <c r="C2712" t="n">
        <v>1</v>
      </c>
      <c r="D2712" t="n">
        <v>0</v>
      </c>
      <c r="E2712" t="s">
        <v>2705</v>
      </c>
      <c r="F2712" t="s"/>
      <c r="G2712" t="s"/>
      <c r="H2712" t="s"/>
      <c r="I2712" t="s"/>
      <c r="J2712" t="n">
        <v>0.3612</v>
      </c>
      <c r="K2712" t="n">
        <v>0</v>
      </c>
      <c r="L2712" t="n">
        <v>0.545</v>
      </c>
      <c r="M2712" t="n">
        <v>0.455</v>
      </c>
    </row>
    <row r="2713" spans="1:13">
      <c r="A2713" s="1">
        <f>HYPERLINK("http://www.twitter.com/NathanBLawrence/status/989945429612728320", "989945429612728320")</f>
        <v/>
      </c>
      <c r="B2713" s="2" t="n">
        <v>43217.80042824074</v>
      </c>
      <c r="C2713" t="n">
        <v>3</v>
      </c>
      <c r="D2713" t="n">
        <v>1</v>
      </c>
      <c r="E2713" t="s">
        <v>2706</v>
      </c>
      <c r="F2713" t="s"/>
      <c r="G2713" t="s"/>
      <c r="H2713" t="s"/>
      <c r="I2713" t="s"/>
      <c r="J2713" t="n">
        <v>0.4215</v>
      </c>
      <c r="K2713" t="n">
        <v>0</v>
      </c>
      <c r="L2713" t="n">
        <v>0.714</v>
      </c>
      <c r="M2713" t="n">
        <v>0.286</v>
      </c>
    </row>
    <row r="2714" spans="1:13">
      <c r="A2714" s="1">
        <f>HYPERLINK("http://www.twitter.com/NathanBLawrence/status/989944402171846656", "989944402171846656")</f>
        <v/>
      </c>
      <c r="B2714" s="2" t="n">
        <v>43217.79759259259</v>
      </c>
      <c r="C2714" t="n">
        <v>0</v>
      </c>
      <c r="D2714" t="n">
        <v>269</v>
      </c>
      <c r="E2714" t="s">
        <v>2707</v>
      </c>
      <c r="F2714" t="s"/>
      <c r="G2714" t="s"/>
      <c r="H2714" t="s"/>
      <c r="I2714" t="s"/>
      <c r="J2714" t="n">
        <v>0.5719</v>
      </c>
      <c r="K2714" t="n">
        <v>0</v>
      </c>
      <c r="L2714" t="n">
        <v>0.871</v>
      </c>
      <c r="M2714" t="n">
        <v>0.129</v>
      </c>
    </row>
    <row r="2715" spans="1:13">
      <c r="A2715" s="1">
        <f>HYPERLINK("http://www.twitter.com/NathanBLawrence/status/989944335222345734", "989944335222345734")</f>
        <v/>
      </c>
      <c r="B2715" s="2" t="n">
        <v>43217.79740740741</v>
      </c>
      <c r="C2715" t="n">
        <v>0</v>
      </c>
      <c r="D2715" t="n">
        <v>0</v>
      </c>
      <c r="E2715" t="s">
        <v>2708</v>
      </c>
      <c r="F2715" t="s"/>
      <c r="G2715" t="s"/>
      <c r="H2715" t="s"/>
      <c r="I2715" t="s"/>
      <c r="J2715" t="n">
        <v>0</v>
      </c>
      <c r="K2715" t="n">
        <v>0</v>
      </c>
      <c r="L2715" t="n">
        <v>1</v>
      </c>
      <c r="M2715" t="n">
        <v>0</v>
      </c>
    </row>
    <row r="2716" spans="1:13">
      <c r="A2716" s="1">
        <f>HYPERLINK("http://www.twitter.com/NathanBLawrence/status/989942719182245888", "989942719182245888")</f>
        <v/>
      </c>
      <c r="B2716" s="2" t="n">
        <v>43217.79295138889</v>
      </c>
      <c r="C2716" t="n">
        <v>0</v>
      </c>
      <c r="D2716" t="n">
        <v>21</v>
      </c>
      <c r="E2716" t="s">
        <v>2709</v>
      </c>
      <c r="F2716" t="s"/>
      <c r="G2716" t="s"/>
      <c r="H2716" t="s"/>
      <c r="I2716" t="s"/>
      <c r="J2716" t="n">
        <v>0.3818</v>
      </c>
      <c r="K2716" t="n">
        <v>0</v>
      </c>
      <c r="L2716" t="n">
        <v>0.88</v>
      </c>
      <c r="M2716" t="n">
        <v>0.12</v>
      </c>
    </row>
    <row r="2717" spans="1:13">
      <c r="A2717" s="1">
        <f>HYPERLINK("http://www.twitter.com/NathanBLawrence/status/989942686928068611", "989942686928068611")</f>
        <v/>
      </c>
      <c r="B2717" s="2" t="n">
        <v>43217.7928587963</v>
      </c>
      <c r="C2717" t="n">
        <v>0</v>
      </c>
      <c r="D2717" t="n">
        <v>770</v>
      </c>
      <c r="E2717" t="s">
        <v>2710</v>
      </c>
      <c r="F2717" t="s"/>
      <c r="G2717" t="s"/>
      <c r="H2717" t="s"/>
      <c r="I2717" t="s"/>
      <c r="J2717" t="n">
        <v>-0.0772</v>
      </c>
      <c r="K2717" t="n">
        <v>0.218</v>
      </c>
      <c r="L2717" t="n">
        <v>0.594</v>
      </c>
      <c r="M2717" t="n">
        <v>0.188</v>
      </c>
    </row>
    <row r="2718" spans="1:13">
      <c r="A2718" s="1">
        <f>HYPERLINK("http://www.twitter.com/NathanBLawrence/status/989942412733755397", "989942412733755397")</f>
        <v/>
      </c>
      <c r="B2718" s="2" t="n">
        <v>43217.79210648148</v>
      </c>
      <c r="C2718" t="n">
        <v>0</v>
      </c>
      <c r="D2718" t="n">
        <v>5</v>
      </c>
      <c r="E2718" t="s">
        <v>2711</v>
      </c>
      <c r="F2718" t="s"/>
      <c r="G2718" t="s"/>
      <c r="H2718" t="s"/>
      <c r="I2718" t="s"/>
      <c r="J2718" t="n">
        <v>-0.128</v>
      </c>
      <c r="K2718" t="n">
        <v>0.067</v>
      </c>
      <c r="L2718" t="n">
        <v>0.9330000000000001</v>
      </c>
      <c r="M2718" t="n">
        <v>0</v>
      </c>
    </row>
    <row r="2719" spans="1:13">
      <c r="A2719" s="1">
        <f>HYPERLINK("http://www.twitter.com/NathanBLawrence/status/989942264414855169", "989942264414855169")</f>
        <v/>
      </c>
      <c r="B2719" s="2" t="n">
        <v>43217.79168981482</v>
      </c>
      <c r="C2719" t="n">
        <v>0</v>
      </c>
      <c r="D2719" t="n">
        <v>2607</v>
      </c>
      <c r="E2719" t="s">
        <v>2712</v>
      </c>
      <c r="F2719" t="s"/>
      <c r="G2719" t="s"/>
      <c r="H2719" t="s"/>
      <c r="I2719" t="s"/>
      <c r="J2719" t="n">
        <v>0.4277</v>
      </c>
      <c r="K2719" t="n">
        <v>0</v>
      </c>
      <c r="L2719" t="n">
        <v>0.712</v>
      </c>
      <c r="M2719" t="n">
        <v>0.288</v>
      </c>
    </row>
    <row r="2720" spans="1:13">
      <c r="A2720" s="1">
        <f>HYPERLINK("http://www.twitter.com/NathanBLawrence/status/989942219279929344", "989942219279929344")</f>
        <v/>
      </c>
      <c r="B2720" s="2" t="n">
        <v>43217.7915625</v>
      </c>
      <c r="C2720" t="n">
        <v>0</v>
      </c>
      <c r="D2720" t="n">
        <v>2161</v>
      </c>
      <c r="E2720" t="s">
        <v>2713</v>
      </c>
      <c r="F2720" t="s"/>
      <c r="G2720" t="s"/>
      <c r="H2720" t="s"/>
      <c r="I2720" t="s"/>
      <c r="J2720" t="n">
        <v>0</v>
      </c>
      <c r="K2720" t="n">
        <v>0</v>
      </c>
      <c r="L2720" t="n">
        <v>1</v>
      </c>
      <c r="M2720" t="n">
        <v>0</v>
      </c>
    </row>
    <row r="2721" spans="1:13">
      <c r="A2721" s="1">
        <f>HYPERLINK("http://www.twitter.com/NathanBLawrence/status/989942169871028229", "989942169871028229")</f>
        <v/>
      </c>
      <c r="B2721" s="2" t="n">
        <v>43217.79143518519</v>
      </c>
      <c r="C2721" t="n">
        <v>0</v>
      </c>
      <c r="D2721" t="n">
        <v>56</v>
      </c>
      <c r="E2721" t="s">
        <v>2714</v>
      </c>
      <c r="F2721" t="s"/>
      <c r="G2721" t="s"/>
      <c r="H2721" t="s"/>
      <c r="I2721" t="s"/>
      <c r="J2721" t="n">
        <v>-0.875</v>
      </c>
      <c r="K2721" t="n">
        <v>0.323</v>
      </c>
      <c r="L2721" t="n">
        <v>0.677</v>
      </c>
      <c r="M2721" t="n">
        <v>0</v>
      </c>
    </row>
    <row r="2722" spans="1:13">
      <c r="A2722" s="1">
        <f>HYPERLINK("http://www.twitter.com/NathanBLawrence/status/989930181971374080", "989930181971374080")</f>
        <v/>
      </c>
      <c r="B2722" s="2" t="n">
        <v>43217.75835648148</v>
      </c>
      <c r="C2722" t="n">
        <v>0</v>
      </c>
      <c r="D2722" t="n">
        <v>20</v>
      </c>
      <c r="E2722" t="s">
        <v>2715</v>
      </c>
      <c r="F2722" t="s"/>
      <c r="G2722" t="s"/>
      <c r="H2722" t="s"/>
      <c r="I2722" t="s"/>
      <c r="J2722" t="n">
        <v>-0.3875</v>
      </c>
      <c r="K2722" t="n">
        <v>0.127</v>
      </c>
      <c r="L2722" t="n">
        <v>0.873</v>
      </c>
      <c r="M2722" t="n">
        <v>0</v>
      </c>
    </row>
    <row r="2723" spans="1:13">
      <c r="A2723" s="1">
        <f>HYPERLINK("http://www.twitter.com/NathanBLawrence/status/989926049910808576", "989926049910808576")</f>
        <v/>
      </c>
      <c r="B2723" s="2" t="n">
        <v>43217.74694444444</v>
      </c>
      <c r="C2723" t="n">
        <v>3</v>
      </c>
      <c r="D2723" t="n">
        <v>0</v>
      </c>
      <c r="E2723" t="s">
        <v>2716</v>
      </c>
      <c r="F2723" t="s"/>
      <c r="G2723" t="s"/>
      <c r="H2723" t="s"/>
      <c r="I2723" t="s"/>
      <c r="J2723" t="n">
        <v>0.7494</v>
      </c>
      <c r="K2723" t="n">
        <v>0</v>
      </c>
      <c r="L2723" t="n">
        <v>0.8090000000000001</v>
      </c>
      <c r="M2723" t="n">
        <v>0.191</v>
      </c>
    </row>
    <row r="2724" spans="1:13">
      <c r="A2724" s="1">
        <f>HYPERLINK("http://www.twitter.com/NathanBLawrence/status/989924088650051584", "989924088650051584")</f>
        <v/>
      </c>
      <c r="B2724" s="2" t="n">
        <v>43217.74153935185</v>
      </c>
      <c r="C2724" t="n">
        <v>0</v>
      </c>
      <c r="D2724" t="n">
        <v>3</v>
      </c>
      <c r="E2724" t="s">
        <v>2717</v>
      </c>
      <c r="F2724" t="s"/>
      <c r="G2724" t="s"/>
      <c r="H2724" t="s"/>
      <c r="I2724" t="s"/>
      <c r="J2724" t="n">
        <v>-0.6096</v>
      </c>
      <c r="K2724" t="n">
        <v>0.206</v>
      </c>
      <c r="L2724" t="n">
        <v>0.743</v>
      </c>
      <c r="M2724" t="n">
        <v>0.051</v>
      </c>
    </row>
    <row r="2725" spans="1:13">
      <c r="A2725" s="1">
        <f>HYPERLINK("http://www.twitter.com/NathanBLawrence/status/989920663057129472", "989920663057129472")</f>
        <v/>
      </c>
      <c r="B2725" s="2" t="n">
        <v>43217.73208333334</v>
      </c>
      <c r="C2725" t="n">
        <v>0</v>
      </c>
      <c r="D2725" t="n">
        <v>28</v>
      </c>
      <c r="E2725" t="s">
        <v>2718</v>
      </c>
      <c r="F2725" t="s"/>
      <c r="G2725" t="s"/>
      <c r="H2725" t="s"/>
      <c r="I2725" t="s"/>
      <c r="J2725" t="n">
        <v>0.636</v>
      </c>
      <c r="K2725" t="n">
        <v>0</v>
      </c>
      <c r="L2725" t="n">
        <v>0.8110000000000001</v>
      </c>
      <c r="M2725" t="n">
        <v>0.189</v>
      </c>
    </row>
    <row r="2726" spans="1:13">
      <c r="A2726" s="1">
        <f>HYPERLINK("http://www.twitter.com/NathanBLawrence/status/989909521098248192", "989909521098248192")</f>
        <v/>
      </c>
      <c r="B2726" s="2" t="n">
        <v>43217.70134259259</v>
      </c>
      <c r="C2726" t="n">
        <v>0</v>
      </c>
      <c r="D2726" t="n">
        <v>7</v>
      </c>
      <c r="E2726" t="s">
        <v>2719</v>
      </c>
      <c r="F2726" t="s"/>
      <c r="G2726" t="s"/>
      <c r="H2726" t="s"/>
      <c r="I2726" t="s"/>
      <c r="J2726" t="n">
        <v>0.1531</v>
      </c>
      <c r="K2726" t="n">
        <v>0</v>
      </c>
      <c r="L2726" t="n">
        <v>0.874</v>
      </c>
      <c r="M2726" t="n">
        <v>0.126</v>
      </c>
    </row>
    <row r="2727" spans="1:13">
      <c r="A2727" s="1">
        <f>HYPERLINK("http://www.twitter.com/NathanBLawrence/status/989908696149954561", "989908696149954561")</f>
        <v/>
      </c>
      <c r="B2727" s="2" t="n">
        <v>43217.6990625</v>
      </c>
      <c r="C2727" t="n">
        <v>5</v>
      </c>
      <c r="D2727" t="n">
        <v>0</v>
      </c>
      <c r="E2727" t="s">
        <v>2720</v>
      </c>
      <c r="F2727" t="s"/>
      <c r="G2727" t="s"/>
      <c r="H2727" t="s"/>
      <c r="I2727" t="s"/>
      <c r="J2727" t="n">
        <v>-0.2263</v>
      </c>
      <c r="K2727" t="n">
        <v>0.062</v>
      </c>
      <c r="L2727" t="n">
        <v>0.901</v>
      </c>
      <c r="M2727" t="n">
        <v>0.037</v>
      </c>
    </row>
    <row r="2728" spans="1:13">
      <c r="A2728" s="1">
        <f>HYPERLINK("http://www.twitter.com/NathanBLawrence/status/989908693755006976", "989908693755006976")</f>
        <v/>
      </c>
      <c r="B2728" s="2" t="n">
        <v>43217.69905092593</v>
      </c>
      <c r="C2728" t="n">
        <v>5</v>
      </c>
      <c r="D2728" t="n">
        <v>1</v>
      </c>
      <c r="E2728" t="s">
        <v>2721</v>
      </c>
      <c r="F2728" t="s"/>
      <c r="G2728" t="s"/>
      <c r="H2728" t="s"/>
      <c r="I2728" t="s"/>
      <c r="J2728" t="n">
        <v>0.1779</v>
      </c>
      <c r="K2728" t="n">
        <v>0.053</v>
      </c>
      <c r="L2728" t="n">
        <v>0.831</v>
      </c>
      <c r="M2728" t="n">
        <v>0.115</v>
      </c>
    </row>
    <row r="2729" spans="1:13">
      <c r="A2729" s="1">
        <f>HYPERLINK("http://www.twitter.com/NathanBLawrence/status/989908690122788864", "989908690122788864")</f>
        <v/>
      </c>
      <c r="B2729" s="2" t="n">
        <v>43217.69903935185</v>
      </c>
      <c r="C2729" t="n">
        <v>7</v>
      </c>
      <c r="D2729" t="n">
        <v>2</v>
      </c>
      <c r="E2729" t="s">
        <v>2722</v>
      </c>
      <c r="F2729" t="s"/>
      <c r="G2729" t="s"/>
      <c r="H2729" t="s"/>
      <c r="I2729" t="s"/>
      <c r="J2729" t="n">
        <v>0.431</v>
      </c>
      <c r="K2729" t="n">
        <v>0</v>
      </c>
      <c r="L2729" t="n">
        <v>0.901</v>
      </c>
      <c r="M2729" t="n">
        <v>0.099</v>
      </c>
    </row>
    <row r="2730" spans="1:13">
      <c r="A2730" s="1">
        <f>HYPERLINK("http://www.twitter.com/NathanBLawrence/status/989905190089306113", "989905190089306113")</f>
        <v/>
      </c>
      <c r="B2730" s="2" t="n">
        <v>43217.68938657407</v>
      </c>
      <c r="C2730" t="n">
        <v>17</v>
      </c>
      <c r="D2730" t="n">
        <v>20</v>
      </c>
      <c r="E2730" t="s">
        <v>2723</v>
      </c>
      <c r="F2730" t="s"/>
      <c r="G2730" t="s"/>
      <c r="H2730" t="s"/>
      <c r="I2730" t="s"/>
      <c r="J2730" t="n">
        <v>-0.2057</v>
      </c>
      <c r="K2730" t="n">
        <v>0.051</v>
      </c>
      <c r="L2730" t="n">
        <v>0.949</v>
      </c>
      <c r="M2730" t="n">
        <v>0</v>
      </c>
    </row>
    <row r="2731" spans="1:13">
      <c r="A2731" s="1">
        <f>HYPERLINK("http://www.twitter.com/NathanBLawrence/status/989893822086877184", "989893822086877184")</f>
        <v/>
      </c>
      <c r="B2731" s="2" t="n">
        <v>43217.65802083333</v>
      </c>
      <c r="C2731" t="n">
        <v>1</v>
      </c>
      <c r="D2731" t="n">
        <v>0</v>
      </c>
      <c r="E2731" t="s">
        <v>2724</v>
      </c>
      <c r="F2731" t="s"/>
      <c r="G2731" t="s"/>
      <c r="H2731" t="s"/>
      <c r="I2731" t="s"/>
      <c r="J2731" t="n">
        <v>0.3612</v>
      </c>
      <c r="K2731" t="n">
        <v>0</v>
      </c>
      <c r="L2731" t="n">
        <v>0.615</v>
      </c>
      <c r="M2731" t="n">
        <v>0.385</v>
      </c>
    </row>
    <row r="2732" spans="1:13">
      <c r="A2732" s="1">
        <f>HYPERLINK("http://www.twitter.com/NathanBLawrence/status/989893474991427584", "989893474991427584")</f>
        <v/>
      </c>
      <c r="B2732" s="2" t="n">
        <v>43217.65706018519</v>
      </c>
      <c r="C2732" t="n">
        <v>0</v>
      </c>
      <c r="D2732" t="n">
        <v>1</v>
      </c>
      <c r="E2732" t="s">
        <v>2725</v>
      </c>
      <c r="F2732" t="s"/>
      <c r="G2732" t="s"/>
      <c r="H2732" t="s"/>
      <c r="I2732" t="s"/>
      <c r="J2732" t="n">
        <v>0</v>
      </c>
      <c r="K2732" t="n">
        <v>0</v>
      </c>
      <c r="L2732" t="n">
        <v>1</v>
      </c>
      <c r="M2732" t="n">
        <v>0</v>
      </c>
    </row>
    <row r="2733" spans="1:13">
      <c r="A2733" s="1">
        <f>HYPERLINK("http://www.twitter.com/NathanBLawrence/status/989893282326032384", "989893282326032384")</f>
        <v/>
      </c>
      <c r="B2733" s="2" t="n">
        <v>43217.65652777778</v>
      </c>
      <c r="C2733" t="n">
        <v>0</v>
      </c>
      <c r="D2733" t="n">
        <v>2</v>
      </c>
      <c r="E2733" t="s">
        <v>2726</v>
      </c>
      <c r="F2733" t="s"/>
      <c r="G2733" t="s"/>
      <c r="H2733" t="s"/>
      <c r="I2733" t="s"/>
      <c r="J2733" t="n">
        <v>0.7667</v>
      </c>
      <c r="K2733" t="n">
        <v>0</v>
      </c>
      <c r="L2733" t="n">
        <v>0.731</v>
      </c>
      <c r="M2733" t="n">
        <v>0.269</v>
      </c>
    </row>
    <row r="2734" spans="1:13">
      <c r="A2734" s="1">
        <f>HYPERLINK("http://www.twitter.com/NathanBLawrence/status/989892077143064577", "989892077143064577")</f>
        <v/>
      </c>
      <c r="B2734" s="2" t="n">
        <v>43217.65320601852</v>
      </c>
      <c r="C2734" t="n">
        <v>0</v>
      </c>
      <c r="D2734" t="n">
        <v>262</v>
      </c>
      <c r="E2734" t="s">
        <v>2727</v>
      </c>
      <c r="F2734" t="s"/>
      <c r="G2734" t="s"/>
      <c r="H2734" t="s"/>
      <c r="I2734" t="s"/>
      <c r="J2734" t="n">
        <v>-0.128</v>
      </c>
      <c r="K2734" t="n">
        <v>0.175</v>
      </c>
      <c r="L2734" t="n">
        <v>0.678</v>
      </c>
      <c r="M2734" t="n">
        <v>0.147</v>
      </c>
    </row>
    <row r="2735" spans="1:13">
      <c r="A2735" s="1">
        <f>HYPERLINK("http://www.twitter.com/NathanBLawrence/status/989891103544487937", "989891103544487937")</f>
        <v/>
      </c>
      <c r="B2735" s="2" t="n">
        <v>43217.65052083333</v>
      </c>
      <c r="C2735" t="n">
        <v>0</v>
      </c>
      <c r="D2735" t="n">
        <v>11</v>
      </c>
      <c r="E2735" t="s">
        <v>2728</v>
      </c>
      <c r="F2735" t="s"/>
      <c r="G2735" t="s"/>
      <c r="H2735" t="s"/>
      <c r="I2735" t="s"/>
      <c r="J2735" t="n">
        <v>-0.5526</v>
      </c>
      <c r="K2735" t="n">
        <v>0.125</v>
      </c>
      <c r="L2735" t="n">
        <v>0.875</v>
      </c>
      <c r="M2735" t="n">
        <v>0</v>
      </c>
    </row>
    <row r="2736" spans="1:13">
      <c r="A2736" s="1">
        <f>HYPERLINK("http://www.twitter.com/NathanBLawrence/status/989890491432034304", "989890491432034304")</f>
        <v/>
      </c>
      <c r="B2736" s="2" t="n">
        <v>43217.64883101852</v>
      </c>
      <c r="C2736" t="n">
        <v>0</v>
      </c>
      <c r="D2736" t="n">
        <v>4</v>
      </c>
      <c r="E2736" t="s">
        <v>2729</v>
      </c>
      <c r="F2736" t="s"/>
      <c r="G2736" t="s"/>
      <c r="H2736" t="s"/>
      <c r="I2736" t="s"/>
      <c r="J2736" t="n">
        <v>0.2263</v>
      </c>
      <c r="K2736" t="n">
        <v>0.159</v>
      </c>
      <c r="L2736" t="n">
        <v>0.601</v>
      </c>
      <c r="M2736" t="n">
        <v>0.24</v>
      </c>
    </row>
    <row r="2737" spans="1:13">
      <c r="A2737" s="1">
        <f>HYPERLINK("http://www.twitter.com/NathanBLawrence/status/989890336620187649", "989890336620187649")</f>
        <v/>
      </c>
      <c r="B2737" s="2" t="n">
        <v>43217.64840277778</v>
      </c>
      <c r="C2737" t="n">
        <v>6</v>
      </c>
      <c r="D2737" t="n">
        <v>1</v>
      </c>
      <c r="E2737" t="s">
        <v>2730</v>
      </c>
      <c r="F2737" t="s"/>
      <c r="G2737" t="s"/>
      <c r="H2737" t="s"/>
      <c r="I2737" t="s"/>
      <c r="J2737" t="n">
        <v>0.3612</v>
      </c>
      <c r="K2737" t="n">
        <v>0</v>
      </c>
      <c r="L2737" t="n">
        <v>0.783</v>
      </c>
      <c r="M2737" t="n">
        <v>0.217</v>
      </c>
    </row>
    <row r="2738" spans="1:13">
      <c r="A2738" s="1">
        <f>HYPERLINK("http://www.twitter.com/NathanBLawrence/status/989890301018992641", "989890301018992641")</f>
        <v/>
      </c>
      <c r="B2738" s="2" t="n">
        <v>43217.64829861111</v>
      </c>
      <c r="C2738" t="n">
        <v>0</v>
      </c>
      <c r="D2738" t="n">
        <v>26</v>
      </c>
      <c r="E2738" t="s">
        <v>2731</v>
      </c>
      <c r="F2738" t="s"/>
      <c r="G2738" t="s"/>
      <c r="H2738" t="s"/>
      <c r="I2738" t="s"/>
      <c r="J2738" t="n">
        <v>0</v>
      </c>
      <c r="K2738" t="n">
        <v>0</v>
      </c>
      <c r="L2738" t="n">
        <v>1</v>
      </c>
      <c r="M2738" t="n">
        <v>0</v>
      </c>
    </row>
    <row r="2739" spans="1:13">
      <c r="A2739" s="1">
        <f>HYPERLINK("http://www.twitter.com/NathanBLawrence/status/989890142113554432", "989890142113554432")</f>
        <v/>
      </c>
      <c r="B2739" s="2" t="n">
        <v>43217.6478587963</v>
      </c>
      <c r="C2739" t="n">
        <v>3</v>
      </c>
      <c r="D2739" t="n">
        <v>1</v>
      </c>
      <c r="E2739" t="s">
        <v>2732</v>
      </c>
      <c r="F2739" t="s"/>
      <c r="G2739" t="s"/>
      <c r="H2739" t="s"/>
      <c r="I2739" t="s"/>
      <c r="J2739" t="n">
        <v>0.3182</v>
      </c>
      <c r="K2739" t="n">
        <v>0</v>
      </c>
      <c r="L2739" t="n">
        <v>0.465</v>
      </c>
      <c r="M2739" t="n">
        <v>0.535</v>
      </c>
    </row>
    <row r="2740" spans="1:13">
      <c r="A2740" s="1">
        <f>HYPERLINK("http://www.twitter.com/NathanBLawrence/status/989890054188302336", "989890054188302336")</f>
        <v/>
      </c>
      <c r="B2740" s="2" t="n">
        <v>43217.64761574074</v>
      </c>
      <c r="C2740" t="n">
        <v>3</v>
      </c>
      <c r="D2740" t="n">
        <v>0</v>
      </c>
      <c r="E2740" t="s">
        <v>2733</v>
      </c>
      <c r="F2740" t="s"/>
      <c r="G2740" t="s"/>
      <c r="H2740" t="s"/>
      <c r="I2740" t="s"/>
      <c r="J2740" t="n">
        <v>0</v>
      </c>
      <c r="K2740" t="n">
        <v>0</v>
      </c>
      <c r="L2740" t="n">
        <v>1</v>
      </c>
      <c r="M2740" t="n">
        <v>0</v>
      </c>
    </row>
    <row r="2741" spans="1:13">
      <c r="A2741" s="1">
        <f>HYPERLINK("http://www.twitter.com/NathanBLawrence/status/989889931790241792", "989889931790241792")</f>
        <v/>
      </c>
      <c r="B2741" s="2" t="n">
        <v>43217.64728009259</v>
      </c>
      <c r="C2741" t="n">
        <v>0</v>
      </c>
      <c r="D2741" t="n">
        <v>22</v>
      </c>
      <c r="E2741" t="s">
        <v>2734</v>
      </c>
      <c r="F2741" t="s"/>
      <c r="G2741" t="s"/>
      <c r="H2741" t="s"/>
      <c r="I2741" t="s"/>
      <c r="J2741" t="n">
        <v>0</v>
      </c>
      <c r="K2741" t="n">
        <v>0</v>
      </c>
      <c r="L2741" t="n">
        <v>1</v>
      </c>
      <c r="M2741" t="n">
        <v>0</v>
      </c>
    </row>
    <row r="2742" spans="1:13">
      <c r="A2742" s="1">
        <f>HYPERLINK("http://www.twitter.com/NathanBLawrence/status/989889914165710848", "989889914165710848")</f>
        <v/>
      </c>
      <c r="B2742" s="2" t="n">
        <v>43217.6472337963</v>
      </c>
      <c r="C2742" t="n">
        <v>3</v>
      </c>
      <c r="D2742" t="n">
        <v>2</v>
      </c>
      <c r="E2742" t="s">
        <v>2735</v>
      </c>
      <c r="F2742" t="s"/>
      <c r="G2742" t="s"/>
      <c r="H2742" t="s"/>
      <c r="I2742" t="s"/>
      <c r="J2742" t="n">
        <v>0</v>
      </c>
      <c r="K2742" t="n">
        <v>0</v>
      </c>
      <c r="L2742" t="n">
        <v>1</v>
      </c>
      <c r="M2742" t="n">
        <v>0</v>
      </c>
    </row>
    <row r="2743" spans="1:13">
      <c r="A2743" s="1">
        <f>HYPERLINK("http://www.twitter.com/NathanBLawrence/status/989889879445327873", "989889879445327873")</f>
        <v/>
      </c>
      <c r="B2743" s="2" t="n">
        <v>43217.64714120371</v>
      </c>
      <c r="C2743" t="n">
        <v>0</v>
      </c>
      <c r="D2743" t="n">
        <v>22</v>
      </c>
      <c r="E2743" t="s">
        <v>2736</v>
      </c>
      <c r="F2743" t="s"/>
      <c r="G2743" t="s"/>
      <c r="H2743" t="s"/>
      <c r="I2743" t="s"/>
      <c r="J2743" t="n">
        <v>0</v>
      </c>
      <c r="K2743" t="n">
        <v>0</v>
      </c>
      <c r="L2743" t="n">
        <v>1</v>
      </c>
      <c r="M2743" t="n">
        <v>0</v>
      </c>
    </row>
    <row r="2744" spans="1:13">
      <c r="A2744" s="1">
        <f>HYPERLINK("http://www.twitter.com/NathanBLawrence/status/989889747467296770", "989889747467296770")</f>
        <v/>
      </c>
      <c r="B2744" s="2" t="n">
        <v>43217.64677083334</v>
      </c>
      <c r="C2744" t="n">
        <v>3</v>
      </c>
      <c r="D2744" t="n">
        <v>2</v>
      </c>
      <c r="E2744" t="s">
        <v>2737</v>
      </c>
      <c r="F2744" t="s"/>
      <c r="G2744" t="s"/>
      <c r="H2744" t="s"/>
      <c r="I2744" t="s"/>
      <c r="J2744" t="n">
        <v>0</v>
      </c>
      <c r="K2744" t="n">
        <v>0</v>
      </c>
      <c r="L2744" t="n">
        <v>1</v>
      </c>
      <c r="M2744" t="n">
        <v>0</v>
      </c>
    </row>
    <row r="2745" spans="1:13">
      <c r="A2745" s="1">
        <f>HYPERLINK("http://www.twitter.com/NathanBLawrence/status/989889670812241921", "989889670812241921")</f>
        <v/>
      </c>
      <c r="B2745" s="2" t="n">
        <v>43217.6465625</v>
      </c>
      <c r="C2745" t="n">
        <v>0</v>
      </c>
      <c r="D2745" t="n">
        <v>30</v>
      </c>
      <c r="E2745" t="s">
        <v>2738</v>
      </c>
      <c r="F2745" t="s"/>
      <c r="G2745" t="s"/>
      <c r="H2745" t="s"/>
      <c r="I2745" t="s"/>
      <c r="J2745" t="n">
        <v>0</v>
      </c>
      <c r="K2745" t="n">
        <v>0</v>
      </c>
      <c r="L2745" t="n">
        <v>1</v>
      </c>
      <c r="M2745" t="n">
        <v>0</v>
      </c>
    </row>
    <row r="2746" spans="1:13">
      <c r="A2746" s="1">
        <f>HYPERLINK("http://www.twitter.com/NathanBLawrence/status/989889341211234305", "989889341211234305")</f>
        <v/>
      </c>
      <c r="B2746" s="2" t="n">
        <v>43217.64564814815</v>
      </c>
      <c r="C2746" t="n">
        <v>1</v>
      </c>
      <c r="D2746" t="n">
        <v>0</v>
      </c>
      <c r="E2746" t="s">
        <v>2739</v>
      </c>
      <c r="F2746">
        <f>HYPERLINK("http://pbs.twimg.com/media/DbzLG9LU0AEcKFE.jpg", "http://pbs.twimg.com/media/DbzLG9LU0AEcKFE.jpg")</f>
        <v/>
      </c>
      <c r="G2746" t="s"/>
      <c r="H2746" t="s"/>
      <c r="I2746" t="s"/>
      <c r="J2746" t="n">
        <v>0</v>
      </c>
      <c r="K2746" t="n">
        <v>0</v>
      </c>
      <c r="L2746" t="n">
        <v>1</v>
      </c>
      <c r="M2746" t="n">
        <v>0</v>
      </c>
    </row>
    <row r="2747" spans="1:13">
      <c r="A2747" s="1">
        <f>HYPERLINK("http://www.twitter.com/NathanBLawrence/status/989887945518866442", "989887945518866442")</f>
        <v/>
      </c>
      <c r="B2747" s="2" t="n">
        <v>43217.64180555556</v>
      </c>
      <c r="C2747" t="n">
        <v>0</v>
      </c>
      <c r="D2747" t="n">
        <v>2</v>
      </c>
      <c r="E2747" t="s">
        <v>2740</v>
      </c>
      <c r="F2747" t="s"/>
      <c r="G2747" t="s"/>
      <c r="H2747" t="s"/>
      <c r="I2747" t="s"/>
      <c r="J2747" t="n">
        <v>0.2732</v>
      </c>
      <c r="K2747" t="n">
        <v>0</v>
      </c>
      <c r="L2747" t="n">
        <v>0.905</v>
      </c>
      <c r="M2747" t="n">
        <v>0.095</v>
      </c>
    </row>
    <row r="2748" spans="1:13">
      <c r="A2748" s="1">
        <f>HYPERLINK("http://www.twitter.com/NathanBLawrence/status/989887750798233600", "989887750798233600")</f>
        <v/>
      </c>
      <c r="B2748" s="2" t="n">
        <v>43217.64126157408</v>
      </c>
      <c r="C2748" t="n">
        <v>0</v>
      </c>
      <c r="D2748" t="n">
        <v>0</v>
      </c>
      <c r="E2748" t="s">
        <v>2741</v>
      </c>
      <c r="F2748" t="s"/>
      <c r="G2748" t="s"/>
      <c r="H2748" t="s"/>
      <c r="I2748" t="s"/>
      <c r="J2748" t="n">
        <v>0.6627999999999999</v>
      </c>
      <c r="K2748" t="n">
        <v>0</v>
      </c>
      <c r="L2748" t="n">
        <v>0.852</v>
      </c>
      <c r="M2748" t="n">
        <v>0.148</v>
      </c>
    </row>
    <row r="2749" spans="1:13">
      <c r="A2749" s="1">
        <f>HYPERLINK("http://www.twitter.com/NathanBLawrence/status/989882959942619136", "989882959942619136")</f>
        <v/>
      </c>
      <c r="B2749" s="2" t="n">
        <v>43217.62804398148</v>
      </c>
      <c r="C2749" t="n">
        <v>0</v>
      </c>
      <c r="D2749" t="n">
        <v>552</v>
      </c>
      <c r="E2749" t="s">
        <v>2742</v>
      </c>
      <c r="F2749">
        <f>HYPERLINK("http://pbs.twimg.com/media/DbvSF-1WkAAiz2p.jpg", "http://pbs.twimg.com/media/DbvSF-1WkAAiz2p.jpg")</f>
        <v/>
      </c>
      <c r="G2749" t="s"/>
      <c r="H2749" t="s"/>
      <c r="I2749" t="s"/>
      <c r="J2749" t="n">
        <v>0.6892</v>
      </c>
      <c r="K2749" t="n">
        <v>0</v>
      </c>
      <c r="L2749" t="n">
        <v>0.794</v>
      </c>
      <c r="M2749" t="n">
        <v>0.206</v>
      </c>
    </row>
    <row r="2750" spans="1:13">
      <c r="A2750" s="1">
        <f>HYPERLINK("http://www.twitter.com/NathanBLawrence/status/989882105265049601", "989882105265049601")</f>
        <v/>
      </c>
      <c r="B2750" s="2" t="n">
        <v>43217.62568287037</v>
      </c>
      <c r="C2750" t="n">
        <v>0</v>
      </c>
      <c r="D2750" t="n">
        <v>20</v>
      </c>
      <c r="E2750" t="s">
        <v>2743</v>
      </c>
      <c r="F2750">
        <f>HYPERLINK("http://pbs.twimg.com/media/DbzBQhrXkAA-4Hc.jpg", "http://pbs.twimg.com/media/DbzBQhrXkAA-4Hc.jpg")</f>
        <v/>
      </c>
      <c r="G2750" t="s"/>
      <c r="H2750" t="s"/>
      <c r="I2750" t="s"/>
      <c r="J2750" t="n">
        <v>0</v>
      </c>
      <c r="K2750" t="n">
        <v>0</v>
      </c>
      <c r="L2750" t="n">
        <v>1</v>
      </c>
      <c r="M2750" t="n">
        <v>0</v>
      </c>
    </row>
    <row r="2751" spans="1:13">
      <c r="A2751" s="1">
        <f>HYPERLINK("http://www.twitter.com/NathanBLawrence/status/989864506649006080", "989864506649006080")</f>
        <v/>
      </c>
      <c r="B2751" s="2" t="n">
        <v>43217.57711805555</v>
      </c>
      <c r="C2751" t="n">
        <v>8</v>
      </c>
      <c r="D2751" t="n">
        <v>4</v>
      </c>
      <c r="E2751" t="s">
        <v>2744</v>
      </c>
      <c r="F2751">
        <f>HYPERLINK("http://pbs.twimg.com/media/Dby0hJSV0AEL7TU.jpg", "http://pbs.twimg.com/media/Dby0hJSV0AEL7TU.jpg")</f>
        <v/>
      </c>
      <c r="G2751" t="s"/>
      <c r="H2751" t="s"/>
      <c r="I2751" t="s"/>
      <c r="J2751" t="n">
        <v>-0.296</v>
      </c>
      <c r="K2751" t="n">
        <v>0.18</v>
      </c>
      <c r="L2751" t="n">
        <v>0.82</v>
      </c>
      <c r="M2751" t="n">
        <v>0</v>
      </c>
    </row>
    <row r="2752" spans="1:13">
      <c r="A2752" s="1">
        <f>HYPERLINK("http://www.twitter.com/NathanBLawrence/status/989863323079532545", "989863323079532545")</f>
        <v/>
      </c>
      <c r="B2752" s="2" t="n">
        <v>43217.57385416667</v>
      </c>
      <c r="C2752" t="n">
        <v>0</v>
      </c>
      <c r="D2752" t="n">
        <v>17</v>
      </c>
      <c r="E2752" t="s">
        <v>2745</v>
      </c>
      <c r="F2752">
        <f>HYPERLINK("http://pbs.twimg.com/media/Dbyyf2DWkAEIl6e.jpg", "http://pbs.twimg.com/media/Dbyyf2DWkAEIl6e.jpg")</f>
        <v/>
      </c>
      <c r="G2752" t="s"/>
      <c r="H2752" t="s"/>
      <c r="I2752" t="s"/>
      <c r="J2752" t="n">
        <v>0</v>
      </c>
      <c r="K2752" t="n">
        <v>0</v>
      </c>
      <c r="L2752" t="n">
        <v>1</v>
      </c>
      <c r="M2752" t="n">
        <v>0</v>
      </c>
    </row>
    <row r="2753" spans="1:13">
      <c r="A2753" s="1">
        <f>HYPERLINK("http://www.twitter.com/NathanBLawrence/status/989862919998406656", "989862919998406656")</f>
        <v/>
      </c>
      <c r="B2753" s="2" t="n">
        <v>43217.57274305556</v>
      </c>
      <c r="C2753" t="n">
        <v>3</v>
      </c>
      <c r="D2753" t="n">
        <v>1</v>
      </c>
      <c r="E2753" t="s">
        <v>2746</v>
      </c>
      <c r="F2753" t="s"/>
      <c r="G2753" t="s"/>
      <c r="H2753" t="s"/>
      <c r="I2753" t="s"/>
      <c r="J2753" t="n">
        <v>0</v>
      </c>
      <c r="K2753" t="n">
        <v>0</v>
      </c>
      <c r="L2753" t="n">
        <v>1</v>
      </c>
      <c r="M2753" t="n">
        <v>0</v>
      </c>
    </row>
    <row r="2754" spans="1:13">
      <c r="A2754" s="1">
        <f>HYPERLINK("http://www.twitter.com/NathanBLawrence/status/989862861425045504", "989862861425045504")</f>
        <v/>
      </c>
      <c r="B2754" s="2" t="n">
        <v>43217.57258101852</v>
      </c>
      <c r="C2754" t="n">
        <v>0</v>
      </c>
      <c r="D2754" t="n">
        <v>2</v>
      </c>
      <c r="E2754" t="s">
        <v>2747</v>
      </c>
      <c r="F2754" t="s"/>
      <c r="G2754" t="s"/>
      <c r="H2754" t="s"/>
      <c r="I2754" t="s"/>
      <c r="J2754" t="n">
        <v>0</v>
      </c>
      <c r="K2754" t="n">
        <v>0</v>
      </c>
      <c r="L2754" t="n">
        <v>1</v>
      </c>
      <c r="M2754" t="n">
        <v>0</v>
      </c>
    </row>
    <row r="2755" spans="1:13">
      <c r="A2755" s="1">
        <f>HYPERLINK("http://www.twitter.com/NathanBLawrence/status/989862235840438272", "989862235840438272")</f>
        <v/>
      </c>
      <c r="B2755" s="2" t="n">
        <v>43217.57085648148</v>
      </c>
      <c r="C2755" t="n">
        <v>11</v>
      </c>
      <c r="D2755" t="n">
        <v>2</v>
      </c>
      <c r="E2755" t="s">
        <v>2748</v>
      </c>
      <c r="F2755" t="s"/>
      <c r="G2755" t="s"/>
      <c r="H2755" t="s"/>
      <c r="I2755" t="s"/>
      <c r="J2755" t="n">
        <v>0.8538</v>
      </c>
      <c r="K2755" t="n">
        <v>0.18</v>
      </c>
      <c r="L2755" t="n">
        <v>0.429</v>
      </c>
      <c r="M2755" t="n">
        <v>0.391</v>
      </c>
    </row>
    <row r="2756" spans="1:13">
      <c r="A2756" s="1">
        <f>HYPERLINK("http://www.twitter.com/NathanBLawrence/status/989861803189506048", "989861803189506048")</f>
        <v/>
      </c>
      <c r="B2756" s="2" t="n">
        <v>43217.56966435185</v>
      </c>
      <c r="C2756" t="n">
        <v>0</v>
      </c>
      <c r="D2756" t="n">
        <v>3844</v>
      </c>
      <c r="E2756" t="s">
        <v>2749</v>
      </c>
      <c r="F2756" t="s"/>
      <c r="G2756" t="s"/>
      <c r="H2756" t="s"/>
      <c r="I2756" t="s"/>
      <c r="J2756" t="n">
        <v>-0.7964</v>
      </c>
      <c r="K2756" t="n">
        <v>0.244</v>
      </c>
      <c r="L2756" t="n">
        <v>0.756</v>
      </c>
      <c r="M2756" t="n">
        <v>0</v>
      </c>
    </row>
    <row r="2757" spans="1:13">
      <c r="A2757" s="1">
        <f>HYPERLINK("http://www.twitter.com/NathanBLawrence/status/989861562566488064", "989861562566488064")</f>
        <v/>
      </c>
      <c r="B2757" s="2" t="n">
        <v>43217.56899305555</v>
      </c>
      <c r="C2757" t="n">
        <v>0</v>
      </c>
      <c r="D2757" t="n">
        <v>1</v>
      </c>
      <c r="E2757" t="s">
        <v>2750</v>
      </c>
      <c r="F2757" t="s"/>
      <c r="G2757" t="s"/>
      <c r="H2757" t="s"/>
      <c r="I2757" t="s"/>
      <c r="J2757" t="n">
        <v>0</v>
      </c>
      <c r="K2757" t="n">
        <v>0</v>
      </c>
      <c r="L2757" t="n">
        <v>1</v>
      </c>
      <c r="M2757" t="n">
        <v>0</v>
      </c>
    </row>
    <row r="2758" spans="1:13">
      <c r="A2758" s="1">
        <f>HYPERLINK("http://www.twitter.com/NathanBLawrence/status/989861388976877569", "989861388976877569")</f>
        <v/>
      </c>
      <c r="B2758" s="2" t="n">
        <v>43217.56851851852</v>
      </c>
      <c r="C2758" t="n">
        <v>0</v>
      </c>
      <c r="D2758" t="n">
        <v>1</v>
      </c>
      <c r="E2758" t="s">
        <v>2751</v>
      </c>
      <c r="F2758" t="s"/>
      <c r="G2758" t="s"/>
      <c r="H2758" t="s"/>
      <c r="I2758" t="s"/>
      <c r="J2758" t="n">
        <v>-0.25</v>
      </c>
      <c r="K2758" t="n">
        <v>0.157</v>
      </c>
      <c r="L2758" t="n">
        <v>0.735</v>
      </c>
      <c r="M2758" t="n">
        <v>0.108</v>
      </c>
    </row>
    <row r="2759" spans="1:13">
      <c r="A2759" s="1">
        <f>HYPERLINK("http://www.twitter.com/NathanBLawrence/status/989861299436818432", "989861299436818432")</f>
        <v/>
      </c>
      <c r="B2759" s="2" t="n">
        <v>43217.56827546296</v>
      </c>
      <c r="C2759" t="n">
        <v>2</v>
      </c>
      <c r="D2759" t="n">
        <v>1</v>
      </c>
      <c r="E2759" t="s">
        <v>2752</v>
      </c>
      <c r="F2759" t="s"/>
      <c r="G2759" t="s"/>
      <c r="H2759" t="s"/>
      <c r="I2759" t="s"/>
      <c r="J2759" t="n">
        <v>0.0258</v>
      </c>
      <c r="K2759" t="n">
        <v>0.089</v>
      </c>
      <c r="L2759" t="n">
        <v>0.8169999999999999</v>
      </c>
      <c r="M2759" t="n">
        <v>0.093</v>
      </c>
    </row>
    <row r="2760" spans="1:13">
      <c r="A2760" s="1">
        <f>HYPERLINK("http://www.twitter.com/NathanBLawrence/status/989859449266491392", "989859449266491392")</f>
        <v/>
      </c>
      <c r="B2760" s="2" t="n">
        <v>43217.56317129629</v>
      </c>
      <c r="C2760" t="n">
        <v>6</v>
      </c>
      <c r="D2760" t="n">
        <v>1</v>
      </c>
      <c r="E2760" t="s">
        <v>2753</v>
      </c>
      <c r="F2760" t="s"/>
      <c r="G2760" t="s"/>
      <c r="H2760" t="s"/>
      <c r="I2760" t="s"/>
      <c r="J2760" t="n">
        <v>0</v>
      </c>
      <c r="K2760" t="n">
        <v>0</v>
      </c>
      <c r="L2760" t="n">
        <v>1</v>
      </c>
      <c r="M2760" t="n">
        <v>0</v>
      </c>
    </row>
    <row r="2761" spans="1:13">
      <c r="A2761" s="1">
        <f>HYPERLINK("http://www.twitter.com/NathanBLawrence/status/989858243622178817", "989858243622178817")</f>
        <v/>
      </c>
      <c r="B2761" s="2" t="n">
        <v>43217.55983796297</v>
      </c>
      <c r="C2761" t="n">
        <v>0</v>
      </c>
      <c r="D2761" t="n">
        <v>25</v>
      </c>
      <c r="E2761" t="s">
        <v>627</v>
      </c>
      <c r="F2761">
        <f>HYPERLINK("http://pbs.twimg.com/media/DbyufcVVQAIATaE.jpg", "http://pbs.twimg.com/media/DbyufcVVQAIATaE.jpg")</f>
        <v/>
      </c>
      <c r="G2761" t="s"/>
      <c r="H2761" t="s"/>
      <c r="I2761" t="s"/>
      <c r="J2761" t="n">
        <v>0</v>
      </c>
      <c r="K2761" t="n">
        <v>0</v>
      </c>
      <c r="L2761" t="n">
        <v>1</v>
      </c>
      <c r="M2761" t="n">
        <v>0</v>
      </c>
    </row>
    <row r="2762" spans="1:13">
      <c r="A2762" s="1">
        <f>HYPERLINK("http://www.twitter.com/NathanBLawrence/status/989857880894525440", "989857880894525440")</f>
        <v/>
      </c>
      <c r="B2762" s="2" t="n">
        <v>43217.5588425926</v>
      </c>
      <c r="C2762" t="n">
        <v>27</v>
      </c>
      <c r="D2762" t="n">
        <v>25</v>
      </c>
      <c r="E2762" t="s">
        <v>2754</v>
      </c>
      <c r="F2762">
        <f>HYPERLINK("http://pbs.twimg.com/media/DbyufcVVQAIATaE.jpg", "http://pbs.twimg.com/media/DbyufcVVQAIATaE.jpg")</f>
        <v/>
      </c>
      <c r="G2762" t="s"/>
      <c r="H2762" t="s"/>
      <c r="I2762" t="s"/>
      <c r="J2762" t="n">
        <v>0.34</v>
      </c>
      <c r="K2762" t="n">
        <v>0.046</v>
      </c>
      <c r="L2762" t="n">
        <v>0.873</v>
      </c>
      <c r="M2762" t="n">
        <v>0.081</v>
      </c>
    </row>
    <row r="2763" spans="1:13">
      <c r="A2763" s="1">
        <f>HYPERLINK("http://www.twitter.com/NathanBLawrence/status/989793590808399872", "989793590808399872")</f>
        <v/>
      </c>
      <c r="B2763" s="2" t="n">
        <v>43217.38143518518</v>
      </c>
      <c r="C2763" t="n">
        <v>3</v>
      </c>
      <c r="D2763" t="n">
        <v>3</v>
      </c>
      <c r="E2763" t="s">
        <v>2755</v>
      </c>
      <c r="F2763" t="s"/>
      <c r="G2763" t="s"/>
      <c r="H2763" t="s"/>
      <c r="I2763" t="s"/>
      <c r="J2763" t="n">
        <v>0.3818</v>
      </c>
      <c r="K2763" t="n">
        <v>0</v>
      </c>
      <c r="L2763" t="n">
        <v>0.885</v>
      </c>
      <c r="M2763" t="n">
        <v>0.115</v>
      </c>
    </row>
    <row r="2764" spans="1:13">
      <c r="A2764" s="1">
        <f>HYPERLINK("http://www.twitter.com/NathanBLawrence/status/989789650335272962", "989789650335272962")</f>
        <v/>
      </c>
      <c r="B2764" s="2" t="n">
        <v>43217.37055555556</v>
      </c>
      <c r="C2764" t="n">
        <v>0</v>
      </c>
      <c r="D2764" t="n">
        <v>200</v>
      </c>
      <c r="E2764" t="s">
        <v>2756</v>
      </c>
      <c r="F2764" t="s"/>
      <c r="G2764" t="s"/>
      <c r="H2764" t="s"/>
      <c r="I2764" t="s"/>
      <c r="J2764" t="n">
        <v>0.2584</v>
      </c>
      <c r="K2764" t="n">
        <v>0</v>
      </c>
      <c r="L2764" t="n">
        <v>0.912</v>
      </c>
      <c r="M2764" t="n">
        <v>0.08799999999999999</v>
      </c>
    </row>
    <row r="2765" spans="1:13">
      <c r="A2765" s="1">
        <f>HYPERLINK("http://www.twitter.com/NathanBLawrence/status/989788114423074816", "989788114423074816")</f>
        <v/>
      </c>
      <c r="B2765" s="2" t="n">
        <v>43217.36631944445</v>
      </c>
      <c r="C2765" t="n">
        <v>0</v>
      </c>
      <c r="D2765" t="n">
        <v>50</v>
      </c>
      <c r="E2765" t="s">
        <v>2757</v>
      </c>
      <c r="F2765" t="s"/>
      <c r="G2765" t="s"/>
      <c r="H2765" t="s"/>
      <c r="I2765" t="s"/>
      <c r="J2765" t="n">
        <v>0.8591</v>
      </c>
      <c r="K2765" t="n">
        <v>0</v>
      </c>
      <c r="L2765" t="n">
        <v>0.656</v>
      </c>
      <c r="M2765" t="n">
        <v>0.344</v>
      </c>
    </row>
    <row r="2766" spans="1:13">
      <c r="A2766" s="1">
        <f>HYPERLINK("http://www.twitter.com/NathanBLawrence/status/989787619633586176", "989787619633586176")</f>
        <v/>
      </c>
      <c r="B2766" s="2" t="n">
        <v>43217.36495370371</v>
      </c>
      <c r="C2766" t="n">
        <v>0</v>
      </c>
      <c r="D2766" t="n">
        <v>40458</v>
      </c>
      <c r="E2766" t="s">
        <v>2758</v>
      </c>
      <c r="F2766" t="s"/>
      <c r="G2766" t="s"/>
      <c r="H2766" t="s"/>
      <c r="I2766" t="s"/>
      <c r="J2766" t="n">
        <v>0</v>
      </c>
      <c r="K2766" t="n">
        <v>0</v>
      </c>
      <c r="L2766" t="n">
        <v>1</v>
      </c>
      <c r="M2766" t="n">
        <v>0</v>
      </c>
    </row>
    <row r="2767" spans="1:13">
      <c r="A2767" s="1">
        <f>HYPERLINK("http://www.twitter.com/NathanBLawrence/status/989783930634027010", "989783930634027010")</f>
        <v/>
      </c>
      <c r="B2767" s="2" t="n">
        <v>43217.3547800926</v>
      </c>
      <c r="C2767" t="n">
        <v>0</v>
      </c>
      <c r="D2767" t="n">
        <v>16</v>
      </c>
      <c r="E2767" t="s">
        <v>2759</v>
      </c>
      <c r="F2767" t="s"/>
      <c r="G2767" t="s"/>
      <c r="H2767" t="s"/>
      <c r="I2767" t="s"/>
      <c r="J2767" t="n">
        <v>0.7096</v>
      </c>
      <c r="K2767" t="n">
        <v>0</v>
      </c>
      <c r="L2767" t="n">
        <v>0.781</v>
      </c>
      <c r="M2767" t="n">
        <v>0.219</v>
      </c>
    </row>
    <row r="2768" spans="1:13">
      <c r="A2768" s="1">
        <f>HYPERLINK("http://www.twitter.com/NathanBLawrence/status/989782168527298560", "989782168527298560")</f>
        <v/>
      </c>
      <c r="B2768" s="2" t="n">
        <v>43217.34990740741</v>
      </c>
      <c r="C2768" t="n">
        <v>0</v>
      </c>
      <c r="D2768" t="n">
        <v>0</v>
      </c>
      <c r="E2768" t="s">
        <v>2760</v>
      </c>
      <c r="F2768">
        <f>HYPERLINK("http://pbs.twimg.com/media/DbxpobDUwAAl_Xx.jpg", "http://pbs.twimg.com/media/DbxpobDUwAAl_Xx.jpg")</f>
        <v/>
      </c>
      <c r="G2768" t="s"/>
      <c r="H2768" t="s"/>
      <c r="I2768" t="s"/>
      <c r="J2768" t="n">
        <v>0.4215</v>
      </c>
      <c r="K2768" t="n">
        <v>0</v>
      </c>
      <c r="L2768" t="n">
        <v>0.714</v>
      </c>
      <c r="M2768" t="n">
        <v>0.286</v>
      </c>
    </row>
    <row r="2769" spans="1:13">
      <c r="A2769" s="1">
        <f>HYPERLINK("http://www.twitter.com/NathanBLawrence/status/989781485187022848", "989781485187022848")</f>
        <v/>
      </c>
      <c r="B2769" s="2" t="n">
        <v>43217.34802083333</v>
      </c>
      <c r="C2769" t="n">
        <v>2</v>
      </c>
      <c r="D2769" t="n">
        <v>0</v>
      </c>
      <c r="E2769" t="s">
        <v>2761</v>
      </c>
      <c r="F2769" t="s"/>
      <c r="G2769" t="s"/>
      <c r="H2769" t="s"/>
      <c r="I2769" t="s"/>
      <c r="J2769" t="n">
        <v>-0.4767</v>
      </c>
      <c r="K2769" t="n">
        <v>0.341</v>
      </c>
      <c r="L2769" t="n">
        <v>0.659</v>
      </c>
      <c r="M2769" t="n">
        <v>0</v>
      </c>
    </row>
    <row r="2770" spans="1:13">
      <c r="A2770" s="1">
        <f>HYPERLINK("http://www.twitter.com/NathanBLawrence/status/989781099311087616", "989781099311087616")</f>
        <v/>
      </c>
      <c r="B2770" s="2" t="n">
        <v>43217.34695601852</v>
      </c>
      <c r="C2770" t="n">
        <v>0</v>
      </c>
      <c r="D2770" t="n">
        <v>307</v>
      </c>
      <c r="E2770" t="s">
        <v>2762</v>
      </c>
      <c r="F2770" t="s"/>
      <c r="G2770" t="s"/>
      <c r="H2770" t="s"/>
      <c r="I2770" t="s"/>
      <c r="J2770" t="n">
        <v>0.2577</v>
      </c>
      <c r="K2770" t="n">
        <v>0.183</v>
      </c>
      <c r="L2770" t="n">
        <v>0.549</v>
      </c>
      <c r="M2770" t="n">
        <v>0.269</v>
      </c>
    </row>
    <row r="2771" spans="1:13">
      <c r="A2771" s="1">
        <f>HYPERLINK("http://www.twitter.com/NathanBLawrence/status/989780925541007360", "989780925541007360")</f>
        <v/>
      </c>
      <c r="B2771" s="2" t="n">
        <v>43217.34648148148</v>
      </c>
      <c r="C2771" t="n">
        <v>0</v>
      </c>
      <c r="D2771" t="n">
        <v>4742</v>
      </c>
      <c r="E2771" t="s">
        <v>2763</v>
      </c>
      <c r="F2771" t="s"/>
      <c r="G2771" t="s"/>
      <c r="H2771" t="s"/>
      <c r="I2771" t="s"/>
      <c r="J2771" t="n">
        <v>0</v>
      </c>
      <c r="K2771" t="n">
        <v>0</v>
      </c>
      <c r="L2771" t="n">
        <v>1</v>
      </c>
      <c r="M2771" t="n">
        <v>0</v>
      </c>
    </row>
    <row r="2772" spans="1:13">
      <c r="A2772" s="1">
        <f>HYPERLINK("http://www.twitter.com/NathanBLawrence/status/989780307971731456", "989780307971731456")</f>
        <v/>
      </c>
      <c r="B2772" s="2" t="n">
        <v>43217.34478009259</v>
      </c>
      <c r="C2772" t="n">
        <v>0</v>
      </c>
      <c r="D2772" t="n">
        <v>4187</v>
      </c>
      <c r="E2772" t="s">
        <v>2764</v>
      </c>
      <c r="F2772">
        <f>HYPERLINK("http://pbs.twimg.com/media/Dbwox7NUQAEsFJO.jpg", "http://pbs.twimg.com/media/Dbwox7NUQAEsFJO.jpg")</f>
        <v/>
      </c>
      <c r="G2772" t="s"/>
      <c r="H2772" t="s"/>
      <c r="I2772" t="s"/>
      <c r="J2772" t="n">
        <v>0.4767</v>
      </c>
      <c r="K2772" t="n">
        <v>0.05</v>
      </c>
      <c r="L2772" t="n">
        <v>0.824</v>
      </c>
      <c r="M2772" t="n">
        <v>0.125</v>
      </c>
    </row>
    <row r="2773" spans="1:13">
      <c r="A2773" s="1">
        <f>HYPERLINK("http://www.twitter.com/NathanBLawrence/status/989778495361306625", "989778495361306625")</f>
        <v/>
      </c>
      <c r="B2773" s="2" t="n">
        <v>43217.3397800926</v>
      </c>
      <c r="C2773" t="n">
        <v>4</v>
      </c>
      <c r="D2773" t="n">
        <v>0</v>
      </c>
      <c r="E2773" t="s">
        <v>2765</v>
      </c>
      <c r="F2773" t="s"/>
      <c r="G2773" t="s"/>
      <c r="H2773" t="s"/>
      <c r="I2773" t="s"/>
      <c r="J2773" t="n">
        <v>0.4404</v>
      </c>
      <c r="K2773" t="n">
        <v>0</v>
      </c>
      <c r="L2773" t="n">
        <v>0.707</v>
      </c>
      <c r="M2773" t="n">
        <v>0.293</v>
      </c>
    </row>
    <row r="2774" spans="1:13">
      <c r="A2774" s="1">
        <f>HYPERLINK("http://www.twitter.com/NathanBLawrence/status/989777739358945281", "989777739358945281")</f>
        <v/>
      </c>
      <c r="B2774" s="2" t="n">
        <v>43217.33768518519</v>
      </c>
      <c r="C2774" t="n">
        <v>0</v>
      </c>
      <c r="D2774" t="n">
        <v>9770</v>
      </c>
      <c r="E2774" t="s">
        <v>2766</v>
      </c>
      <c r="F2774" t="s"/>
      <c r="G2774" t="s"/>
      <c r="H2774" t="s"/>
      <c r="I2774" t="s"/>
      <c r="J2774" t="n">
        <v>-0.7783</v>
      </c>
      <c r="K2774" t="n">
        <v>0.254</v>
      </c>
      <c r="L2774" t="n">
        <v>0.746</v>
      </c>
      <c r="M2774" t="n">
        <v>0</v>
      </c>
    </row>
    <row r="2775" spans="1:13">
      <c r="A2775" s="1">
        <f>HYPERLINK("http://www.twitter.com/NathanBLawrence/status/989717652862988288", "989717652862988288")</f>
        <v/>
      </c>
      <c r="B2775" s="2" t="n">
        <v>43217.17188657408</v>
      </c>
      <c r="C2775" t="n">
        <v>0</v>
      </c>
      <c r="D2775" t="n">
        <v>30</v>
      </c>
      <c r="E2775" t="s">
        <v>2767</v>
      </c>
      <c r="F2775" t="s"/>
      <c r="G2775" t="s"/>
      <c r="H2775" t="s"/>
      <c r="I2775" t="s"/>
      <c r="J2775" t="n">
        <v>0</v>
      </c>
      <c r="K2775" t="n">
        <v>0</v>
      </c>
      <c r="L2775" t="n">
        <v>1</v>
      </c>
      <c r="M2775" t="n">
        <v>0</v>
      </c>
    </row>
    <row r="2776" spans="1:13">
      <c r="A2776" s="1">
        <f>HYPERLINK("http://www.twitter.com/NathanBLawrence/status/989717547783110656", "989717547783110656")</f>
        <v/>
      </c>
      <c r="B2776" s="2" t="n">
        <v>43217.17159722222</v>
      </c>
      <c r="C2776" t="n">
        <v>0</v>
      </c>
      <c r="D2776" t="n">
        <v>6</v>
      </c>
      <c r="E2776" t="s">
        <v>2768</v>
      </c>
      <c r="F2776">
        <f>HYPERLINK("http://pbs.twimg.com/media/Dbwuk_nVQAAB7TW.jpg", "http://pbs.twimg.com/media/Dbwuk_nVQAAB7TW.jpg")</f>
        <v/>
      </c>
      <c r="G2776" t="s"/>
      <c r="H2776" t="s"/>
      <c r="I2776" t="s"/>
      <c r="J2776" t="n">
        <v>-0.2732</v>
      </c>
      <c r="K2776" t="n">
        <v>0.11</v>
      </c>
      <c r="L2776" t="n">
        <v>0.89</v>
      </c>
      <c r="M2776" t="n">
        <v>0</v>
      </c>
    </row>
    <row r="2777" spans="1:13">
      <c r="A2777" s="1">
        <f>HYPERLINK("http://www.twitter.com/NathanBLawrence/status/989710575218380800", "989710575218380800")</f>
        <v/>
      </c>
      <c r="B2777" s="2" t="n">
        <v>43217.15234953703</v>
      </c>
      <c r="C2777" t="n">
        <v>0</v>
      </c>
      <c r="D2777" t="n">
        <v>0</v>
      </c>
      <c r="E2777" t="s">
        <v>2769</v>
      </c>
      <c r="F2777" t="s"/>
      <c r="G2777" t="s"/>
      <c r="H2777" t="s"/>
      <c r="I2777" t="s"/>
      <c r="J2777" t="n">
        <v>0</v>
      </c>
      <c r="K2777" t="n">
        <v>0</v>
      </c>
      <c r="L2777" t="n">
        <v>1</v>
      </c>
      <c r="M2777" t="n">
        <v>0</v>
      </c>
    </row>
    <row r="2778" spans="1:13">
      <c r="A2778" s="1">
        <f>HYPERLINK("http://www.twitter.com/NathanBLawrence/status/989706352548352000", "989706352548352000")</f>
        <v/>
      </c>
      <c r="B2778" s="2" t="n">
        <v>43217.14069444445</v>
      </c>
      <c r="C2778" t="n">
        <v>0</v>
      </c>
      <c r="D2778" t="n">
        <v>0</v>
      </c>
      <c r="E2778" t="s">
        <v>2770</v>
      </c>
      <c r="F2778" t="s"/>
      <c r="G2778" t="s"/>
      <c r="H2778" t="s"/>
      <c r="I2778" t="s"/>
      <c r="J2778" t="n">
        <v>-0.128</v>
      </c>
      <c r="K2778" t="n">
        <v>0.146</v>
      </c>
      <c r="L2778" t="n">
        <v>0.732</v>
      </c>
      <c r="M2778" t="n">
        <v>0.122</v>
      </c>
    </row>
    <row r="2779" spans="1:13">
      <c r="A2779" s="1">
        <f>HYPERLINK("http://www.twitter.com/NathanBLawrence/status/989705609070153728", "989705609070153728")</f>
        <v/>
      </c>
      <c r="B2779" s="2" t="n">
        <v>43217.13864583334</v>
      </c>
      <c r="C2779" t="n">
        <v>0</v>
      </c>
      <c r="D2779" t="n">
        <v>15</v>
      </c>
      <c r="E2779" t="s">
        <v>2771</v>
      </c>
      <c r="F2779">
        <f>HYPERLINK("http://pbs.twimg.com/media/DbvrX0xVQAAlom5.jpg", "http://pbs.twimg.com/media/DbvrX0xVQAAlom5.jpg")</f>
        <v/>
      </c>
      <c r="G2779" t="s"/>
      <c r="H2779" t="s"/>
      <c r="I2779" t="s"/>
      <c r="J2779" t="n">
        <v>0</v>
      </c>
      <c r="K2779" t="n">
        <v>0</v>
      </c>
      <c r="L2779" t="n">
        <v>1</v>
      </c>
      <c r="M2779" t="n">
        <v>0</v>
      </c>
    </row>
    <row r="2780" spans="1:13">
      <c r="A2780" s="1">
        <f>HYPERLINK("http://www.twitter.com/NathanBLawrence/status/989704989453967361", "989704989453967361")</f>
        <v/>
      </c>
      <c r="B2780" s="2" t="n">
        <v>43217.13693287037</v>
      </c>
      <c r="C2780" t="n">
        <v>0</v>
      </c>
      <c r="D2780" t="n">
        <v>1</v>
      </c>
      <c r="E2780" t="s">
        <v>2772</v>
      </c>
      <c r="F2780" t="s"/>
      <c r="G2780" t="s"/>
      <c r="H2780" t="s"/>
      <c r="I2780" t="s"/>
      <c r="J2780" t="n">
        <v>0</v>
      </c>
      <c r="K2780" t="n">
        <v>0</v>
      </c>
      <c r="L2780" t="n">
        <v>1</v>
      </c>
      <c r="M2780" t="n">
        <v>0</v>
      </c>
    </row>
    <row r="2781" spans="1:13">
      <c r="A2781" s="1">
        <f>HYPERLINK("http://www.twitter.com/NathanBLawrence/status/989704912362770433", "989704912362770433")</f>
        <v/>
      </c>
      <c r="B2781" s="2" t="n">
        <v>43217.13672453703</v>
      </c>
      <c r="C2781" t="n">
        <v>0</v>
      </c>
      <c r="D2781" t="n">
        <v>1</v>
      </c>
      <c r="E2781" t="s">
        <v>2773</v>
      </c>
      <c r="F2781" t="s"/>
      <c r="G2781" t="s"/>
      <c r="H2781" t="s"/>
      <c r="I2781" t="s"/>
      <c r="J2781" t="n">
        <v>0</v>
      </c>
      <c r="K2781" t="n">
        <v>0</v>
      </c>
      <c r="L2781" t="n">
        <v>1</v>
      </c>
      <c r="M2781" t="n">
        <v>0</v>
      </c>
    </row>
    <row r="2782" spans="1:13">
      <c r="A2782" s="1">
        <f>HYPERLINK("http://www.twitter.com/NathanBLawrence/status/989704752970780677", "989704752970780677")</f>
        <v/>
      </c>
      <c r="B2782" s="2" t="n">
        <v>43217.13628472222</v>
      </c>
      <c r="C2782" t="n">
        <v>0</v>
      </c>
      <c r="D2782" t="n">
        <v>0</v>
      </c>
      <c r="E2782" t="s">
        <v>2774</v>
      </c>
      <c r="F2782">
        <f>HYPERLINK("http://pbs.twimg.com/media/DbwjONgU8AAlGe5.jpg", "http://pbs.twimg.com/media/DbwjONgU8AAlGe5.jpg")</f>
        <v/>
      </c>
      <c r="G2782" t="s"/>
      <c r="H2782" t="s"/>
      <c r="I2782" t="s"/>
      <c r="J2782" t="n">
        <v>0.2023</v>
      </c>
      <c r="K2782" t="n">
        <v>0.065</v>
      </c>
      <c r="L2782" t="n">
        <v>0.85</v>
      </c>
      <c r="M2782" t="n">
        <v>0.08500000000000001</v>
      </c>
    </row>
    <row r="2783" spans="1:13">
      <c r="A2783" s="1">
        <f>HYPERLINK("http://www.twitter.com/NathanBLawrence/status/989654921023819776", "989654921023819776")</f>
        <v/>
      </c>
      <c r="B2783" s="2" t="n">
        <v>43216.99877314815</v>
      </c>
      <c r="C2783" t="n">
        <v>0</v>
      </c>
      <c r="D2783" t="n">
        <v>652</v>
      </c>
      <c r="E2783" t="s">
        <v>2775</v>
      </c>
      <c r="F2783">
        <f>HYPERLINK("http://pbs.twimg.com/media/Dbv09kbW4AIK5MI.jpg", "http://pbs.twimg.com/media/Dbv09kbW4AIK5MI.jpg")</f>
        <v/>
      </c>
      <c r="G2783" t="s"/>
      <c r="H2783" t="s"/>
      <c r="I2783" t="s"/>
      <c r="J2783" t="n">
        <v>0.25</v>
      </c>
      <c r="K2783" t="n">
        <v>0.08799999999999999</v>
      </c>
      <c r="L2783" t="n">
        <v>0.765</v>
      </c>
      <c r="M2783" t="n">
        <v>0.147</v>
      </c>
    </row>
    <row r="2784" spans="1:13">
      <c r="A2784" s="1">
        <f>HYPERLINK("http://www.twitter.com/NathanBLawrence/status/989654700860391424", "989654700860391424")</f>
        <v/>
      </c>
      <c r="B2784" s="2" t="n">
        <v>43216.9981712963</v>
      </c>
      <c r="C2784" t="n">
        <v>0</v>
      </c>
      <c r="D2784" t="n">
        <v>173</v>
      </c>
      <c r="E2784" t="s">
        <v>2776</v>
      </c>
      <c r="F2784">
        <f>HYPERLINK("http://pbs.twimg.com/media/Dbv1HUyWkAAOsto.jpg", "http://pbs.twimg.com/media/Dbv1HUyWkAAOsto.jpg")</f>
        <v/>
      </c>
      <c r="G2784" t="s"/>
      <c r="H2784" t="s"/>
      <c r="I2784" t="s"/>
      <c r="J2784" t="n">
        <v>0</v>
      </c>
      <c r="K2784" t="n">
        <v>0</v>
      </c>
      <c r="L2784" t="n">
        <v>1</v>
      </c>
      <c r="M2784" t="n">
        <v>0</v>
      </c>
    </row>
    <row r="2785" spans="1:13">
      <c r="A2785" s="1">
        <f>HYPERLINK("http://www.twitter.com/NathanBLawrence/status/989652528320139264", "989652528320139264")</f>
        <v/>
      </c>
      <c r="B2785" s="2" t="n">
        <v>43216.99217592592</v>
      </c>
      <c r="C2785" t="n">
        <v>0</v>
      </c>
      <c r="D2785" t="n">
        <v>0</v>
      </c>
      <c r="E2785" t="s">
        <v>2777</v>
      </c>
      <c r="F2785" t="s"/>
      <c r="G2785" t="s"/>
      <c r="H2785" t="s"/>
      <c r="I2785" t="s"/>
      <c r="J2785" t="n">
        <v>-0.4019</v>
      </c>
      <c r="K2785" t="n">
        <v>0.212</v>
      </c>
      <c r="L2785" t="n">
        <v>0.67</v>
      </c>
      <c r="M2785" t="n">
        <v>0.117</v>
      </c>
    </row>
    <row r="2786" spans="1:13">
      <c r="A2786" s="1">
        <f>HYPERLINK("http://www.twitter.com/NathanBLawrence/status/989652287755874304", "989652287755874304")</f>
        <v/>
      </c>
      <c r="B2786" s="2" t="n">
        <v>43216.99150462963</v>
      </c>
      <c r="C2786" t="n">
        <v>0</v>
      </c>
      <c r="D2786" t="n">
        <v>1</v>
      </c>
      <c r="E2786" t="s">
        <v>2778</v>
      </c>
      <c r="F2786" t="s"/>
      <c r="G2786" t="s"/>
      <c r="H2786" t="s"/>
      <c r="I2786" t="s"/>
      <c r="J2786" t="n">
        <v>-0.516</v>
      </c>
      <c r="K2786" t="n">
        <v>0.122</v>
      </c>
      <c r="L2786" t="n">
        <v>0.878</v>
      </c>
      <c r="M2786" t="n">
        <v>0</v>
      </c>
    </row>
    <row r="2787" spans="1:13">
      <c r="A2787" s="1">
        <f>HYPERLINK("http://www.twitter.com/NathanBLawrence/status/989652228276391938", "989652228276391938")</f>
        <v/>
      </c>
      <c r="B2787" s="2" t="n">
        <v>43216.99134259259</v>
      </c>
      <c r="C2787" t="n">
        <v>0</v>
      </c>
      <c r="D2787" t="n">
        <v>1</v>
      </c>
      <c r="E2787" t="s">
        <v>2779</v>
      </c>
      <c r="F2787" t="s"/>
      <c r="G2787" t="s"/>
      <c r="H2787" t="s"/>
      <c r="I2787" t="s"/>
      <c r="J2787" t="n">
        <v>0.2378</v>
      </c>
      <c r="K2787" t="n">
        <v>0.064</v>
      </c>
      <c r="L2787" t="n">
        <v>0.795</v>
      </c>
      <c r="M2787" t="n">
        <v>0.141</v>
      </c>
    </row>
    <row r="2788" spans="1:13">
      <c r="A2788" s="1">
        <f>HYPERLINK("http://www.twitter.com/NathanBLawrence/status/989652065252241408", "989652065252241408")</f>
        <v/>
      </c>
      <c r="B2788" s="2" t="n">
        <v>43216.99089120371</v>
      </c>
      <c r="C2788" t="n">
        <v>0</v>
      </c>
      <c r="D2788" t="n">
        <v>1</v>
      </c>
      <c r="E2788" t="s">
        <v>2780</v>
      </c>
      <c r="F2788" t="s"/>
      <c r="G2788" t="s"/>
      <c r="H2788" t="s"/>
      <c r="I2788" t="s"/>
      <c r="J2788" t="n">
        <v>0.2378</v>
      </c>
      <c r="K2788" t="n">
        <v>0.034</v>
      </c>
      <c r="L2788" t="n">
        <v>0.891</v>
      </c>
      <c r="M2788" t="n">
        <v>0.075</v>
      </c>
    </row>
    <row r="2789" spans="1:13">
      <c r="A2789" s="1">
        <f>HYPERLINK("http://www.twitter.com/NathanBLawrence/status/989644293999603712", "989644293999603712")</f>
        <v/>
      </c>
      <c r="B2789" s="2" t="n">
        <v>43216.96945601852</v>
      </c>
      <c r="C2789" t="n">
        <v>0</v>
      </c>
      <c r="D2789" t="n">
        <v>18</v>
      </c>
      <c r="E2789" t="s">
        <v>2781</v>
      </c>
      <c r="F2789">
        <f>HYPERLINK("http://pbs.twimg.com/media/DbvrOT0XUAApZoK.jpg", "http://pbs.twimg.com/media/DbvrOT0XUAApZoK.jpg")</f>
        <v/>
      </c>
      <c r="G2789" t="s"/>
      <c r="H2789" t="s"/>
      <c r="I2789" t="s"/>
      <c r="J2789" t="n">
        <v>0</v>
      </c>
      <c r="K2789" t="n">
        <v>0</v>
      </c>
      <c r="L2789" t="n">
        <v>1</v>
      </c>
      <c r="M2789" t="n">
        <v>0</v>
      </c>
    </row>
    <row r="2790" spans="1:13">
      <c r="A2790" s="1">
        <f>HYPERLINK("http://www.twitter.com/NathanBLawrence/status/989644277805473793", "989644277805473793")</f>
        <v/>
      </c>
      <c r="B2790" s="2" t="n">
        <v>43216.96940972222</v>
      </c>
      <c r="C2790" t="n">
        <v>0</v>
      </c>
      <c r="D2790" t="n">
        <v>13</v>
      </c>
      <c r="E2790" t="s">
        <v>2782</v>
      </c>
      <c r="F2790" t="s"/>
      <c r="G2790" t="s"/>
      <c r="H2790" t="s"/>
      <c r="I2790" t="s"/>
      <c r="J2790" t="n">
        <v>0</v>
      </c>
      <c r="K2790" t="n">
        <v>0</v>
      </c>
      <c r="L2790" t="n">
        <v>1</v>
      </c>
      <c r="M2790" t="n">
        <v>0</v>
      </c>
    </row>
    <row r="2791" spans="1:13">
      <c r="A2791" s="1">
        <f>HYPERLINK("http://www.twitter.com/NathanBLawrence/status/989644247774220288", "989644247774220288")</f>
        <v/>
      </c>
      <c r="B2791" s="2" t="n">
        <v>43216.9693287037</v>
      </c>
      <c r="C2791" t="n">
        <v>0</v>
      </c>
      <c r="D2791" t="n">
        <v>16</v>
      </c>
      <c r="E2791" t="s">
        <v>2783</v>
      </c>
      <c r="F2791" t="s"/>
      <c r="G2791" t="s"/>
      <c r="H2791" t="s"/>
      <c r="I2791" t="s"/>
      <c r="J2791" t="n">
        <v>0</v>
      </c>
      <c r="K2791" t="n">
        <v>0</v>
      </c>
      <c r="L2791" t="n">
        <v>1</v>
      </c>
      <c r="M2791" t="n">
        <v>0</v>
      </c>
    </row>
    <row r="2792" spans="1:13">
      <c r="A2792" s="1">
        <f>HYPERLINK("http://www.twitter.com/NathanBLawrence/status/989644193717981184", "989644193717981184")</f>
        <v/>
      </c>
      <c r="B2792" s="2" t="n">
        <v>43216.96917824074</v>
      </c>
      <c r="C2792" t="n">
        <v>0</v>
      </c>
      <c r="D2792" t="n">
        <v>4163</v>
      </c>
      <c r="E2792" t="s">
        <v>2784</v>
      </c>
      <c r="F2792" t="s"/>
      <c r="G2792" t="s"/>
      <c r="H2792" t="s"/>
      <c r="I2792" t="s"/>
      <c r="J2792" t="n">
        <v>-0.6335</v>
      </c>
      <c r="K2792" t="n">
        <v>0.241</v>
      </c>
      <c r="L2792" t="n">
        <v>0.6860000000000001</v>
      </c>
      <c r="M2792" t="n">
        <v>0.073</v>
      </c>
    </row>
    <row r="2793" spans="1:13">
      <c r="A2793" s="1">
        <f>HYPERLINK("http://www.twitter.com/NathanBLawrence/status/989643837806137345", "989643837806137345")</f>
        <v/>
      </c>
      <c r="B2793" s="2" t="n">
        <v>43216.96819444445</v>
      </c>
      <c r="C2793" t="n">
        <v>1</v>
      </c>
      <c r="D2793" t="n">
        <v>0</v>
      </c>
      <c r="E2793" t="s">
        <v>2785</v>
      </c>
      <c r="F2793" t="s"/>
      <c r="G2793" t="s"/>
      <c r="H2793" t="s"/>
      <c r="I2793" t="s"/>
      <c r="J2793" t="n">
        <v>0.0772</v>
      </c>
      <c r="K2793" t="n">
        <v>0.237</v>
      </c>
      <c r="L2793" t="n">
        <v>0.515</v>
      </c>
      <c r="M2793" t="n">
        <v>0.247</v>
      </c>
    </row>
    <row r="2794" spans="1:13">
      <c r="A2794" s="1">
        <f>HYPERLINK("http://www.twitter.com/NathanBLawrence/status/989643354811052032", "989643354811052032")</f>
        <v/>
      </c>
      <c r="B2794" s="2" t="n">
        <v>43216.96686342593</v>
      </c>
      <c r="C2794" t="n">
        <v>0</v>
      </c>
      <c r="D2794" t="n">
        <v>1</v>
      </c>
      <c r="E2794" t="s">
        <v>2786</v>
      </c>
      <c r="F2794" t="s"/>
      <c r="G2794" t="s"/>
      <c r="H2794" t="s"/>
      <c r="I2794" t="s"/>
      <c r="J2794" t="n">
        <v>-0.6311</v>
      </c>
      <c r="K2794" t="n">
        <v>0.311</v>
      </c>
      <c r="L2794" t="n">
        <v>0.578</v>
      </c>
      <c r="M2794" t="n">
        <v>0.111</v>
      </c>
    </row>
    <row r="2795" spans="1:13">
      <c r="A2795" s="1">
        <f>HYPERLINK("http://www.twitter.com/NathanBLawrence/status/989643302176739329", "989643302176739329")</f>
        <v/>
      </c>
      <c r="B2795" s="2" t="n">
        <v>43216.96671296296</v>
      </c>
      <c r="C2795" t="n">
        <v>0</v>
      </c>
      <c r="D2795" t="n">
        <v>1</v>
      </c>
      <c r="E2795" t="s">
        <v>2787</v>
      </c>
      <c r="F2795" t="s"/>
      <c r="G2795" t="s"/>
      <c r="H2795" t="s"/>
      <c r="I2795" t="s"/>
      <c r="J2795" t="n">
        <v>0</v>
      </c>
      <c r="K2795" t="n">
        <v>0</v>
      </c>
      <c r="L2795" t="n">
        <v>1</v>
      </c>
      <c r="M2795" t="n">
        <v>0</v>
      </c>
    </row>
    <row r="2796" spans="1:13">
      <c r="A2796" s="1">
        <f>HYPERLINK("http://www.twitter.com/NathanBLawrence/status/989643244819509248", "989643244819509248")</f>
        <v/>
      </c>
      <c r="B2796" s="2" t="n">
        <v>43216.96655092593</v>
      </c>
      <c r="C2796" t="n">
        <v>0</v>
      </c>
      <c r="D2796" t="n">
        <v>5</v>
      </c>
      <c r="E2796" t="s">
        <v>2788</v>
      </c>
      <c r="F2796">
        <f>HYPERLINK("http://pbs.twimg.com/media/DbveVyIWsAA1rl4.jpg", "http://pbs.twimg.com/media/DbveVyIWsAA1rl4.jpg")</f>
        <v/>
      </c>
      <c r="G2796" t="s"/>
      <c r="H2796" t="s"/>
      <c r="I2796" t="s"/>
      <c r="J2796" t="n">
        <v>0</v>
      </c>
      <c r="K2796" t="n">
        <v>0</v>
      </c>
      <c r="L2796" t="n">
        <v>1</v>
      </c>
      <c r="M2796" t="n">
        <v>0</v>
      </c>
    </row>
    <row r="2797" spans="1:13">
      <c r="A2797" s="1">
        <f>HYPERLINK("http://www.twitter.com/NathanBLawrence/status/989643231850827777", "989643231850827777")</f>
        <v/>
      </c>
      <c r="B2797" s="2" t="n">
        <v>43216.96651620371</v>
      </c>
      <c r="C2797" t="n">
        <v>0</v>
      </c>
      <c r="D2797" t="n">
        <v>0</v>
      </c>
      <c r="E2797" t="s">
        <v>2789</v>
      </c>
      <c r="F2797" t="s"/>
      <c r="G2797" t="s"/>
      <c r="H2797" t="s"/>
      <c r="I2797" t="s"/>
      <c r="J2797" t="n">
        <v>-0.5256</v>
      </c>
      <c r="K2797" t="n">
        <v>0.531</v>
      </c>
      <c r="L2797" t="n">
        <v>0.469</v>
      </c>
      <c r="M2797" t="n">
        <v>0</v>
      </c>
    </row>
    <row r="2798" spans="1:13">
      <c r="A2798" s="1">
        <f>HYPERLINK("http://www.twitter.com/NathanBLawrence/status/989643073411076096", "989643073411076096")</f>
        <v/>
      </c>
      <c r="B2798" s="2" t="n">
        <v>43216.96608796297</v>
      </c>
      <c r="C2798" t="n">
        <v>0</v>
      </c>
      <c r="D2798" t="n">
        <v>1</v>
      </c>
      <c r="E2798" t="s">
        <v>2790</v>
      </c>
      <c r="F2798" t="s"/>
      <c r="G2798" t="s"/>
      <c r="H2798" t="s"/>
      <c r="I2798" t="s"/>
      <c r="J2798" t="n">
        <v>0.2023</v>
      </c>
      <c r="K2798" t="n">
        <v>0</v>
      </c>
      <c r="L2798" t="n">
        <v>0.93</v>
      </c>
      <c r="M2798" t="n">
        <v>0.07000000000000001</v>
      </c>
    </row>
    <row r="2799" spans="1:13">
      <c r="A2799" s="1">
        <f>HYPERLINK("http://www.twitter.com/NathanBLawrence/status/989642678479532034", "989642678479532034")</f>
        <v/>
      </c>
      <c r="B2799" s="2" t="n">
        <v>43216.96498842593</v>
      </c>
      <c r="C2799" t="n">
        <v>0</v>
      </c>
      <c r="D2799" t="n">
        <v>0</v>
      </c>
      <c r="E2799" t="s">
        <v>2791</v>
      </c>
      <c r="F2799" t="s"/>
      <c r="G2799" t="s"/>
      <c r="H2799" t="s"/>
      <c r="I2799" t="s"/>
      <c r="J2799" t="n">
        <v>-0.2382</v>
      </c>
      <c r="K2799" t="n">
        <v>0.147</v>
      </c>
      <c r="L2799" t="n">
        <v>0.762</v>
      </c>
      <c r="M2799" t="n">
        <v>0.091</v>
      </c>
    </row>
    <row r="2800" spans="1:13">
      <c r="A2800" s="1">
        <f>HYPERLINK("http://www.twitter.com/NathanBLawrence/status/989642268553437184", "989642268553437184")</f>
        <v/>
      </c>
      <c r="B2800" s="2" t="n">
        <v>43216.96386574074</v>
      </c>
      <c r="C2800" t="n">
        <v>0</v>
      </c>
      <c r="D2800" t="n">
        <v>1</v>
      </c>
      <c r="E2800" t="s">
        <v>2792</v>
      </c>
      <c r="F2800" t="s"/>
      <c r="G2800" t="s"/>
      <c r="H2800" t="s"/>
      <c r="I2800" t="s"/>
      <c r="J2800" t="n">
        <v>0.6249</v>
      </c>
      <c r="K2800" t="n">
        <v>0</v>
      </c>
      <c r="L2800" t="n">
        <v>0.6870000000000001</v>
      </c>
      <c r="M2800" t="n">
        <v>0.313</v>
      </c>
    </row>
    <row r="2801" spans="1:13">
      <c r="A2801" s="1">
        <f>HYPERLINK("http://www.twitter.com/NathanBLawrence/status/989626033702952960", "989626033702952960")</f>
        <v/>
      </c>
      <c r="B2801" s="2" t="n">
        <v>43216.9190625</v>
      </c>
      <c r="C2801" t="n">
        <v>0</v>
      </c>
      <c r="D2801" t="n">
        <v>0</v>
      </c>
      <c r="E2801" t="s">
        <v>2793</v>
      </c>
      <c r="F2801">
        <f>HYPERLINK("http://pbs.twimg.com/media/DbvboWqUQAEzDYk.jpg", "http://pbs.twimg.com/media/DbvboWqUQAEzDYk.jpg")</f>
        <v/>
      </c>
      <c r="G2801" t="s"/>
      <c r="H2801" t="s"/>
      <c r="I2801" t="s"/>
      <c r="J2801" t="n">
        <v>0</v>
      </c>
      <c r="K2801" t="n">
        <v>0</v>
      </c>
      <c r="L2801" t="n">
        <v>1</v>
      </c>
      <c r="M2801" t="n">
        <v>0</v>
      </c>
    </row>
    <row r="2802" spans="1:13">
      <c r="A2802" s="1">
        <f>HYPERLINK("http://www.twitter.com/NathanBLawrence/status/989625234025218051", "989625234025218051")</f>
        <v/>
      </c>
      <c r="B2802" s="2" t="n">
        <v>43216.91685185185</v>
      </c>
      <c r="C2802" t="n">
        <v>0</v>
      </c>
      <c r="D2802" t="n">
        <v>0</v>
      </c>
      <c r="E2802" t="s">
        <v>2794</v>
      </c>
      <c r="F2802" t="s"/>
      <c r="G2802" t="s"/>
      <c r="H2802" t="s"/>
      <c r="I2802" t="s"/>
      <c r="J2802" t="n">
        <v>0</v>
      </c>
      <c r="K2802" t="n">
        <v>0</v>
      </c>
      <c r="L2802" t="n">
        <v>1</v>
      </c>
      <c r="M2802" t="n">
        <v>0</v>
      </c>
    </row>
    <row r="2803" spans="1:13">
      <c r="A2803" s="1">
        <f>HYPERLINK("http://www.twitter.com/NathanBLawrence/status/989624262704222214", "989624262704222214")</f>
        <v/>
      </c>
      <c r="B2803" s="2" t="n">
        <v>43216.91417824074</v>
      </c>
      <c r="C2803" t="n">
        <v>0</v>
      </c>
      <c r="D2803" t="n">
        <v>0</v>
      </c>
      <c r="E2803" t="s">
        <v>2795</v>
      </c>
      <c r="F2803" t="s"/>
      <c r="G2803" t="s"/>
      <c r="H2803" t="s"/>
      <c r="I2803" t="s"/>
      <c r="J2803" t="n">
        <v>-0.2047</v>
      </c>
      <c r="K2803" t="n">
        <v>0.218</v>
      </c>
      <c r="L2803" t="n">
        <v>0.656</v>
      </c>
      <c r="M2803" t="n">
        <v>0.126</v>
      </c>
    </row>
    <row r="2804" spans="1:13">
      <c r="A2804" s="1">
        <f>HYPERLINK("http://www.twitter.com/NathanBLawrence/status/989623082091536384", "989623082091536384")</f>
        <v/>
      </c>
      <c r="B2804" s="2" t="n">
        <v>43216.91091435185</v>
      </c>
      <c r="C2804" t="n">
        <v>0</v>
      </c>
      <c r="D2804" t="n">
        <v>2</v>
      </c>
      <c r="E2804" t="s">
        <v>2796</v>
      </c>
      <c r="F2804" t="s"/>
      <c r="G2804" t="s"/>
      <c r="H2804" t="s"/>
      <c r="I2804" t="s"/>
      <c r="J2804" t="n">
        <v>-0.631</v>
      </c>
      <c r="K2804" t="n">
        <v>0.142</v>
      </c>
      <c r="L2804" t="n">
        <v>0.858</v>
      </c>
      <c r="M2804" t="n">
        <v>0</v>
      </c>
    </row>
    <row r="2805" spans="1:13">
      <c r="A2805" s="1">
        <f>HYPERLINK("http://www.twitter.com/NathanBLawrence/status/989622720299184129", "989622720299184129")</f>
        <v/>
      </c>
      <c r="B2805" s="2" t="n">
        <v>43216.90991898148</v>
      </c>
      <c r="C2805" t="n">
        <v>0</v>
      </c>
      <c r="D2805" t="n">
        <v>2</v>
      </c>
      <c r="E2805" t="s">
        <v>2797</v>
      </c>
      <c r="F2805" t="s"/>
      <c r="G2805" t="s"/>
      <c r="H2805" t="s"/>
      <c r="I2805" t="s"/>
      <c r="J2805" t="n">
        <v>-0.7184</v>
      </c>
      <c r="K2805" t="n">
        <v>0.24</v>
      </c>
      <c r="L2805" t="n">
        <v>0.76</v>
      </c>
      <c r="M2805" t="n">
        <v>0</v>
      </c>
    </row>
    <row r="2806" spans="1:13">
      <c r="A2806" s="1">
        <f>HYPERLINK("http://www.twitter.com/NathanBLawrence/status/989622667878830080", "989622667878830080")</f>
        <v/>
      </c>
      <c r="B2806" s="2" t="n">
        <v>43216.90976851852</v>
      </c>
      <c r="C2806" t="n">
        <v>0</v>
      </c>
      <c r="D2806" t="n">
        <v>2</v>
      </c>
      <c r="E2806" t="s">
        <v>2798</v>
      </c>
      <c r="F2806" t="s"/>
      <c r="G2806" t="s"/>
      <c r="H2806" t="s"/>
      <c r="I2806" t="s"/>
      <c r="J2806" t="n">
        <v>-0.7845</v>
      </c>
      <c r="K2806" t="n">
        <v>0.257</v>
      </c>
      <c r="L2806" t="n">
        <v>0.743</v>
      </c>
      <c r="M2806" t="n">
        <v>0</v>
      </c>
    </row>
    <row r="2807" spans="1:13">
      <c r="A2807" s="1">
        <f>HYPERLINK("http://www.twitter.com/NathanBLawrence/status/989622568779943936", "989622568779943936")</f>
        <v/>
      </c>
      <c r="B2807" s="2" t="n">
        <v>43216.90950231482</v>
      </c>
      <c r="C2807" t="n">
        <v>0</v>
      </c>
      <c r="D2807" t="n">
        <v>15</v>
      </c>
      <c r="E2807" t="s">
        <v>2799</v>
      </c>
      <c r="F2807" t="s"/>
      <c r="G2807" t="s"/>
      <c r="H2807" t="s"/>
      <c r="I2807" t="s"/>
      <c r="J2807" t="n">
        <v>-0.6705</v>
      </c>
      <c r="K2807" t="n">
        <v>0.249</v>
      </c>
      <c r="L2807" t="n">
        <v>0.657</v>
      </c>
      <c r="M2807" t="n">
        <v>0.093</v>
      </c>
    </row>
    <row r="2808" spans="1:13">
      <c r="A2808" s="1">
        <f>HYPERLINK("http://www.twitter.com/NathanBLawrence/status/989622306258542593", "989622306258542593")</f>
        <v/>
      </c>
      <c r="B2808" s="2" t="n">
        <v>43216.90877314815</v>
      </c>
      <c r="C2808" t="n">
        <v>0</v>
      </c>
      <c r="D2808" t="n">
        <v>0</v>
      </c>
      <c r="E2808" t="s">
        <v>2800</v>
      </c>
      <c r="F2808" t="s"/>
      <c r="G2808" t="s"/>
      <c r="H2808" t="s"/>
      <c r="I2808" t="s"/>
      <c r="J2808" t="n">
        <v>0</v>
      </c>
      <c r="K2808" t="n">
        <v>0</v>
      </c>
      <c r="L2808" t="n">
        <v>1</v>
      </c>
      <c r="M2808" t="n">
        <v>0</v>
      </c>
    </row>
    <row r="2809" spans="1:13">
      <c r="A2809" s="1">
        <f>HYPERLINK("http://www.twitter.com/NathanBLawrence/status/989621879253229568", "989621879253229568")</f>
        <v/>
      </c>
      <c r="B2809" s="2" t="n">
        <v>43216.90759259259</v>
      </c>
      <c r="C2809" t="n">
        <v>0</v>
      </c>
      <c r="D2809" t="n">
        <v>1</v>
      </c>
      <c r="E2809" t="s">
        <v>2801</v>
      </c>
      <c r="F2809" t="s"/>
      <c r="G2809" t="s"/>
      <c r="H2809" t="s"/>
      <c r="I2809" t="s"/>
      <c r="J2809" t="n">
        <v>0</v>
      </c>
      <c r="K2809" t="n">
        <v>0</v>
      </c>
      <c r="L2809" t="n">
        <v>1</v>
      </c>
      <c r="M2809" t="n">
        <v>0</v>
      </c>
    </row>
    <row r="2810" spans="1:13">
      <c r="A2810" s="1">
        <f>HYPERLINK("http://www.twitter.com/NathanBLawrence/status/989621790321381377", "989621790321381377")</f>
        <v/>
      </c>
      <c r="B2810" s="2" t="n">
        <v>43216.90734953704</v>
      </c>
      <c r="C2810" t="n">
        <v>1</v>
      </c>
      <c r="D2810" t="n">
        <v>0</v>
      </c>
      <c r="E2810" t="s">
        <v>2802</v>
      </c>
      <c r="F2810" t="s"/>
      <c r="G2810" t="s"/>
      <c r="H2810" t="s"/>
      <c r="I2810" t="s"/>
      <c r="J2810" t="n">
        <v>0.4497</v>
      </c>
      <c r="K2810" t="n">
        <v>0</v>
      </c>
      <c r="L2810" t="n">
        <v>0.908</v>
      </c>
      <c r="M2810" t="n">
        <v>0.092</v>
      </c>
    </row>
    <row r="2811" spans="1:13">
      <c r="A2811" s="1">
        <f>HYPERLINK("http://www.twitter.com/NathanBLawrence/status/989621140543942664", "989621140543942664")</f>
        <v/>
      </c>
      <c r="B2811" s="2" t="n">
        <v>43216.90555555555</v>
      </c>
      <c r="C2811" t="n">
        <v>0</v>
      </c>
      <c r="D2811" t="n">
        <v>1</v>
      </c>
      <c r="E2811" t="s">
        <v>2803</v>
      </c>
      <c r="F2811" t="s"/>
      <c r="G2811" t="s"/>
      <c r="H2811" t="s"/>
      <c r="I2811" t="s"/>
      <c r="J2811" t="n">
        <v>0</v>
      </c>
      <c r="K2811" t="n">
        <v>0</v>
      </c>
      <c r="L2811" t="n">
        <v>1</v>
      </c>
      <c r="M2811" t="n">
        <v>0</v>
      </c>
    </row>
    <row r="2812" spans="1:13">
      <c r="A2812" s="1">
        <f>HYPERLINK("http://www.twitter.com/NathanBLawrence/status/989620410433134594", "989620410433134594")</f>
        <v/>
      </c>
      <c r="B2812" s="2" t="n">
        <v>43216.90354166667</v>
      </c>
      <c r="C2812" t="n">
        <v>0</v>
      </c>
      <c r="D2812" t="n">
        <v>0</v>
      </c>
      <c r="E2812" t="s">
        <v>2804</v>
      </c>
      <c r="F2812" t="s"/>
      <c r="G2812" t="s"/>
      <c r="H2812" t="s"/>
      <c r="I2812" t="s"/>
      <c r="J2812" t="n">
        <v>0.4404</v>
      </c>
      <c r="K2812" t="n">
        <v>0</v>
      </c>
      <c r="L2812" t="n">
        <v>0.508</v>
      </c>
      <c r="M2812" t="n">
        <v>0.492</v>
      </c>
    </row>
    <row r="2813" spans="1:13">
      <c r="A2813" s="1">
        <f>HYPERLINK("http://www.twitter.com/NathanBLawrence/status/989620337674506241", "989620337674506241")</f>
        <v/>
      </c>
      <c r="B2813" s="2" t="n">
        <v>43216.9033449074</v>
      </c>
      <c r="C2813" t="n">
        <v>0</v>
      </c>
      <c r="D2813" t="n">
        <v>1</v>
      </c>
      <c r="E2813" t="s">
        <v>2805</v>
      </c>
      <c r="F2813" t="s"/>
      <c r="G2813" t="s"/>
      <c r="H2813" t="s"/>
      <c r="I2813" t="s"/>
      <c r="J2813" t="n">
        <v>0</v>
      </c>
      <c r="K2813" t="n">
        <v>0</v>
      </c>
      <c r="L2813" t="n">
        <v>1</v>
      </c>
      <c r="M2813" t="n">
        <v>0</v>
      </c>
    </row>
    <row r="2814" spans="1:13">
      <c r="A2814" s="1">
        <f>HYPERLINK("http://www.twitter.com/NathanBLawrence/status/989620290530480128", "989620290530480128")</f>
        <v/>
      </c>
      <c r="B2814" s="2" t="n">
        <v>43216.90321759259</v>
      </c>
      <c r="C2814" t="n">
        <v>0</v>
      </c>
      <c r="D2814" t="n">
        <v>1</v>
      </c>
      <c r="E2814" t="s">
        <v>2806</v>
      </c>
      <c r="F2814" t="s"/>
      <c r="G2814" t="s"/>
      <c r="H2814" t="s"/>
      <c r="I2814" t="s"/>
      <c r="J2814" t="n">
        <v>0</v>
      </c>
      <c r="K2814" t="n">
        <v>0</v>
      </c>
      <c r="L2814" t="n">
        <v>1</v>
      </c>
      <c r="M2814" t="n">
        <v>0</v>
      </c>
    </row>
    <row r="2815" spans="1:13">
      <c r="A2815" s="1">
        <f>HYPERLINK("http://www.twitter.com/NathanBLawrence/status/989620137128091648", "989620137128091648")</f>
        <v/>
      </c>
      <c r="B2815" s="2" t="n">
        <v>43216.90278935185</v>
      </c>
      <c r="C2815" t="n">
        <v>0</v>
      </c>
      <c r="D2815" t="n">
        <v>1</v>
      </c>
      <c r="E2815" t="s">
        <v>2807</v>
      </c>
      <c r="F2815" t="s"/>
      <c r="G2815" t="s"/>
      <c r="H2815" t="s"/>
      <c r="I2815" t="s"/>
      <c r="J2815" t="n">
        <v>-0.7579</v>
      </c>
      <c r="K2815" t="n">
        <v>0.317</v>
      </c>
      <c r="L2815" t="n">
        <v>0.6830000000000001</v>
      </c>
      <c r="M2815" t="n">
        <v>0</v>
      </c>
    </row>
    <row r="2816" spans="1:13">
      <c r="A2816" s="1">
        <f>HYPERLINK("http://www.twitter.com/NathanBLawrence/status/989620057411121152", "989620057411121152")</f>
        <v/>
      </c>
      <c r="B2816" s="2" t="n">
        <v>43216.90256944444</v>
      </c>
      <c r="C2816" t="n">
        <v>0</v>
      </c>
      <c r="D2816" t="n">
        <v>0</v>
      </c>
      <c r="E2816" t="s">
        <v>2808</v>
      </c>
      <c r="F2816" t="s"/>
      <c r="G2816" t="s"/>
      <c r="H2816" t="s"/>
      <c r="I2816" t="s"/>
      <c r="J2816" t="n">
        <v>0</v>
      </c>
      <c r="K2816" t="n">
        <v>0</v>
      </c>
      <c r="L2816" t="n">
        <v>1</v>
      </c>
      <c r="M2816" t="n">
        <v>0</v>
      </c>
    </row>
    <row r="2817" spans="1:13">
      <c r="A2817" s="1">
        <f>HYPERLINK("http://www.twitter.com/NathanBLawrence/status/989618708883664897", "989618708883664897")</f>
        <v/>
      </c>
      <c r="B2817" s="2" t="n">
        <v>43216.89885416667</v>
      </c>
      <c r="C2817" t="n">
        <v>0</v>
      </c>
      <c r="D2817" t="n">
        <v>7</v>
      </c>
      <c r="E2817" t="s">
        <v>2809</v>
      </c>
      <c r="F2817" t="s"/>
      <c r="G2817" t="s"/>
      <c r="H2817" t="s"/>
      <c r="I2817" t="s"/>
      <c r="J2817" t="n">
        <v>0.501</v>
      </c>
      <c r="K2817" t="n">
        <v>0.07000000000000001</v>
      </c>
      <c r="L2817" t="n">
        <v>0.793</v>
      </c>
      <c r="M2817" t="n">
        <v>0.136</v>
      </c>
    </row>
    <row r="2818" spans="1:13">
      <c r="A2818" s="1">
        <f>HYPERLINK("http://www.twitter.com/NathanBLawrence/status/989618613693878272", "989618613693878272")</f>
        <v/>
      </c>
      <c r="B2818" s="2" t="n">
        <v>43216.89858796296</v>
      </c>
      <c r="C2818" t="n">
        <v>0</v>
      </c>
      <c r="D2818" t="n">
        <v>1</v>
      </c>
      <c r="E2818" t="s">
        <v>2810</v>
      </c>
      <c r="F2818" t="s"/>
      <c r="G2818" t="s"/>
      <c r="H2818" t="s"/>
      <c r="I2818" t="s"/>
      <c r="J2818" t="n">
        <v>0</v>
      </c>
      <c r="K2818" t="n">
        <v>0</v>
      </c>
      <c r="L2818" t="n">
        <v>1</v>
      </c>
      <c r="M2818" t="n">
        <v>0</v>
      </c>
    </row>
    <row r="2819" spans="1:13">
      <c r="A2819" s="1">
        <f>HYPERLINK("http://www.twitter.com/NathanBLawrence/status/989618591241834497", "989618591241834497")</f>
        <v/>
      </c>
      <c r="B2819" s="2" t="n">
        <v>43216.89853009259</v>
      </c>
      <c r="C2819" t="n">
        <v>0</v>
      </c>
      <c r="D2819" t="n">
        <v>1</v>
      </c>
      <c r="E2819" t="s">
        <v>2811</v>
      </c>
      <c r="F2819" t="s"/>
      <c r="G2819" t="s"/>
      <c r="H2819" t="s"/>
      <c r="I2819" t="s"/>
      <c r="J2819" t="n">
        <v>0</v>
      </c>
      <c r="K2819" t="n">
        <v>0</v>
      </c>
      <c r="L2819" t="n">
        <v>1</v>
      </c>
      <c r="M2819" t="n">
        <v>0</v>
      </c>
    </row>
    <row r="2820" spans="1:13">
      <c r="A2820" s="1">
        <f>HYPERLINK("http://www.twitter.com/NathanBLawrence/status/989609810332143616", "989609810332143616")</f>
        <v/>
      </c>
      <c r="B2820" s="2" t="n">
        <v>43216.87429398148</v>
      </c>
      <c r="C2820" t="n">
        <v>8</v>
      </c>
      <c r="D2820" t="n">
        <v>9</v>
      </c>
      <c r="E2820" t="s">
        <v>2812</v>
      </c>
      <c r="F2820">
        <f>HYPERLINK("http://pbs.twimg.com/media/DbvM3zlV4AMT2xb.png", "http://pbs.twimg.com/media/DbvM3zlV4AMT2xb.png")</f>
        <v/>
      </c>
      <c r="G2820" t="s"/>
      <c r="H2820" t="s"/>
      <c r="I2820" t="s"/>
      <c r="J2820" t="n">
        <v>0</v>
      </c>
      <c r="K2820" t="n">
        <v>0</v>
      </c>
      <c r="L2820" t="n">
        <v>1</v>
      </c>
      <c r="M2820" t="n">
        <v>0</v>
      </c>
    </row>
    <row r="2821" spans="1:13">
      <c r="A2821" s="1">
        <f>HYPERLINK("http://www.twitter.com/NathanBLawrence/status/989607585572638720", "989607585572638720")</f>
        <v/>
      </c>
      <c r="B2821" s="2" t="n">
        <v>43216.86815972222</v>
      </c>
      <c r="C2821" t="n">
        <v>0</v>
      </c>
      <c r="D2821" t="n">
        <v>1</v>
      </c>
      <c r="E2821" t="s">
        <v>2813</v>
      </c>
      <c r="F2821" t="s"/>
      <c r="G2821" t="s"/>
      <c r="H2821" t="s"/>
      <c r="I2821" t="s"/>
      <c r="J2821" t="n">
        <v>0.4215</v>
      </c>
      <c r="K2821" t="n">
        <v>0</v>
      </c>
      <c r="L2821" t="n">
        <v>0.915</v>
      </c>
      <c r="M2821" t="n">
        <v>0.08500000000000001</v>
      </c>
    </row>
    <row r="2822" spans="1:13">
      <c r="A2822" s="1">
        <f>HYPERLINK("http://www.twitter.com/NathanBLawrence/status/989601840013697025", "989601840013697025")</f>
        <v/>
      </c>
      <c r="B2822" s="2" t="n">
        <v>43216.85230324074</v>
      </c>
      <c r="C2822" t="n">
        <v>8</v>
      </c>
      <c r="D2822" t="n">
        <v>5</v>
      </c>
      <c r="E2822" t="s">
        <v>2814</v>
      </c>
      <c r="F2822" t="s"/>
      <c r="G2822" t="s"/>
      <c r="H2822" t="s"/>
      <c r="I2822" t="s"/>
      <c r="J2822" t="n">
        <v>0.0772</v>
      </c>
      <c r="K2822" t="n">
        <v>0</v>
      </c>
      <c r="L2822" t="n">
        <v>0.822</v>
      </c>
      <c r="M2822" t="n">
        <v>0.178</v>
      </c>
    </row>
    <row r="2823" spans="1:13">
      <c r="A2823" s="1">
        <f>HYPERLINK("http://www.twitter.com/NathanBLawrence/status/989601837237133312", "989601837237133312")</f>
        <v/>
      </c>
      <c r="B2823" s="2" t="n">
        <v>43216.85229166667</v>
      </c>
      <c r="C2823" t="n">
        <v>10</v>
      </c>
      <c r="D2823" t="n">
        <v>10</v>
      </c>
      <c r="E2823" t="s">
        <v>2815</v>
      </c>
      <c r="F2823">
        <f>HYPERLINK("http://pbs.twimg.com/media/DbvFnq1UwAAU6jt.jpg", "http://pbs.twimg.com/media/DbvFnq1UwAAU6jt.jpg")</f>
        <v/>
      </c>
      <c r="G2823" t="s"/>
      <c r="H2823" t="s"/>
      <c r="I2823" t="s"/>
      <c r="J2823" t="n">
        <v>0</v>
      </c>
      <c r="K2823" t="n">
        <v>0</v>
      </c>
      <c r="L2823" t="n">
        <v>1</v>
      </c>
      <c r="M2823" t="n">
        <v>0</v>
      </c>
    </row>
    <row r="2824" spans="1:13">
      <c r="A2824" s="1">
        <f>HYPERLINK("http://www.twitter.com/NathanBLawrence/status/989601823815356416", "989601823815356416")</f>
        <v/>
      </c>
      <c r="B2824" s="2" t="n">
        <v>43216.85225694445</v>
      </c>
      <c r="C2824" t="n">
        <v>26</v>
      </c>
      <c r="D2824" t="n">
        <v>22</v>
      </c>
      <c r="E2824" t="s">
        <v>2816</v>
      </c>
      <c r="F2824">
        <f>HYPERLINK("http://pbs.twimg.com/media/DbvFm3NUQAAcr4e.jpg", "http://pbs.twimg.com/media/DbvFm3NUQAAcr4e.jpg")</f>
        <v/>
      </c>
      <c r="G2824" t="s"/>
      <c r="H2824" t="s"/>
      <c r="I2824" t="s"/>
      <c r="J2824" t="n">
        <v>0</v>
      </c>
      <c r="K2824" t="n">
        <v>0</v>
      </c>
      <c r="L2824" t="n">
        <v>1</v>
      </c>
      <c r="M2824" t="n">
        <v>0</v>
      </c>
    </row>
    <row r="2825" spans="1:13">
      <c r="A2825" s="1">
        <f>HYPERLINK("http://www.twitter.com/NathanBLawrence/status/989600596859740161", "989600596859740161")</f>
        <v/>
      </c>
      <c r="B2825" s="2" t="n">
        <v>43216.84886574074</v>
      </c>
      <c r="C2825" t="n">
        <v>3</v>
      </c>
      <c r="D2825" t="n">
        <v>0</v>
      </c>
      <c r="E2825" t="s">
        <v>2817</v>
      </c>
      <c r="F2825" t="s"/>
      <c r="G2825" t="s"/>
      <c r="H2825" t="s"/>
      <c r="I2825" t="s"/>
      <c r="J2825" t="n">
        <v>0.2023</v>
      </c>
      <c r="K2825" t="n">
        <v>0.124</v>
      </c>
      <c r="L2825" t="n">
        <v>0.714</v>
      </c>
      <c r="M2825" t="n">
        <v>0.162</v>
      </c>
    </row>
    <row r="2826" spans="1:13">
      <c r="A2826" s="1">
        <f>HYPERLINK("http://www.twitter.com/NathanBLawrence/status/989599914698125312", "989599914698125312")</f>
        <v/>
      </c>
      <c r="B2826" s="2" t="n">
        <v>43216.84699074074</v>
      </c>
      <c r="C2826" t="n">
        <v>0</v>
      </c>
      <c r="D2826" t="n">
        <v>56</v>
      </c>
      <c r="E2826" t="s">
        <v>2818</v>
      </c>
      <c r="F2826" t="s"/>
      <c r="G2826" t="s"/>
      <c r="H2826" t="s"/>
      <c r="I2826" t="s"/>
      <c r="J2826" t="n">
        <v>-0.4588</v>
      </c>
      <c r="K2826" t="n">
        <v>0.136</v>
      </c>
      <c r="L2826" t="n">
        <v>0.864</v>
      </c>
      <c r="M2826" t="n">
        <v>0</v>
      </c>
    </row>
    <row r="2827" spans="1:13">
      <c r="A2827" s="1">
        <f>HYPERLINK("http://www.twitter.com/NathanBLawrence/status/989598514673012736", "989598514673012736")</f>
        <v/>
      </c>
      <c r="B2827" s="2" t="n">
        <v>43216.843125</v>
      </c>
      <c r="C2827" t="n">
        <v>3</v>
      </c>
      <c r="D2827" t="n">
        <v>1</v>
      </c>
      <c r="E2827" t="s">
        <v>2819</v>
      </c>
      <c r="F2827" t="s"/>
      <c r="G2827" t="s"/>
      <c r="H2827" t="s"/>
      <c r="I2827" t="s"/>
      <c r="J2827" t="n">
        <v>0.7556</v>
      </c>
      <c r="K2827" t="n">
        <v>0</v>
      </c>
      <c r="L2827" t="n">
        <v>0.858</v>
      </c>
      <c r="M2827" t="n">
        <v>0.142</v>
      </c>
    </row>
    <row r="2828" spans="1:13">
      <c r="A2828" s="1">
        <f>HYPERLINK("http://www.twitter.com/NathanBLawrence/status/989581441649561603", "989581441649561603")</f>
        <v/>
      </c>
      <c r="B2828" s="2" t="n">
        <v>43216.79600694445</v>
      </c>
      <c r="C2828" t="n">
        <v>3</v>
      </c>
      <c r="D2828" t="n">
        <v>1</v>
      </c>
      <c r="E2828" t="s">
        <v>2820</v>
      </c>
      <c r="F2828" t="s"/>
      <c r="G2828" t="s"/>
      <c r="H2828" t="s"/>
      <c r="I2828" t="s"/>
      <c r="J2828" t="n">
        <v>0.5266999999999999</v>
      </c>
      <c r="K2828" t="n">
        <v>0</v>
      </c>
      <c r="L2828" t="n">
        <v>0.638</v>
      </c>
      <c r="M2828" t="n">
        <v>0.362</v>
      </c>
    </row>
    <row r="2829" spans="1:13">
      <c r="A2829" s="1">
        <f>HYPERLINK("http://www.twitter.com/NathanBLawrence/status/989581318190174208", "989581318190174208")</f>
        <v/>
      </c>
      <c r="B2829" s="2" t="n">
        <v>43216.7956712963</v>
      </c>
      <c r="C2829" t="n">
        <v>0</v>
      </c>
      <c r="D2829" t="n">
        <v>179</v>
      </c>
      <c r="E2829" t="s">
        <v>2821</v>
      </c>
      <c r="F2829">
        <f>HYPERLINK("http://pbs.twimg.com/media/DbubxirXUAAL6mW.jpg", "http://pbs.twimg.com/media/DbubxirXUAAL6mW.jpg")</f>
        <v/>
      </c>
      <c r="G2829" t="s"/>
      <c r="H2829" t="s"/>
      <c r="I2829" t="s"/>
      <c r="J2829" t="n">
        <v>0.93</v>
      </c>
      <c r="K2829" t="n">
        <v>0</v>
      </c>
      <c r="L2829" t="n">
        <v>0.5659999999999999</v>
      </c>
      <c r="M2829" t="n">
        <v>0.434</v>
      </c>
    </row>
    <row r="2830" spans="1:13">
      <c r="A2830" s="1">
        <f>HYPERLINK("http://www.twitter.com/NathanBLawrence/status/989581213642952705", "989581213642952705")</f>
        <v/>
      </c>
      <c r="B2830" s="2" t="n">
        <v>43216.79538194444</v>
      </c>
      <c r="C2830" t="n">
        <v>0</v>
      </c>
      <c r="D2830" t="n">
        <v>85</v>
      </c>
      <c r="E2830" t="s">
        <v>2822</v>
      </c>
      <c r="F2830" t="s"/>
      <c r="G2830" t="s"/>
      <c r="H2830" t="s"/>
      <c r="I2830" t="s"/>
      <c r="J2830" t="n">
        <v>-0.2714</v>
      </c>
      <c r="K2830" t="n">
        <v>0.122</v>
      </c>
      <c r="L2830" t="n">
        <v>0.735</v>
      </c>
      <c r="M2830" t="n">
        <v>0.143</v>
      </c>
    </row>
    <row r="2831" spans="1:13">
      <c r="A2831" s="1">
        <f>HYPERLINK("http://www.twitter.com/NathanBLawrence/status/989545907044732930", "989545907044732930")</f>
        <v/>
      </c>
      <c r="B2831" s="2" t="n">
        <v>43216.69795138889</v>
      </c>
      <c r="C2831" t="n">
        <v>0</v>
      </c>
      <c r="D2831" t="n">
        <v>0</v>
      </c>
      <c r="E2831" t="s">
        <v>2823</v>
      </c>
      <c r="F2831" t="s"/>
      <c r="G2831" t="s"/>
      <c r="H2831" t="s"/>
      <c r="I2831" t="s"/>
      <c r="J2831" t="n">
        <v>0.4404</v>
      </c>
      <c r="K2831" t="n">
        <v>0</v>
      </c>
      <c r="L2831" t="n">
        <v>0.633</v>
      </c>
      <c r="M2831" t="n">
        <v>0.367</v>
      </c>
    </row>
    <row r="2832" spans="1:13">
      <c r="A2832" s="1">
        <f>HYPERLINK("http://www.twitter.com/NathanBLawrence/status/989532368104017920", "989532368104017920")</f>
        <v/>
      </c>
      <c r="B2832" s="2" t="n">
        <v>43216.66059027778</v>
      </c>
      <c r="C2832" t="n">
        <v>0</v>
      </c>
      <c r="D2832" t="n">
        <v>109</v>
      </c>
      <c r="E2832" t="s">
        <v>2824</v>
      </c>
      <c r="F2832" t="s"/>
      <c r="G2832" t="s"/>
      <c r="H2832" t="s"/>
      <c r="I2832" t="s"/>
      <c r="J2832" t="n">
        <v>0.632</v>
      </c>
      <c r="K2832" t="n">
        <v>0.101</v>
      </c>
      <c r="L2832" t="n">
        <v>0.655</v>
      </c>
      <c r="M2832" t="n">
        <v>0.244</v>
      </c>
    </row>
    <row r="2833" spans="1:13">
      <c r="A2833" s="1">
        <f>HYPERLINK("http://www.twitter.com/NathanBLawrence/status/989532005414133761", "989532005414133761")</f>
        <v/>
      </c>
      <c r="B2833" s="2" t="n">
        <v>43216.65959490741</v>
      </c>
      <c r="C2833" t="n">
        <v>1</v>
      </c>
      <c r="D2833" t="n">
        <v>0</v>
      </c>
      <c r="E2833" t="s">
        <v>2825</v>
      </c>
      <c r="F2833" t="s"/>
      <c r="G2833" t="s"/>
      <c r="H2833" t="s"/>
      <c r="I2833" t="s"/>
      <c r="J2833" t="n">
        <v>-0.4404</v>
      </c>
      <c r="K2833" t="n">
        <v>0.153</v>
      </c>
      <c r="L2833" t="n">
        <v>0.847</v>
      </c>
      <c r="M2833" t="n">
        <v>0</v>
      </c>
    </row>
    <row r="2834" spans="1:13">
      <c r="A2834" s="1">
        <f>HYPERLINK("http://www.twitter.com/NathanBLawrence/status/989531024223764480", "989531024223764480")</f>
        <v/>
      </c>
      <c r="B2834" s="2" t="n">
        <v>43216.65688657408</v>
      </c>
      <c r="C2834" t="n">
        <v>0</v>
      </c>
      <c r="D2834" t="n">
        <v>1</v>
      </c>
      <c r="E2834" t="s">
        <v>2826</v>
      </c>
      <c r="F2834" t="s"/>
      <c r="G2834" t="s"/>
      <c r="H2834" t="s"/>
      <c r="I2834" t="s"/>
      <c r="J2834" t="n">
        <v>0.4466</v>
      </c>
      <c r="K2834" t="n">
        <v>0</v>
      </c>
      <c r="L2834" t="n">
        <v>0.789</v>
      </c>
      <c r="M2834" t="n">
        <v>0.211</v>
      </c>
    </row>
    <row r="2835" spans="1:13">
      <c r="A2835" s="1">
        <f>HYPERLINK("http://www.twitter.com/NathanBLawrence/status/989528302158336001", "989528302158336001")</f>
        <v/>
      </c>
      <c r="B2835" s="2" t="n">
        <v>43216.649375</v>
      </c>
      <c r="C2835" t="n">
        <v>1</v>
      </c>
      <c r="D2835" t="n">
        <v>0</v>
      </c>
      <c r="E2835" t="s">
        <v>2827</v>
      </c>
      <c r="F2835" t="s"/>
      <c r="G2835" t="s"/>
      <c r="H2835" t="s"/>
      <c r="I2835" t="s"/>
      <c r="J2835" t="n">
        <v>0.5574</v>
      </c>
      <c r="K2835" t="n">
        <v>0</v>
      </c>
      <c r="L2835" t="n">
        <v>0.303</v>
      </c>
      <c r="M2835" t="n">
        <v>0.697</v>
      </c>
    </row>
    <row r="2836" spans="1:13">
      <c r="A2836" s="1">
        <f>HYPERLINK("http://www.twitter.com/NathanBLawrence/status/989527678234570753", "989527678234570753")</f>
        <v/>
      </c>
      <c r="B2836" s="2" t="n">
        <v>43216.64765046296</v>
      </c>
      <c r="C2836" t="n">
        <v>0</v>
      </c>
      <c r="D2836" t="n">
        <v>5</v>
      </c>
      <c r="E2836" t="s">
        <v>2828</v>
      </c>
      <c r="F2836">
        <f>HYPERLINK("http://pbs.twimg.com/media/DbuBj70UQAAGK9x.jpg", "http://pbs.twimg.com/media/DbuBj70UQAAGK9x.jpg")</f>
        <v/>
      </c>
      <c r="G2836">
        <f>HYPERLINK("http://pbs.twimg.com/media/DbuBla0V0AANsk5.jpg", "http://pbs.twimg.com/media/DbuBla0V0AANsk5.jpg")</f>
        <v/>
      </c>
      <c r="H2836" t="s"/>
      <c r="I2836" t="s"/>
      <c r="J2836" t="n">
        <v>-0.8264</v>
      </c>
      <c r="K2836" t="n">
        <v>0.441</v>
      </c>
      <c r="L2836" t="n">
        <v>0.5590000000000001</v>
      </c>
      <c r="M2836" t="n">
        <v>0</v>
      </c>
    </row>
    <row r="2837" spans="1:13">
      <c r="A2837" s="1">
        <f>HYPERLINK("http://www.twitter.com/NathanBLawrence/status/989527614346932224", "989527614346932224")</f>
        <v/>
      </c>
      <c r="B2837" s="2" t="n">
        <v>43216.64747685185</v>
      </c>
      <c r="C2837" t="n">
        <v>0</v>
      </c>
      <c r="D2837" t="n">
        <v>9</v>
      </c>
      <c r="E2837" t="s">
        <v>2829</v>
      </c>
      <c r="F2837" t="s"/>
      <c r="G2837" t="s"/>
      <c r="H2837" t="s"/>
      <c r="I2837" t="s"/>
      <c r="J2837" t="n">
        <v>-0.0772</v>
      </c>
      <c r="K2837" t="n">
        <v>0.048</v>
      </c>
      <c r="L2837" t="n">
        <v>0.952</v>
      </c>
      <c r="M2837" t="n">
        <v>0</v>
      </c>
    </row>
    <row r="2838" spans="1:13">
      <c r="A2838" s="1">
        <f>HYPERLINK("http://www.twitter.com/NathanBLawrence/status/989527136200425472", "989527136200425472")</f>
        <v/>
      </c>
      <c r="B2838" s="2" t="n">
        <v>43216.64615740741</v>
      </c>
      <c r="C2838" t="n">
        <v>0</v>
      </c>
      <c r="D2838" t="n">
        <v>4</v>
      </c>
      <c r="E2838" t="s">
        <v>2830</v>
      </c>
      <c r="F2838" t="s"/>
      <c r="G2838" t="s"/>
      <c r="H2838" t="s"/>
      <c r="I2838" t="s"/>
      <c r="J2838" t="n">
        <v>-0.0516</v>
      </c>
      <c r="K2838" t="n">
        <v>0.109</v>
      </c>
      <c r="L2838" t="n">
        <v>0.792</v>
      </c>
      <c r="M2838" t="n">
        <v>0.099</v>
      </c>
    </row>
    <row r="2839" spans="1:13">
      <c r="A2839" s="1">
        <f>HYPERLINK("http://www.twitter.com/NathanBLawrence/status/989526604190711808", "989526604190711808")</f>
        <v/>
      </c>
      <c r="B2839" s="2" t="n">
        <v>43216.6446875</v>
      </c>
      <c r="C2839" t="n">
        <v>8</v>
      </c>
      <c r="D2839" t="n">
        <v>4</v>
      </c>
      <c r="E2839" t="s">
        <v>2831</v>
      </c>
      <c r="F2839" t="s"/>
      <c r="G2839" t="s"/>
      <c r="H2839" t="s"/>
      <c r="I2839" t="s"/>
      <c r="J2839" t="n">
        <v>0.4019</v>
      </c>
      <c r="K2839" t="n">
        <v>0.065</v>
      </c>
      <c r="L2839" t="n">
        <v>0.792</v>
      </c>
      <c r="M2839" t="n">
        <v>0.144</v>
      </c>
    </row>
    <row r="2840" spans="1:13">
      <c r="A2840" s="1">
        <f>HYPERLINK("http://www.twitter.com/NathanBLawrence/status/989524763386236933", "989524763386236933")</f>
        <v/>
      </c>
      <c r="B2840" s="2" t="n">
        <v>43216.63960648148</v>
      </c>
      <c r="C2840" t="n">
        <v>0</v>
      </c>
      <c r="D2840" t="n">
        <v>84</v>
      </c>
      <c r="E2840" t="s">
        <v>2832</v>
      </c>
      <c r="F2840">
        <f>HYPERLINK("http://pbs.twimg.com/media/Dbt_PPQX0AAlaUp.jpg", "http://pbs.twimg.com/media/Dbt_PPQX0AAlaUp.jpg")</f>
        <v/>
      </c>
      <c r="G2840" t="s"/>
      <c r="H2840" t="s"/>
      <c r="I2840" t="s"/>
      <c r="J2840" t="n">
        <v>-0.7835</v>
      </c>
      <c r="K2840" t="n">
        <v>0.301</v>
      </c>
      <c r="L2840" t="n">
        <v>0.699</v>
      </c>
      <c r="M2840" t="n">
        <v>0</v>
      </c>
    </row>
    <row r="2841" spans="1:13">
      <c r="A2841" s="1">
        <f>HYPERLINK("http://www.twitter.com/NathanBLawrence/status/989524211260682241", "989524211260682241")</f>
        <v/>
      </c>
      <c r="B2841" s="2" t="n">
        <v>43216.63809027777</v>
      </c>
      <c r="C2841" t="n">
        <v>2</v>
      </c>
      <c r="D2841" t="n">
        <v>0</v>
      </c>
      <c r="E2841" t="s">
        <v>2833</v>
      </c>
      <c r="F2841" t="s"/>
      <c r="G2841" t="s"/>
      <c r="H2841" t="s"/>
      <c r="I2841" t="s"/>
      <c r="J2841" t="n">
        <v>-0.4588</v>
      </c>
      <c r="K2841" t="n">
        <v>0.3</v>
      </c>
      <c r="L2841" t="n">
        <v>0.7</v>
      </c>
      <c r="M2841" t="n">
        <v>0</v>
      </c>
    </row>
    <row r="2842" spans="1:13">
      <c r="A2842" s="1">
        <f>HYPERLINK("http://www.twitter.com/NathanBLawrence/status/989523846331097089", "989523846331097089")</f>
        <v/>
      </c>
      <c r="B2842" s="2" t="n">
        <v>43216.63708333333</v>
      </c>
      <c r="C2842" t="n">
        <v>0</v>
      </c>
      <c r="D2842" t="n">
        <v>3</v>
      </c>
      <c r="E2842" t="s">
        <v>2834</v>
      </c>
      <c r="F2842" t="s"/>
      <c r="G2842" t="s"/>
      <c r="H2842" t="s"/>
      <c r="I2842" t="s"/>
      <c r="J2842" t="n">
        <v>0.5423</v>
      </c>
      <c r="K2842" t="n">
        <v>0</v>
      </c>
      <c r="L2842" t="n">
        <v>0.8</v>
      </c>
      <c r="M2842" t="n">
        <v>0.2</v>
      </c>
    </row>
    <row r="2843" spans="1:13">
      <c r="A2843" s="1">
        <f>HYPERLINK("http://www.twitter.com/NathanBLawrence/status/989521594195333122", "989521594195333122")</f>
        <v/>
      </c>
      <c r="B2843" s="2" t="n">
        <v>43216.63086805555</v>
      </c>
      <c r="C2843" t="n">
        <v>1</v>
      </c>
      <c r="D2843" t="n">
        <v>0</v>
      </c>
      <c r="E2843" t="s">
        <v>2835</v>
      </c>
      <c r="F2843" t="s"/>
      <c r="G2843" t="s"/>
      <c r="H2843" t="s"/>
      <c r="I2843" t="s"/>
      <c r="J2843" t="n">
        <v>0.8176</v>
      </c>
      <c r="K2843" t="n">
        <v>0</v>
      </c>
      <c r="L2843" t="n">
        <v>0.387</v>
      </c>
      <c r="M2843" t="n">
        <v>0.613</v>
      </c>
    </row>
    <row r="2844" spans="1:13">
      <c r="A2844" s="1">
        <f>HYPERLINK("http://www.twitter.com/NathanBLawrence/status/989521410845478914", "989521410845478914")</f>
        <v/>
      </c>
      <c r="B2844" s="2" t="n">
        <v>43216.6303587963</v>
      </c>
      <c r="C2844" t="n">
        <v>0</v>
      </c>
      <c r="D2844" t="n">
        <v>5</v>
      </c>
      <c r="E2844" t="s">
        <v>2836</v>
      </c>
      <c r="F2844" t="s"/>
      <c r="G2844" t="s"/>
      <c r="H2844" t="s"/>
      <c r="I2844" t="s"/>
      <c r="J2844" t="n">
        <v>-0.75</v>
      </c>
      <c r="K2844" t="n">
        <v>0.28</v>
      </c>
      <c r="L2844" t="n">
        <v>0.72</v>
      </c>
      <c r="M2844" t="n">
        <v>0</v>
      </c>
    </row>
    <row r="2845" spans="1:13">
      <c r="A2845" s="1">
        <f>HYPERLINK("http://www.twitter.com/NathanBLawrence/status/989520580004253696", "989520580004253696")</f>
        <v/>
      </c>
      <c r="B2845" s="2" t="n">
        <v>43216.62806712963</v>
      </c>
      <c r="C2845" t="n">
        <v>1</v>
      </c>
      <c r="D2845" t="n">
        <v>0</v>
      </c>
      <c r="E2845" t="s">
        <v>2837</v>
      </c>
      <c r="F2845" t="s"/>
      <c r="G2845" t="s"/>
      <c r="H2845" t="s"/>
      <c r="I2845" t="s"/>
      <c r="J2845" t="n">
        <v>0</v>
      </c>
      <c r="K2845" t="n">
        <v>0</v>
      </c>
      <c r="L2845" t="n">
        <v>1</v>
      </c>
      <c r="M2845" t="n">
        <v>0</v>
      </c>
    </row>
    <row r="2846" spans="1:13">
      <c r="A2846" s="1">
        <f>HYPERLINK("http://www.twitter.com/NathanBLawrence/status/989518997854007296", "989518997854007296")</f>
        <v/>
      </c>
      <c r="B2846" s="2" t="n">
        <v>43216.62370370371</v>
      </c>
      <c r="C2846" t="n">
        <v>0</v>
      </c>
      <c r="D2846" t="n">
        <v>4</v>
      </c>
      <c r="E2846" t="s">
        <v>2838</v>
      </c>
      <c r="F2846" t="s"/>
      <c r="G2846" t="s"/>
      <c r="H2846" t="s"/>
      <c r="I2846" t="s"/>
      <c r="J2846" t="n">
        <v>0.8838</v>
      </c>
      <c r="K2846" t="n">
        <v>0</v>
      </c>
      <c r="L2846" t="n">
        <v>0.491</v>
      </c>
      <c r="M2846" t="n">
        <v>0.509</v>
      </c>
    </row>
    <row r="2847" spans="1:13">
      <c r="A2847" s="1">
        <f>HYPERLINK("http://www.twitter.com/NathanBLawrence/status/989518944380866560", "989518944380866560")</f>
        <v/>
      </c>
      <c r="B2847" s="2" t="n">
        <v>43216.62355324074</v>
      </c>
      <c r="C2847" t="n">
        <v>1</v>
      </c>
      <c r="D2847" t="n">
        <v>0</v>
      </c>
      <c r="E2847" t="s">
        <v>2839</v>
      </c>
      <c r="F2847" t="s"/>
      <c r="G2847" t="s"/>
      <c r="H2847" t="s"/>
      <c r="I2847" t="s"/>
      <c r="J2847" t="n">
        <v>0</v>
      </c>
      <c r="K2847" t="n">
        <v>0</v>
      </c>
      <c r="L2847" t="n">
        <v>1</v>
      </c>
      <c r="M2847" t="n">
        <v>0</v>
      </c>
    </row>
    <row r="2848" spans="1:13">
      <c r="A2848" s="1">
        <f>HYPERLINK("http://www.twitter.com/NathanBLawrence/status/989518316141150208", "989518316141150208")</f>
        <v/>
      </c>
      <c r="B2848" s="2" t="n">
        <v>43216.62181712963</v>
      </c>
      <c r="C2848" t="n">
        <v>0</v>
      </c>
      <c r="D2848" t="n">
        <v>76</v>
      </c>
      <c r="E2848" t="s">
        <v>2840</v>
      </c>
      <c r="F2848" t="s"/>
      <c r="G2848" t="s"/>
      <c r="H2848" t="s"/>
      <c r="I2848" t="s"/>
      <c r="J2848" t="n">
        <v>0.9349</v>
      </c>
      <c r="K2848" t="n">
        <v>0</v>
      </c>
      <c r="L2848" t="n">
        <v>0.556</v>
      </c>
      <c r="M2848" t="n">
        <v>0.444</v>
      </c>
    </row>
    <row r="2849" spans="1:13">
      <c r="A2849" s="1">
        <f>HYPERLINK("http://www.twitter.com/NathanBLawrence/status/989518148289298433", "989518148289298433")</f>
        <v/>
      </c>
      <c r="B2849" s="2" t="n">
        <v>43216.62135416667</v>
      </c>
      <c r="C2849" t="n">
        <v>2</v>
      </c>
      <c r="D2849" t="n">
        <v>1</v>
      </c>
      <c r="E2849" t="s">
        <v>2841</v>
      </c>
      <c r="F2849" t="s"/>
      <c r="G2849" t="s"/>
      <c r="H2849" t="s"/>
      <c r="I2849" t="s"/>
      <c r="J2849" t="n">
        <v>0.7697000000000001</v>
      </c>
      <c r="K2849" t="n">
        <v>0</v>
      </c>
      <c r="L2849" t="n">
        <v>0.512</v>
      </c>
      <c r="M2849" t="n">
        <v>0.488</v>
      </c>
    </row>
    <row r="2850" spans="1:13">
      <c r="A2850" s="1">
        <f>HYPERLINK("http://www.twitter.com/NathanBLawrence/status/989518009332109314", "989518009332109314")</f>
        <v/>
      </c>
      <c r="B2850" s="2" t="n">
        <v>43216.62097222222</v>
      </c>
      <c r="C2850" t="n">
        <v>0</v>
      </c>
      <c r="D2850" t="n">
        <v>3</v>
      </c>
      <c r="E2850" t="s">
        <v>2842</v>
      </c>
      <c r="F2850" t="s"/>
      <c r="G2850" t="s"/>
      <c r="H2850" t="s"/>
      <c r="I2850" t="s"/>
      <c r="J2850" t="n">
        <v>0.4738</v>
      </c>
      <c r="K2850" t="n">
        <v>0</v>
      </c>
      <c r="L2850" t="n">
        <v>0.722</v>
      </c>
      <c r="M2850" t="n">
        <v>0.278</v>
      </c>
    </row>
    <row r="2851" spans="1:13">
      <c r="A2851" s="1">
        <f>HYPERLINK("http://www.twitter.com/NathanBLawrence/status/989517629277851648", "989517629277851648")</f>
        <v/>
      </c>
      <c r="B2851" s="2" t="n">
        <v>43216.61991898148</v>
      </c>
      <c r="C2851" t="n">
        <v>3</v>
      </c>
      <c r="D2851" t="n">
        <v>3</v>
      </c>
      <c r="E2851" t="s">
        <v>2843</v>
      </c>
      <c r="F2851" t="s"/>
      <c r="G2851" t="s"/>
      <c r="H2851" t="s"/>
      <c r="I2851" t="s"/>
      <c r="J2851" t="n">
        <v>0.3182</v>
      </c>
      <c r="K2851" t="n">
        <v>0</v>
      </c>
      <c r="L2851" t="n">
        <v>0.753</v>
      </c>
      <c r="M2851" t="n">
        <v>0.247</v>
      </c>
    </row>
    <row r="2852" spans="1:13">
      <c r="A2852" s="1">
        <f>HYPERLINK("http://www.twitter.com/NathanBLawrence/status/989517294274514944", "989517294274514944")</f>
        <v/>
      </c>
      <c r="B2852" s="2" t="n">
        <v>43216.61899305556</v>
      </c>
      <c r="C2852" t="n">
        <v>0</v>
      </c>
      <c r="D2852" t="n">
        <v>2</v>
      </c>
      <c r="E2852" t="s">
        <v>2844</v>
      </c>
      <c r="F2852" t="s"/>
      <c r="G2852" t="s"/>
      <c r="H2852" t="s"/>
      <c r="I2852" t="s"/>
      <c r="J2852" t="n">
        <v>-0.2924</v>
      </c>
      <c r="K2852" t="n">
        <v>0.141</v>
      </c>
      <c r="L2852" t="n">
        <v>0.764</v>
      </c>
      <c r="M2852" t="n">
        <v>0.095</v>
      </c>
    </row>
    <row r="2853" spans="1:13">
      <c r="A2853" s="1">
        <f>HYPERLINK("http://www.twitter.com/NathanBLawrence/status/989516687476224002", "989516687476224002")</f>
        <v/>
      </c>
      <c r="B2853" s="2" t="n">
        <v>43216.61732638889</v>
      </c>
      <c r="C2853" t="n">
        <v>0</v>
      </c>
      <c r="D2853" t="n">
        <v>27</v>
      </c>
      <c r="E2853" t="s">
        <v>2845</v>
      </c>
      <c r="F2853" t="s"/>
      <c r="G2853" t="s"/>
      <c r="H2853" t="s"/>
      <c r="I2853" t="s"/>
      <c r="J2853" t="n">
        <v>-0.34</v>
      </c>
      <c r="K2853" t="n">
        <v>0.142</v>
      </c>
      <c r="L2853" t="n">
        <v>0.789</v>
      </c>
      <c r="M2853" t="n">
        <v>0.068</v>
      </c>
    </row>
    <row r="2854" spans="1:13">
      <c r="A2854" s="1">
        <f>HYPERLINK("http://www.twitter.com/NathanBLawrence/status/989516576327192577", "989516576327192577")</f>
        <v/>
      </c>
      <c r="B2854" s="2" t="n">
        <v>43216.61701388889</v>
      </c>
      <c r="C2854" t="n">
        <v>8</v>
      </c>
      <c r="D2854" t="n">
        <v>3</v>
      </c>
      <c r="E2854" t="s">
        <v>2846</v>
      </c>
      <c r="F2854" t="s"/>
      <c r="G2854" t="s"/>
      <c r="H2854" t="s"/>
      <c r="I2854" t="s"/>
      <c r="J2854" t="n">
        <v>0.5423</v>
      </c>
      <c r="K2854" t="n">
        <v>0</v>
      </c>
      <c r="L2854" t="n">
        <v>0.866</v>
      </c>
      <c r="M2854" t="n">
        <v>0.134</v>
      </c>
    </row>
    <row r="2855" spans="1:13">
      <c r="A2855" s="1">
        <f>HYPERLINK("http://www.twitter.com/NathanBLawrence/status/989515062695034880", "989515062695034880")</f>
        <v/>
      </c>
      <c r="B2855" s="2" t="n">
        <v>43216.61283564815</v>
      </c>
      <c r="C2855" t="n">
        <v>0</v>
      </c>
      <c r="D2855" t="n">
        <v>91</v>
      </c>
      <c r="E2855" t="s">
        <v>2847</v>
      </c>
      <c r="F2855" t="s"/>
      <c r="G2855" t="s"/>
      <c r="H2855" t="s"/>
      <c r="I2855" t="s"/>
      <c r="J2855" t="n">
        <v>-0.5994</v>
      </c>
      <c r="K2855" t="n">
        <v>0.211</v>
      </c>
      <c r="L2855" t="n">
        <v>0.703</v>
      </c>
      <c r="M2855" t="n">
        <v>0.08599999999999999</v>
      </c>
    </row>
    <row r="2856" spans="1:13">
      <c r="A2856" s="1">
        <f>HYPERLINK("http://www.twitter.com/NathanBLawrence/status/989514717873033216", "989514717873033216")</f>
        <v/>
      </c>
      <c r="B2856" s="2" t="n">
        <v>43216.61188657407</v>
      </c>
      <c r="C2856" t="n">
        <v>22</v>
      </c>
      <c r="D2856" t="n">
        <v>27</v>
      </c>
      <c r="E2856" t="s">
        <v>2848</v>
      </c>
      <c r="F2856" t="s"/>
      <c r="G2856" t="s"/>
      <c r="H2856" t="s"/>
      <c r="I2856" t="s"/>
      <c r="J2856" t="n">
        <v>-0.0772</v>
      </c>
      <c r="K2856" t="n">
        <v>0.17</v>
      </c>
      <c r="L2856" t="n">
        <v>0.638</v>
      </c>
      <c r="M2856" t="n">
        <v>0.191</v>
      </c>
    </row>
    <row r="2857" spans="1:13">
      <c r="A2857" s="1">
        <f>HYPERLINK("http://www.twitter.com/NathanBLawrence/status/989511963867799552", "989511963867799552")</f>
        <v/>
      </c>
      <c r="B2857" s="2" t="n">
        <v>43216.60429398148</v>
      </c>
      <c r="C2857" t="n">
        <v>0</v>
      </c>
      <c r="D2857" t="n">
        <v>1</v>
      </c>
      <c r="E2857" t="s">
        <v>2849</v>
      </c>
      <c r="F2857" t="s"/>
      <c r="G2857" t="s"/>
      <c r="H2857" t="s"/>
      <c r="I2857" t="s"/>
      <c r="J2857" t="n">
        <v>0.4404</v>
      </c>
      <c r="K2857" t="n">
        <v>0</v>
      </c>
      <c r="L2857" t="n">
        <v>0.633</v>
      </c>
      <c r="M2857" t="n">
        <v>0.367</v>
      </c>
    </row>
    <row r="2858" spans="1:13">
      <c r="A2858" s="1">
        <f>HYPERLINK("http://www.twitter.com/NathanBLawrence/status/989508493337088001", "989508493337088001")</f>
        <v/>
      </c>
      <c r="B2858" s="2" t="n">
        <v>43216.59471064815</v>
      </c>
      <c r="C2858" t="n">
        <v>0</v>
      </c>
      <c r="D2858" t="n">
        <v>1</v>
      </c>
      <c r="E2858" t="s">
        <v>2850</v>
      </c>
      <c r="F2858" t="s"/>
      <c r="G2858" t="s"/>
      <c r="H2858" t="s"/>
      <c r="I2858" t="s"/>
      <c r="J2858" t="n">
        <v>0.4404</v>
      </c>
      <c r="K2858" t="n">
        <v>0</v>
      </c>
      <c r="L2858" t="n">
        <v>0.508</v>
      </c>
      <c r="M2858" t="n">
        <v>0.492</v>
      </c>
    </row>
    <row r="2859" spans="1:13">
      <c r="A2859" s="1">
        <f>HYPERLINK("http://www.twitter.com/NathanBLawrence/status/989505791706222593", "989505791706222593")</f>
        <v/>
      </c>
      <c r="B2859" s="2" t="n">
        <v>43216.58725694445</v>
      </c>
      <c r="C2859" t="n">
        <v>0</v>
      </c>
      <c r="D2859" t="n">
        <v>0</v>
      </c>
      <c r="E2859" t="s">
        <v>2851</v>
      </c>
      <c r="F2859" t="s"/>
      <c r="G2859" t="s"/>
      <c r="H2859" t="s"/>
      <c r="I2859" t="s"/>
      <c r="J2859" t="n">
        <v>0</v>
      </c>
      <c r="K2859" t="n">
        <v>0</v>
      </c>
      <c r="L2859" t="n">
        <v>1</v>
      </c>
      <c r="M2859" t="n">
        <v>0</v>
      </c>
    </row>
    <row r="2860" spans="1:13">
      <c r="A2860" s="1">
        <f>HYPERLINK("http://www.twitter.com/NathanBLawrence/status/989505643026448384", "989505643026448384")</f>
        <v/>
      </c>
      <c r="B2860" s="2" t="n">
        <v>43216.58685185185</v>
      </c>
      <c r="C2860" t="n">
        <v>0</v>
      </c>
      <c r="D2860" t="n">
        <v>1</v>
      </c>
      <c r="E2860" t="s">
        <v>2852</v>
      </c>
      <c r="F2860" t="s"/>
      <c r="G2860" t="s"/>
      <c r="H2860" t="s"/>
      <c r="I2860" t="s"/>
      <c r="J2860" t="n">
        <v>-0.6514</v>
      </c>
      <c r="K2860" t="n">
        <v>0.325</v>
      </c>
      <c r="L2860" t="n">
        <v>0.675</v>
      </c>
      <c r="M2860" t="n">
        <v>0</v>
      </c>
    </row>
    <row r="2861" spans="1:13">
      <c r="A2861" s="1">
        <f>HYPERLINK("http://www.twitter.com/NathanBLawrence/status/989505609396621312", "989505609396621312")</f>
        <v/>
      </c>
      <c r="B2861" s="2" t="n">
        <v>43216.58675925926</v>
      </c>
      <c r="C2861" t="n">
        <v>0</v>
      </c>
      <c r="D2861" t="n">
        <v>6</v>
      </c>
      <c r="E2861" t="s">
        <v>2853</v>
      </c>
      <c r="F2861" t="s"/>
      <c r="G2861" t="s"/>
      <c r="H2861" t="s"/>
      <c r="I2861" t="s"/>
      <c r="J2861" t="n">
        <v>-0.5106000000000001</v>
      </c>
      <c r="K2861" t="n">
        <v>0.171</v>
      </c>
      <c r="L2861" t="n">
        <v>0.829</v>
      </c>
      <c r="M2861" t="n">
        <v>0</v>
      </c>
    </row>
    <row r="2862" spans="1:13">
      <c r="A2862" s="1">
        <f>HYPERLINK("http://www.twitter.com/NathanBLawrence/status/989505461614534658", "989505461614534658")</f>
        <v/>
      </c>
      <c r="B2862" s="2" t="n">
        <v>43216.58634259259</v>
      </c>
      <c r="C2862" t="n">
        <v>0</v>
      </c>
      <c r="D2862" t="n">
        <v>0</v>
      </c>
      <c r="E2862" t="s">
        <v>2854</v>
      </c>
      <c r="F2862" t="s"/>
      <c r="G2862" t="s"/>
      <c r="H2862" t="s"/>
      <c r="I2862" t="s"/>
      <c r="J2862" t="n">
        <v>0.4767</v>
      </c>
      <c r="K2862" t="n">
        <v>0</v>
      </c>
      <c r="L2862" t="n">
        <v>0.849</v>
      </c>
      <c r="M2862" t="n">
        <v>0.151</v>
      </c>
    </row>
    <row r="2863" spans="1:13">
      <c r="A2863" s="1">
        <f>HYPERLINK("http://www.twitter.com/NathanBLawrence/status/989330129875857408", "989330129875857408")</f>
        <v/>
      </c>
      <c r="B2863" s="2" t="n">
        <v>43216.10252314815</v>
      </c>
      <c r="C2863" t="n">
        <v>0</v>
      </c>
      <c r="D2863" t="n">
        <v>30</v>
      </c>
      <c r="E2863" t="s">
        <v>2855</v>
      </c>
      <c r="F2863" t="s"/>
      <c r="G2863" t="s"/>
      <c r="H2863" t="s"/>
      <c r="I2863" t="s"/>
      <c r="J2863" t="n">
        <v>0.7506</v>
      </c>
      <c r="K2863" t="n">
        <v>0</v>
      </c>
      <c r="L2863" t="n">
        <v>0.748</v>
      </c>
      <c r="M2863" t="n">
        <v>0.252</v>
      </c>
    </row>
    <row r="2864" spans="1:13">
      <c r="A2864" s="1">
        <f>HYPERLINK("http://www.twitter.com/NathanBLawrence/status/989329997830778885", "989329997830778885")</f>
        <v/>
      </c>
      <c r="B2864" s="2" t="n">
        <v>43216.10216435185</v>
      </c>
      <c r="C2864" t="n">
        <v>0</v>
      </c>
      <c r="D2864" t="n">
        <v>177</v>
      </c>
      <c r="E2864" t="s">
        <v>2856</v>
      </c>
      <c r="F2864" t="s"/>
      <c r="G2864" t="s"/>
      <c r="H2864" t="s"/>
      <c r="I2864" t="s"/>
      <c r="J2864" t="n">
        <v>-0.5754</v>
      </c>
      <c r="K2864" t="n">
        <v>0.151</v>
      </c>
      <c r="L2864" t="n">
        <v>0.849</v>
      </c>
      <c r="M2864" t="n">
        <v>0</v>
      </c>
    </row>
    <row r="2865" spans="1:13">
      <c r="A2865" s="1">
        <f>HYPERLINK("http://www.twitter.com/NathanBLawrence/status/989324548796506112", "989324548796506112")</f>
        <v/>
      </c>
      <c r="B2865" s="2" t="n">
        <v>43216.08711805556</v>
      </c>
      <c r="C2865" t="n">
        <v>0</v>
      </c>
      <c r="D2865" t="n">
        <v>1</v>
      </c>
      <c r="E2865" t="s">
        <v>2857</v>
      </c>
      <c r="F2865" t="s"/>
      <c r="G2865" t="s"/>
      <c r="H2865" t="s"/>
      <c r="I2865" t="s"/>
      <c r="J2865" t="n">
        <v>0</v>
      </c>
      <c r="K2865" t="n">
        <v>0</v>
      </c>
      <c r="L2865" t="n">
        <v>1</v>
      </c>
      <c r="M2865" t="n">
        <v>0</v>
      </c>
    </row>
    <row r="2866" spans="1:13">
      <c r="A2866" s="1">
        <f>HYPERLINK("http://www.twitter.com/NathanBLawrence/status/989315721095188482", "989315721095188482")</f>
        <v/>
      </c>
      <c r="B2866" s="2" t="n">
        <v>43216.0627662037</v>
      </c>
      <c r="C2866" t="n">
        <v>0</v>
      </c>
      <c r="D2866" t="n">
        <v>38</v>
      </c>
      <c r="E2866" t="s">
        <v>2858</v>
      </c>
      <c r="F2866">
        <f>HYPERLINK("http://pbs.twimg.com/media/Dbqh197XcAAZ1fB.jpg", "http://pbs.twimg.com/media/Dbqh197XcAAZ1fB.jpg")</f>
        <v/>
      </c>
      <c r="G2866" t="s"/>
      <c r="H2866" t="s"/>
      <c r="I2866" t="s"/>
      <c r="J2866" t="n">
        <v>0</v>
      </c>
      <c r="K2866" t="n">
        <v>0</v>
      </c>
      <c r="L2866" t="n">
        <v>1</v>
      </c>
      <c r="M2866" t="n">
        <v>0</v>
      </c>
    </row>
    <row r="2867" spans="1:13">
      <c r="A2867" s="1">
        <f>HYPERLINK("http://www.twitter.com/NathanBLawrence/status/989315141287186432", "989315141287186432")</f>
        <v/>
      </c>
      <c r="B2867" s="2" t="n">
        <v>43216.06115740741</v>
      </c>
      <c r="C2867" t="n">
        <v>0</v>
      </c>
      <c r="D2867" t="n">
        <v>237</v>
      </c>
      <c r="E2867" t="s">
        <v>2859</v>
      </c>
      <c r="F2867" t="s"/>
      <c r="G2867" t="s"/>
      <c r="H2867" t="s"/>
      <c r="I2867" t="s"/>
      <c r="J2867" t="n">
        <v>0.4648</v>
      </c>
      <c r="K2867" t="n">
        <v>0.205</v>
      </c>
      <c r="L2867" t="n">
        <v>0.508</v>
      </c>
      <c r="M2867" t="n">
        <v>0.286</v>
      </c>
    </row>
    <row r="2868" spans="1:13">
      <c r="A2868" s="1">
        <f>HYPERLINK("http://www.twitter.com/NathanBLawrence/status/989315045724172288", "989315045724172288")</f>
        <v/>
      </c>
      <c r="B2868" s="2" t="n">
        <v>43216.06090277778</v>
      </c>
      <c r="C2868" t="n">
        <v>0</v>
      </c>
      <c r="D2868" t="n">
        <v>737</v>
      </c>
      <c r="E2868" t="s">
        <v>2860</v>
      </c>
      <c r="F2868" t="s"/>
      <c r="G2868" t="s"/>
      <c r="H2868" t="s"/>
      <c r="I2868" t="s"/>
      <c r="J2868" t="n">
        <v>0.4707</v>
      </c>
      <c r="K2868" t="n">
        <v>0</v>
      </c>
      <c r="L2868" t="n">
        <v>0.85</v>
      </c>
      <c r="M2868" t="n">
        <v>0.15</v>
      </c>
    </row>
    <row r="2869" spans="1:13">
      <c r="A2869" s="1">
        <f>HYPERLINK("http://www.twitter.com/NathanBLawrence/status/989314994717298689", "989314994717298689")</f>
        <v/>
      </c>
      <c r="B2869" s="2" t="n">
        <v>43216.06075231481</v>
      </c>
      <c r="C2869" t="n">
        <v>0</v>
      </c>
      <c r="D2869" t="n">
        <v>1046</v>
      </c>
      <c r="E2869" t="s">
        <v>2861</v>
      </c>
      <c r="F2869" t="s"/>
      <c r="G2869" t="s"/>
      <c r="H2869" t="s"/>
      <c r="I2869" t="s"/>
      <c r="J2869" t="n">
        <v>0.6359</v>
      </c>
      <c r="K2869" t="n">
        <v>0.117</v>
      </c>
      <c r="L2869" t="n">
        <v>0.578</v>
      </c>
      <c r="M2869" t="n">
        <v>0.305</v>
      </c>
    </row>
    <row r="2870" spans="1:13">
      <c r="A2870" s="1">
        <f>HYPERLINK("http://www.twitter.com/NathanBLawrence/status/989314963775860736", "989314963775860736")</f>
        <v/>
      </c>
      <c r="B2870" s="2" t="n">
        <v>43216.0606712963</v>
      </c>
      <c r="C2870" t="n">
        <v>0</v>
      </c>
      <c r="D2870" t="n">
        <v>87733</v>
      </c>
      <c r="E2870" t="s">
        <v>2862</v>
      </c>
      <c r="F2870" t="s"/>
      <c r="G2870" t="s"/>
      <c r="H2870" t="s"/>
      <c r="I2870" t="s"/>
      <c r="J2870" t="n">
        <v>0</v>
      </c>
      <c r="K2870" t="n">
        <v>0</v>
      </c>
      <c r="L2870" t="n">
        <v>1</v>
      </c>
      <c r="M2870" t="n">
        <v>0</v>
      </c>
    </row>
    <row r="2871" spans="1:13">
      <c r="A2871" s="1">
        <f>HYPERLINK("http://www.twitter.com/NathanBLawrence/status/989276927960764417", "989276927960764417")</f>
        <v/>
      </c>
      <c r="B2871" s="2" t="n">
        <v>43215.95571759259</v>
      </c>
      <c r="C2871" t="n">
        <v>0</v>
      </c>
      <c r="D2871" t="n">
        <v>9</v>
      </c>
      <c r="E2871" t="s">
        <v>2863</v>
      </c>
      <c r="F2871">
        <f>HYPERLINK("http://pbs.twimg.com/media/DaS9pSzV4AMkGrD.jpg", "http://pbs.twimg.com/media/DaS9pSzV4AMkGrD.jpg")</f>
        <v/>
      </c>
      <c r="G2871" t="s"/>
      <c r="H2871" t="s"/>
      <c r="I2871" t="s"/>
      <c r="J2871" t="n">
        <v>0.4995</v>
      </c>
      <c r="K2871" t="n">
        <v>0</v>
      </c>
      <c r="L2871" t="n">
        <v>0.6840000000000001</v>
      </c>
      <c r="M2871" t="n">
        <v>0.316</v>
      </c>
    </row>
    <row r="2872" spans="1:13">
      <c r="A2872" s="1">
        <f>HYPERLINK("http://www.twitter.com/NathanBLawrence/status/989276909656780800", "989276909656780800")</f>
        <v/>
      </c>
      <c r="B2872" s="2" t="n">
        <v>43215.95565972223</v>
      </c>
      <c r="C2872" t="n">
        <v>0</v>
      </c>
      <c r="D2872" t="n">
        <v>116</v>
      </c>
      <c r="E2872" t="s">
        <v>2864</v>
      </c>
      <c r="F2872">
        <f>HYPERLINK("https://video.twimg.com/ext_tw_video/983107975245017088/pu/vid/1280x720/fR2ZeXhjtgQCKjeh.mp4?tag=2", "https://video.twimg.com/ext_tw_video/983107975245017088/pu/vid/1280x720/fR2ZeXhjtgQCKjeh.mp4?tag=2")</f>
        <v/>
      </c>
      <c r="G2872" t="s"/>
      <c r="H2872" t="s"/>
      <c r="I2872" t="s"/>
      <c r="J2872" t="n">
        <v>-0.5473</v>
      </c>
      <c r="K2872" t="n">
        <v>0.219</v>
      </c>
      <c r="L2872" t="n">
        <v>0.6899999999999999</v>
      </c>
      <c r="M2872" t="n">
        <v>0.091</v>
      </c>
    </row>
    <row r="2873" spans="1:13">
      <c r="A2873" s="1">
        <f>HYPERLINK("http://www.twitter.com/NathanBLawrence/status/989255442273628160", "989255442273628160")</f>
        <v/>
      </c>
      <c r="B2873" s="2" t="n">
        <v>43215.89642361111</v>
      </c>
      <c r="C2873" t="n">
        <v>0</v>
      </c>
      <c r="D2873" t="n">
        <v>4</v>
      </c>
      <c r="E2873" t="s">
        <v>2865</v>
      </c>
      <c r="F2873">
        <f>HYPERLINK("http://pbs.twimg.com/media/Dbp2BFCUQAApVi4.jpg", "http://pbs.twimg.com/media/Dbp2BFCUQAApVi4.jpg")</f>
        <v/>
      </c>
      <c r="G2873" t="s"/>
      <c r="H2873" t="s"/>
      <c r="I2873" t="s"/>
      <c r="J2873" t="n">
        <v>0</v>
      </c>
      <c r="K2873" t="n">
        <v>0</v>
      </c>
      <c r="L2873" t="n">
        <v>1</v>
      </c>
      <c r="M2873" t="n">
        <v>0</v>
      </c>
    </row>
    <row r="2874" spans="1:13">
      <c r="A2874" s="1">
        <f>HYPERLINK("http://www.twitter.com/NathanBLawrence/status/989255383016443904", "989255383016443904")</f>
        <v/>
      </c>
      <c r="B2874" s="2" t="n">
        <v>43215.89626157407</v>
      </c>
      <c r="C2874" t="n">
        <v>0</v>
      </c>
      <c r="D2874" t="n">
        <v>2</v>
      </c>
      <c r="E2874" t="s">
        <v>2866</v>
      </c>
      <c r="F2874" t="s"/>
      <c r="G2874" t="s"/>
      <c r="H2874" t="s"/>
      <c r="I2874" t="s"/>
      <c r="J2874" t="n">
        <v>0.6369</v>
      </c>
      <c r="K2874" t="n">
        <v>0</v>
      </c>
      <c r="L2874" t="n">
        <v>0.588</v>
      </c>
      <c r="M2874" t="n">
        <v>0.412</v>
      </c>
    </row>
    <row r="2875" spans="1:13">
      <c r="A2875" s="1">
        <f>HYPERLINK("http://www.twitter.com/NathanBLawrence/status/989255362418233350", "989255362418233350")</f>
        <v/>
      </c>
      <c r="B2875" s="2" t="n">
        <v>43215.89620370371</v>
      </c>
      <c r="C2875" t="n">
        <v>0</v>
      </c>
      <c r="D2875" t="n">
        <v>5</v>
      </c>
      <c r="E2875" t="s">
        <v>2867</v>
      </c>
      <c r="F2875">
        <f>HYPERLINK("http://pbs.twimg.com/media/Dbp9gcEU0AAkF8f.jpg", "http://pbs.twimg.com/media/Dbp9gcEU0AAkF8f.jpg")</f>
        <v/>
      </c>
      <c r="G2875" t="s"/>
      <c r="H2875" t="s"/>
      <c r="I2875" t="s"/>
      <c r="J2875" t="n">
        <v>0</v>
      </c>
      <c r="K2875" t="n">
        <v>0</v>
      </c>
      <c r="L2875" t="n">
        <v>1</v>
      </c>
      <c r="M2875" t="n">
        <v>0</v>
      </c>
    </row>
    <row r="2876" spans="1:13">
      <c r="A2876" s="1">
        <f>HYPERLINK("http://www.twitter.com/NathanBLawrence/status/989255318738743297", "989255318738743297")</f>
        <v/>
      </c>
      <c r="B2876" s="2" t="n">
        <v>43215.89608796296</v>
      </c>
      <c r="C2876" t="n">
        <v>0</v>
      </c>
      <c r="D2876" t="n">
        <v>5</v>
      </c>
      <c r="E2876" t="s">
        <v>2868</v>
      </c>
      <c r="F2876" t="s"/>
      <c r="G2876" t="s"/>
      <c r="H2876" t="s"/>
      <c r="I2876" t="s"/>
      <c r="J2876" t="n">
        <v>0.9169</v>
      </c>
      <c r="K2876" t="n">
        <v>0.141</v>
      </c>
      <c r="L2876" t="n">
        <v>0.432</v>
      </c>
      <c r="M2876" t="n">
        <v>0.427</v>
      </c>
    </row>
    <row r="2877" spans="1:13">
      <c r="A2877" s="1">
        <f>HYPERLINK("http://www.twitter.com/NathanBLawrence/status/989255280583151618", "989255280583151618")</f>
        <v/>
      </c>
      <c r="B2877" s="2" t="n">
        <v>43215.8959837963</v>
      </c>
      <c r="C2877" t="n">
        <v>0</v>
      </c>
      <c r="D2877" t="n">
        <v>2</v>
      </c>
      <c r="E2877" t="s">
        <v>2869</v>
      </c>
      <c r="F2877" t="s"/>
      <c r="G2877" t="s"/>
      <c r="H2877" t="s"/>
      <c r="I2877" t="s"/>
      <c r="J2877" t="n">
        <v>0</v>
      </c>
      <c r="K2877" t="n">
        <v>0</v>
      </c>
      <c r="L2877" t="n">
        <v>1</v>
      </c>
      <c r="M2877" t="n">
        <v>0</v>
      </c>
    </row>
    <row r="2878" spans="1:13">
      <c r="A2878" s="1">
        <f>HYPERLINK("http://www.twitter.com/NathanBLawrence/status/989255257455824896", "989255257455824896")</f>
        <v/>
      </c>
      <c r="B2878" s="2" t="n">
        <v>43215.89591435185</v>
      </c>
      <c r="C2878" t="n">
        <v>0</v>
      </c>
      <c r="D2878" t="n">
        <v>3</v>
      </c>
      <c r="E2878" t="s">
        <v>2870</v>
      </c>
      <c r="F2878" t="s"/>
      <c r="G2878" t="s"/>
      <c r="H2878" t="s"/>
      <c r="I2878" t="s"/>
      <c r="J2878" t="n">
        <v>0</v>
      </c>
      <c r="K2878" t="n">
        <v>0</v>
      </c>
      <c r="L2878" t="n">
        <v>1</v>
      </c>
      <c r="M2878" t="n">
        <v>0</v>
      </c>
    </row>
    <row r="2879" spans="1:13">
      <c r="A2879" s="1">
        <f>HYPERLINK("http://www.twitter.com/NathanBLawrence/status/989255243841105920", "989255243841105920")</f>
        <v/>
      </c>
      <c r="B2879" s="2" t="n">
        <v>43215.89587962963</v>
      </c>
      <c r="C2879" t="n">
        <v>0</v>
      </c>
      <c r="D2879" t="n">
        <v>2</v>
      </c>
      <c r="E2879" t="s">
        <v>2871</v>
      </c>
      <c r="F2879" t="s"/>
      <c r="G2879" t="s"/>
      <c r="H2879" t="s"/>
      <c r="I2879" t="s"/>
      <c r="J2879" t="n">
        <v>0</v>
      </c>
      <c r="K2879" t="n">
        <v>0</v>
      </c>
      <c r="L2879" t="n">
        <v>1</v>
      </c>
      <c r="M2879" t="n">
        <v>0</v>
      </c>
    </row>
    <row r="2880" spans="1:13">
      <c r="A2880" s="1">
        <f>HYPERLINK("http://www.twitter.com/NathanBLawrence/status/989255227604946944", "989255227604946944")</f>
        <v/>
      </c>
      <c r="B2880" s="2" t="n">
        <v>43215.89583333334</v>
      </c>
      <c r="C2880" t="n">
        <v>0</v>
      </c>
      <c r="D2880" t="n">
        <v>2</v>
      </c>
      <c r="E2880" t="s">
        <v>2872</v>
      </c>
      <c r="F2880" t="s"/>
      <c r="G2880" t="s"/>
      <c r="H2880" t="s"/>
      <c r="I2880" t="s"/>
      <c r="J2880" t="n">
        <v>0.7482</v>
      </c>
      <c r="K2880" t="n">
        <v>0</v>
      </c>
      <c r="L2880" t="n">
        <v>0.783</v>
      </c>
      <c r="M2880" t="n">
        <v>0.217</v>
      </c>
    </row>
    <row r="2881" spans="1:13">
      <c r="A2881" s="1">
        <f>HYPERLINK("http://www.twitter.com/NathanBLawrence/status/989255196839698434", "989255196839698434")</f>
        <v/>
      </c>
      <c r="B2881" s="2" t="n">
        <v>43215.89575231481</v>
      </c>
      <c r="C2881" t="n">
        <v>0</v>
      </c>
      <c r="D2881" t="n">
        <v>3</v>
      </c>
      <c r="E2881" t="s">
        <v>2873</v>
      </c>
      <c r="F2881" t="s"/>
      <c r="G2881" t="s"/>
      <c r="H2881" t="s"/>
      <c r="I2881" t="s"/>
      <c r="J2881" t="n">
        <v>0.7776999999999999</v>
      </c>
      <c r="K2881" t="n">
        <v>0</v>
      </c>
      <c r="L2881" t="n">
        <v>0.473</v>
      </c>
      <c r="M2881" t="n">
        <v>0.527</v>
      </c>
    </row>
    <row r="2882" spans="1:13">
      <c r="A2882" s="1">
        <f>HYPERLINK("http://www.twitter.com/NathanBLawrence/status/989255161649483782", "989255161649483782")</f>
        <v/>
      </c>
      <c r="B2882" s="2" t="n">
        <v>43215.89564814815</v>
      </c>
      <c r="C2882" t="n">
        <v>0</v>
      </c>
      <c r="D2882" t="n">
        <v>330</v>
      </c>
      <c r="E2882" t="s">
        <v>2874</v>
      </c>
      <c r="F2882">
        <f>HYPERLINK("http://pbs.twimg.com/media/DbppNSmUwAAXHZi.jpg", "http://pbs.twimg.com/media/DbppNSmUwAAXHZi.jpg")</f>
        <v/>
      </c>
      <c r="G2882" t="s"/>
      <c r="H2882" t="s"/>
      <c r="I2882" t="s"/>
      <c r="J2882" t="n">
        <v>-0.6705</v>
      </c>
      <c r="K2882" t="n">
        <v>0.209</v>
      </c>
      <c r="L2882" t="n">
        <v>0.791</v>
      </c>
      <c r="M2882" t="n">
        <v>0</v>
      </c>
    </row>
    <row r="2883" spans="1:13">
      <c r="A2883" s="1">
        <f>HYPERLINK("http://www.twitter.com/NathanBLawrence/status/989255007441707008", "989255007441707008")</f>
        <v/>
      </c>
      <c r="B2883" s="2" t="n">
        <v>43215.8952199074</v>
      </c>
      <c r="C2883" t="n">
        <v>5</v>
      </c>
      <c r="D2883" t="n">
        <v>0</v>
      </c>
      <c r="E2883" t="s">
        <v>2875</v>
      </c>
      <c r="F2883" t="s"/>
      <c r="G2883" t="s"/>
      <c r="H2883" t="s"/>
      <c r="I2883" t="s"/>
      <c r="J2883" t="n">
        <v>-0.6083</v>
      </c>
      <c r="K2883" t="n">
        <v>0.266</v>
      </c>
      <c r="L2883" t="n">
        <v>0.636</v>
      </c>
      <c r="M2883" t="n">
        <v>0.098</v>
      </c>
    </row>
    <row r="2884" spans="1:13">
      <c r="A2884" s="1">
        <f>HYPERLINK("http://www.twitter.com/NathanBLawrence/status/989254683507281921", "989254683507281921")</f>
        <v/>
      </c>
      <c r="B2884" s="2" t="n">
        <v>43215.8943287037</v>
      </c>
      <c r="C2884" t="n">
        <v>0</v>
      </c>
      <c r="D2884" t="n">
        <v>60112</v>
      </c>
      <c r="E2884" t="s">
        <v>2876</v>
      </c>
      <c r="F2884" t="s"/>
      <c r="G2884" t="s"/>
      <c r="H2884" t="s"/>
      <c r="I2884" t="s"/>
      <c r="J2884" t="n">
        <v>0</v>
      </c>
      <c r="K2884" t="n">
        <v>0</v>
      </c>
      <c r="L2884" t="n">
        <v>1</v>
      </c>
      <c r="M2884" t="n">
        <v>0</v>
      </c>
    </row>
    <row r="2885" spans="1:13">
      <c r="A2885" s="1">
        <f>HYPERLINK("http://www.twitter.com/NathanBLawrence/status/989254463016849408", "989254463016849408")</f>
        <v/>
      </c>
      <c r="B2885" s="2" t="n">
        <v>43215.89372685185</v>
      </c>
      <c r="C2885" t="n">
        <v>1</v>
      </c>
      <c r="D2885" t="n">
        <v>0</v>
      </c>
      <c r="E2885" t="s">
        <v>2877</v>
      </c>
      <c r="F2885" t="s"/>
      <c r="G2885" t="s"/>
      <c r="H2885" t="s"/>
      <c r="I2885" t="s"/>
      <c r="J2885" t="n">
        <v>0.7568</v>
      </c>
      <c r="K2885" t="n">
        <v>0</v>
      </c>
      <c r="L2885" t="n">
        <v>0.667</v>
      </c>
      <c r="M2885" t="n">
        <v>0.333</v>
      </c>
    </row>
    <row r="2886" spans="1:13">
      <c r="A2886" s="1">
        <f>HYPERLINK("http://www.twitter.com/NathanBLawrence/status/989254029237800960", "989254029237800960")</f>
        <v/>
      </c>
      <c r="B2886" s="2" t="n">
        <v>43215.89252314815</v>
      </c>
      <c r="C2886" t="n">
        <v>0</v>
      </c>
      <c r="D2886" t="n">
        <v>1</v>
      </c>
      <c r="E2886" t="s">
        <v>2878</v>
      </c>
      <c r="F2886">
        <f>HYPERLINK("http://pbs.twimg.com/media/DbqFiDUWAAIU7QG.jpg", "http://pbs.twimg.com/media/DbqFiDUWAAIU7QG.jpg")</f>
        <v/>
      </c>
      <c r="G2886" t="s"/>
      <c r="H2886" t="s"/>
      <c r="I2886" t="s"/>
      <c r="J2886" t="n">
        <v>0</v>
      </c>
      <c r="K2886" t="n">
        <v>0</v>
      </c>
      <c r="L2886" t="n">
        <v>1</v>
      </c>
      <c r="M2886" t="n">
        <v>0</v>
      </c>
    </row>
    <row r="2887" spans="1:13">
      <c r="A2887" s="1">
        <f>HYPERLINK("http://www.twitter.com/NathanBLawrence/status/989253713159221248", "989253713159221248")</f>
        <v/>
      </c>
      <c r="B2887" s="2" t="n">
        <v>43215.89165509259</v>
      </c>
      <c r="C2887" t="n">
        <v>0</v>
      </c>
      <c r="D2887" t="n">
        <v>2</v>
      </c>
      <c r="E2887" t="s">
        <v>2879</v>
      </c>
      <c r="F2887" t="s"/>
      <c r="G2887" t="s"/>
      <c r="H2887" t="s"/>
      <c r="I2887" t="s"/>
      <c r="J2887" t="n">
        <v>0</v>
      </c>
      <c r="K2887" t="n">
        <v>0</v>
      </c>
      <c r="L2887" t="n">
        <v>1</v>
      </c>
      <c r="M2887" t="n">
        <v>0</v>
      </c>
    </row>
    <row r="2888" spans="1:13">
      <c r="A2888" s="1">
        <f>HYPERLINK("http://www.twitter.com/NathanBLawrence/status/989242203494080512", "989242203494080512")</f>
        <v/>
      </c>
      <c r="B2888" s="2" t="n">
        <v>43215.85989583333</v>
      </c>
      <c r="C2888" t="n">
        <v>3</v>
      </c>
      <c r="D2888" t="n">
        <v>0</v>
      </c>
      <c r="E2888" t="s">
        <v>2880</v>
      </c>
      <c r="F2888" t="s"/>
      <c r="G2888" t="s"/>
      <c r="H2888" t="s"/>
      <c r="I2888" t="s"/>
      <c r="J2888" t="n">
        <v>0.4588</v>
      </c>
      <c r="K2888" t="n">
        <v>0</v>
      </c>
      <c r="L2888" t="n">
        <v>0.897</v>
      </c>
      <c r="M2888" t="n">
        <v>0.103</v>
      </c>
    </row>
    <row r="2889" spans="1:13">
      <c r="A2889" s="1">
        <f>HYPERLINK("http://www.twitter.com/NathanBLawrence/status/989241631655235584", "989241631655235584")</f>
        <v/>
      </c>
      <c r="B2889" s="2" t="n">
        <v>43215.85831018518</v>
      </c>
      <c r="C2889" t="n">
        <v>0</v>
      </c>
      <c r="D2889" t="n">
        <v>542</v>
      </c>
      <c r="E2889" t="s">
        <v>2881</v>
      </c>
      <c r="F2889" t="s"/>
      <c r="G2889" t="s"/>
      <c r="H2889" t="s"/>
      <c r="I2889" t="s"/>
      <c r="J2889" t="n">
        <v>-0.5266999999999999</v>
      </c>
      <c r="K2889" t="n">
        <v>0.196</v>
      </c>
      <c r="L2889" t="n">
        <v>0.804</v>
      </c>
      <c r="M2889" t="n">
        <v>0</v>
      </c>
    </row>
    <row r="2890" spans="1:13">
      <c r="A2890" s="1">
        <f>HYPERLINK("http://www.twitter.com/NathanBLawrence/status/989241539586031616", "989241539586031616")</f>
        <v/>
      </c>
      <c r="B2890" s="2" t="n">
        <v>43215.85805555555</v>
      </c>
      <c r="C2890" t="n">
        <v>1</v>
      </c>
      <c r="D2890" t="n">
        <v>0</v>
      </c>
      <c r="E2890" t="s">
        <v>2882</v>
      </c>
      <c r="F2890" t="s"/>
      <c r="G2890" t="s"/>
      <c r="H2890" t="s"/>
      <c r="I2890" t="s"/>
      <c r="J2890" t="n">
        <v>0</v>
      </c>
      <c r="K2890" t="n">
        <v>0</v>
      </c>
      <c r="L2890" t="n">
        <v>1</v>
      </c>
      <c r="M2890" t="n">
        <v>0</v>
      </c>
    </row>
    <row r="2891" spans="1:13">
      <c r="A2891" s="1">
        <f>HYPERLINK("http://www.twitter.com/NathanBLawrence/status/989234019094204422", "989234019094204422")</f>
        <v/>
      </c>
      <c r="B2891" s="2" t="n">
        <v>43215.83730324074</v>
      </c>
      <c r="C2891" t="n">
        <v>0</v>
      </c>
      <c r="D2891" t="n">
        <v>1</v>
      </c>
      <c r="E2891" t="s">
        <v>2883</v>
      </c>
      <c r="F2891" t="s"/>
      <c r="G2891" t="s"/>
      <c r="H2891" t="s"/>
      <c r="I2891" t="s"/>
      <c r="J2891" t="n">
        <v>0</v>
      </c>
      <c r="K2891" t="n">
        <v>0</v>
      </c>
      <c r="L2891" t="n">
        <v>1</v>
      </c>
      <c r="M2891" t="n">
        <v>0</v>
      </c>
    </row>
    <row r="2892" spans="1:13">
      <c r="A2892" s="1">
        <f>HYPERLINK("http://www.twitter.com/NathanBLawrence/status/989233957878288387", "989233957878288387")</f>
        <v/>
      </c>
      <c r="B2892" s="2" t="n">
        <v>43215.8371412037</v>
      </c>
      <c r="C2892" t="n">
        <v>3</v>
      </c>
      <c r="D2892" t="n">
        <v>0</v>
      </c>
      <c r="E2892" t="s">
        <v>2884</v>
      </c>
      <c r="F2892">
        <f>HYPERLINK("http://pbs.twimg.com/media/Dbp3CGWVwAALEdu.jpg", "http://pbs.twimg.com/media/Dbp3CGWVwAALEdu.jpg")</f>
        <v/>
      </c>
      <c r="G2892" t="s"/>
      <c r="H2892" t="s"/>
      <c r="I2892" t="s"/>
      <c r="J2892" t="n">
        <v>0.128</v>
      </c>
      <c r="K2892" t="n">
        <v>0.055</v>
      </c>
      <c r="L2892" t="n">
        <v>0.877</v>
      </c>
      <c r="M2892" t="n">
        <v>0.068</v>
      </c>
    </row>
    <row r="2893" spans="1:13">
      <c r="A2893" s="1">
        <f>HYPERLINK("http://www.twitter.com/NathanBLawrence/status/989232780440719362", "989232780440719362")</f>
        <v/>
      </c>
      <c r="B2893" s="2" t="n">
        <v>43215.83388888889</v>
      </c>
      <c r="C2893" t="n">
        <v>0</v>
      </c>
      <c r="D2893" t="n">
        <v>2</v>
      </c>
      <c r="E2893" t="s">
        <v>2879</v>
      </c>
      <c r="F2893" t="s"/>
      <c r="G2893" t="s"/>
      <c r="H2893" t="s"/>
      <c r="I2893" t="s"/>
      <c r="J2893" t="n">
        <v>0</v>
      </c>
      <c r="K2893" t="n">
        <v>0</v>
      </c>
      <c r="L2893" t="n">
        <v>1</v>
      </c>
      <c r="M2893" t="n">
        <v>0</v>
      </c>
    </row>
    <row r="2894" spans="1:13">
      <c r="A2894" s="1">
        <f>HYPERLINK("http://www.twitter.com/NathanBLawrence/status/989232763940343811", "989232763940343811")</f>
        <v/>
      </c>
      <c r="B2894" s="2" t="n">
        <v>43215.83384259259</v>
      </c>
      <c r="C2894" t="n">
        <v>5</v>
      </c>
      <c r="D2894" t="n">
        <v>0</v>
      </c>
      <c r="E2894" t="s">
        <v>2885</v>
      </c>
      <c r="F2894">
        <f>HYPERLINK("http://pbs.twimg.com/media/Dbp19IbVwAAPTMY.jpg", "http://pbs.twimg.com/media/Dbp19IbVwAAPTMY.jpg")</f>
        <v/>
      </c>
      <c r="G2894" t="s"/>
      <c r="H2894" t="s"/>
      <c r="I2894" t="s"/>
      <c r="J2894" t="n">
        <v>0.0708</v>
      </c>
      <c r="K2894" t="n">
        <v>0.091</v>
      </c>
      <c r="L2894" t="n">
        <v>0.792</v>
      </c>
      <c r="M2894" t="n">
        <v>0.116</v>
      </c>
    </row>
    <row r="2895" spans="1:13">
      <c r="A2895" s="1">
        <f>HYPERLINK("http://www.twitter.com/NathanBLawrence/status/989231241387012097", "989231241387012097")</f>
        <v/>
      </c>
      <c r="B2895" s="2" t="n">
        <v>43215.8296412037</v>
      </c>
      <c r="C2895" t="n">
        <v>2</v>
      </c>
      <c r="D2895" t="n">
        <v>0</v>
      </c>
      <c r="E2895" t="s">
        <v>2886</v>
      </c>
      <c r="F2895" t="s"/>
      <c r="G2895" t="s"/>
      <c r="H2895" t="s"/>
      <c r="I2895" t="s"/>
      <c r="J2895" t="n">
        <v>0.4404</v>
      </c>
      <c r="K2895" t="n">
        <v>0</v>
      </c>
      <c r="L2895" t="n">
        <v>0.896</v>
      </c>
      <c r="M2895" t="n">
        <v>0.104</v>
      </c>
    </row>
    <row r="2896" spans="1:13">
      <c r="A2896" s="1">
        <f>HYPERLINK("http://www.twitter.com/NathanBLawrence/status/989231162819309570", "989231162819309570")</f>
        <v/>
      </c>
      <c r="B2896" s="2" t="n">
        <v>43215.82942129629</v>
      </c>
      <c r="C2896" t="n">
        <v>0</v>
      </c>
      <c r="D2896" t="n">
        <v>227</v>
      </c>
      <c r="E2896" t="s">
        <v>2887</v>
      </c>
      <c r="F2896">
        <f>HYPERLINK("http://pbs.twimg.com/media/DbpzpnRVQAAYjDh.jpg", "http://pbs.twimg.com/media/DbpzpnRVQAAYjDh.jpg")</f>
        <v/>
      </c>
      <c r="G2896" t="s"/>
      <c r="H2896" t="s"/>
      <c r="I2896" t="s"/>
      <c r="J2896" t="n">
        <v>0</v>
      </c>
      <c r="K2896" t="n">
        <v>0</v>
      </c>
      <c r="L2896" t="n">
        <v>1</v>
      </c>
      <c r="M2896" t="n">
        <v>0</v>
      </c>
    </row>
    <row r="2897" spans="1:13">
      <c r="A2897" s="1">
        <f>HYPERLINK("http://www.twitter.com/NathanBLawrence/status/989230308078833664", "989230308078833664")</f>
        <v/>
      </c>
      <c r="B2897" s="2" t="n">
        <v>43215.82707175926</v>
      </c>
      <c r="C2897" t="n">
        <v>0</v>
      </c>
      <c r="D2897" t="n">
        <v>2</v>
      </c>
      <c r="E2897" t="s">
        <v>2888</v>
      </c>
      <c r="F2897" t="s"/>
      <c r="G2897" t="s"/>
      <c r="H2897" t="s"/>
      <c r="I2897" t="s"/>
      <c r="J2897" t="n">
        <v>0</v>
      </c>
      <c r="K2897" t="n">
        <v>0</v>
      </c>
      <c r="L2897" t="n">
        <v>1</v>
      </c>
      <c r="M2897" t="n">
        <v>0</v>
      </c>
    </row>
    <row r="2898" spans="1:13">
      <c r="A2898" s="1">
        <f>HYPERLINK("http://www.twitter.com/NathanBLawrence/status/989230223664271360", "989230223664271360")</f>
        <v/>
      </c>
      <c r="B2898" s="2" t="n">
        <v>43215.82682870371</v>
      </c>
      <c r="C2898" t="n">
        <v>0</v>
      </c>
      <c r="D2898" t="n">
        <v>1</v>
      </c>
      <c r="E2898" t="s">
        <v>2889</v>
      </c>
      <c r="F2898" t="s"/>
      <c r="G2898" t="s"/>
      <c r="H2898" t="s"/>
      <c r="I2898" t="s"/>
      <c r="J2898" t="n">
        <v>-0</v>
      </c>
      <c r="K2898" t="n">
        <v>0.118</v>
      </c>
      <c r="L2898" t="n">
        <v>0.725</v>
      </c>
      <c r="M2898" t="n">
        <v>0.156</v>
      </c>
    </row>
    <row r="2899" spans="1:13">
      <c r="A2899" s="1">
        <f>HYPERLINK("http://www.twitter.com/NathanBLawrence/status/989230132933156864", "989230132933156864")</f>
        <v/>
      </c>
      <c r="B2899" s="2" t="n">
        <v>43215.82658564814</v>
      </c>
      <c r="C2899" t="n">
        <v>1</v>
      </c>
      <c r="D2899" t="n">
        <v>0</v>
      </c>
      <c r="E2899" t="s">
        <v>2890</v>
      </c>
      <c r="F2899" t="s"/>
      <c r="G2899" t="s"/>
      <c r="H2899" t="s"/>
      <c r="I2899" t="s"/>
      <c r="J2899" t="n">
        <v>0.7003</v>
      </c>
      <c r="K2899" t="n">
        <v>0</v>
      </c>
      <c r="L2899" t="n">
        <v>0.408</v>
      </c>
      <c r="M2899" t="n">
        <v>0.592</v>
      </c>
    </row>
    <row r="2900" spans="1:13">
      <c r="A2900" s="1">
        <f>HYPERLINK("http://www.twitter.com/NathanBLawrence/status/989230046501048320", "989230046501048320")</f>
        <v/>
      </c>
      <c r="B2900" s="2" t="n">
        <v>43215.82634259259</v>
      </c>
      <c r="C2900" t="n">
        <v>0</v>
      </c>
      <c r="D2900" t="n">
        <v>2</v>
      </c>
      <c r="E2900" t="s">
        <v>2891</v>
      </c>
      <c r="F2900" t="s"/>
      <c r="G2900" t="s"/>
      <c r="H2900" t="s"/>
      <c r="I2900" t="s"/>
      <c r="J2900" t="n">
        <v>0.7488</v>
      </c>
      <c r="K2900" t="n">
        <v>0</v>
      </c>
      <c r="L2900" t="n">
        <v>0.715</v>
      </c>
      <c r="M2900" t="n">
        <v>0.285</v>
      </c>
    </row>
    <row r="2901" spans="1:13">
      <c r="A2901" s="1">
        <f>HYPERLINK("http://www.twitter.com/NathanBLawrence/status/989229682179674112", "989229682179674112")</f>
        <v/>
      </c>
      <c r="B2901" s="2" t="n">
        <v>43215.82533564815</v>
      </c>
      <c r="C2901" t="n">
        <v>9</v>
      </c>
      <c r="D2901" t="n">
        <v>2</v>
      </c>
      <c r="E2901" t="s">
        <v>2892</v>
      </c>
      <c r="F2901">
        <f>HYPERLINK("http://pbs.twimg.com/media/DbpzJVEV0AArhrF.jpg", "http://pbs.twimg.com/media/DbpzJVEV0AArhrF.jpg")</f>
        <v/>
      </c>
      <c r="G2901" t="s"/>
      <c r="H2901" t="s"/>
      <c r="I2901" t="s"/>
      <c r="J2901" t="n">
        <v>0</v>
      </c>
      <c r="K2901" t="n">
        <v>0</v>
      </c>
      <c r="L2901" t="n">
        <v>1</v>
      </c>
      <c r="M2901" t="n">
        <v>0</v>
      </c>
    </row>
    <row r="2902" spans="1:13">
      <c r="A2902" s="1">
        <f>HYPERLINK("http://www.twitter.com/NathanBLawrence/status/989229087490273282", "989229087490273282")</f>
        <v/>
      </c>
      <c r="B2902" s="2" t="n">
        <v>43215.8237037037</v>
      </c>
      <c r="C2902" t="n">
        <v>3</v>
      </c>
      <c r="D2902" t="n">
        <v>0</v>
      </c>
      <c r="E2902" t="s">
        <v>2893</v>
      </c>
      <c r="F2902" t="s"/>
      <c r="G2902" t="s"/>
      <c r="H2902" t="s"/>
      <c r="I2902" t="s"/>
      <c r="J2902" t="n">
        <v>0.7387</v>
      </c>
      <c r="K2902" t="n">
        <v>0</v>
      </c>
      <c r="L2902" t="n">
        <v>0.624</v>
      </c>
      <c r="M2902" t="n">
        <v>0.376</v>
      </c>
    </row>
    <row r="2903" spans="1:13">
      <c r="A2903" s="1">
        <f>HYPERLINK("http://www.twitter.com/NathanBLawrence/status/989228486631051265", "989228486631051265")</f>
        <v/>
      </c>
      <c r="B2903" s="2" t="n">
        <v>43215.82203703704</v>
      </c>
      <c r="C2903" t="n">
        <v>0</v>
      </c>
      <c r="D2903" t="n">
        <v>6</v>
      </c>
      <c r="E2903" t="s">
        <v>2894</v>
      </c>
      <c r="F2903" t="s"/>
      <c r="G2903" t="s"/>
      <c r="H2903" t="s"/>
      <c r="I2903" t="s"/>
      <c r="J2903" t="n">
        <v>0</v>
      </c>
      <c r="K2903" t="n">
        <v>0</v>
      </c>
      <c r="L2903" t="n">
        <v>1</v>
      </c>
      <c r="M2903" t="n">
        <v>0</v>
      </c>
    </row>
    <row r="2904" spans="1:13">
      <c r="A2904" s="1">
        <f>HYPERLINK("http://www.twitter.com/NathanBLawrence/status/989228135521705988", "989228135521705988")</f>
        <v/>
      </c>
      <c r="B2904" s="2" t="n">
        <v>43215.82107638889</v>
      </c>
      <c r="C2904" t="n">
        <v>3</v>
      </c>
      <c r="D2904" t="n">
        <v>1</v>
      </c>
      <c r="E2904" t="s">
        <v>2895</v>
      </c>
      <c r="F2904" t="s"/>
      <c r="G2904" t="s"/>
      <c r="H2904" t="s"/>
      <c r="I2904" t="s"/>
      <c r="J2904" t="n">
        <v>0.8032</v>
      </c>
      <c r="K2904" t="n">
        <v>0</v>
      </c>
      <c r="L2904" t="n">
        <v>0.79</v>
      </c>
      <c r="M2904" t="n">
        <v>0.21</v>
      </c>
    </row>
    <row r="2905" spans="1:13">
      <c r="A2905" s="1">
        <f>HYPERLINK("http://www.twitter.com/NathanBLawrence/status/989227575800197122", "989227575800197122")</f>
        <v/>
      </c>
      <c r="B2905" s="2" t="n">
        <v>43215.81952546296</v>
      </c>
      <c r="C2905" t="n">
        <v>0</v>
      </c>
      <c r="D2905" t="n">
        <v>1</v>
      </c>
      <c r="E2905" t="s">
        <v>2896</v>
      </c>
      <c r="F2905" t="s"/>
      <c r="G2905" t="s"/>
      <c r="H2905" t="s"/>
      <c r="I2905" t="s"/>
      <c r="J2905" t="n">
        <v>0</v>
      </c>
      <c r="K2905" t="n">
        <v>0</v>
      </c>
      <c r="L2905" t="n">
        <v>1</v>
      </c>
      <c r="M2905" t="n">
        <v>0</v>
      </c>
    </row>
    <row r="2906" spans="1:13">
      <c r="A2906" s="1">
        <f>HYPERLINK("http://www.twitter.com/NathanBLawrence/status/989227449966874624", "989227449966874624")</f>
        <v/>
      </c>
      <c r="B2906" s="2" t="n">
        <v>43215.81917824074</v>
      </c>
      <c r="C2906" t="n">
        <v>0</v>
      </c>
      <c r="D2906" t="n">
        <v>1</v>
      </c>
      <c r="E2906" t="s">
        <v>2897</v>
      </c>
      <c r="F2906" t="s"/>
      <c r="G2906" t="s"/>
      <c r="H2906" t="s"/>
      <c r="I2906" t="s"/>
      <c r="J2906" t="n">
        <v>0</v>
      </c>
      <c r="K2906" t="n">
        <v>0</v>
      </c>
      <c r="L2906" t="n">
        <v>1</v>
      </c>
      <c r="M2906" t="n">
        <v>0</v>
      </c>
    </row>
    <row r="2907" spans="1:13">
      <c r="A2907" s="1">
        <f>HYPERLINK("http://www.twitter.com/NathanBLawrence/status/989227402059571202", "989227402059571202")</f>
        <v/>
      </c>
      <c r="B2907" s="2" t="n">
        <v>43215.81905092593</v>
      </c>
      <c r="C2907" t="n">
        <v>5</v>
      </c>
      <c r="D2907" t="n">
        <v>2</v>
      </c>
      <c r="E2907" t="s">
        <v>2898</v>
      </c>
      <c r="F2907" t="s"/>
      <c r="G2907" t="s"/>
      <c r="H2907" t="s"/>
      <c r="I2907" t="s"/>
      <c r="J2907" t="n">
        <v>0.4588</v>
      </c>
      <c r="K2907" t="n">
        <v>0</v>
      </c>
      <c r="L2907" t="n">
        <v>0.906</v>
      </c>
      <c r="M2907" t="n">
        <v>0.094</v>
      </c>
    </row>
    <row r="2908" spans="1:13">
      <c r="A2908" s="1">
        <f>HYPERLINK("http://www.twitter.com/NathanBLawrence/status/989227229677842432", "989227229677842432")</f>
        <v/>
      </c>
      <c r="B2908" s="2" t="n">
        <v>43215.81857638889</v>
      </c>
      <c r="C2908" t="n">
        <v>0</v>
      </c>
      <c r="D2908" t="n">
        <v>1</v>
      </c>
      <c r="E2908" t="s">
        <v>2899</v>
      </c>
      <c r="F2908" t="s"/>
      <c r="G2908" t="s"/>
      <c r="H2908" t="s"/>
      <c r="I2908" t="s"/>
      <c r="J2908" t="n">
        <v>0</v>
      </c>
      <c r="K2908" t="n">
        <v>0</v>
      </c>
      <c r="L2908" t="n">
        <v>1</v>
      </c>
      <c r="M2908" t="n">
        <v>0</v>
      </c>
    </row>
    <row r="2909" spans="1:13">
      <c r="A2909" s="1">
        <f>HYPERLINK("http://www.twitter.com/NathanBLawrence/status/989224843899035648", "989224843899035648")</f>
        <v/>
      </c>
      <c r="B2909" s="2" t="n">
        <v>43215.81199074074</v>
      </c>
      <c r="C2909" t="n">
        <v>5</v>
      </c>
      <c r="D2909" t="n">
        <v>1</v>
      </c>
      <c r="E2909" t="s">
        <v>2900</v>
      </c>
      <c r="F2909" t="s"/>
      <c r="G2909" t="s"/>
      <c r="H2909" t="s"/>
      <c r="I2909" t="s"/>
      <c r="J2909" t="n">
        <v>0.555</v>
      </c>
      <c r="K2909" t="n">
        <v>0</v>
      </c>
      <c r="L2909" t="n">
        <v>0.875</v>
      </c>
      <c r="M2909" t="n">
        <v>0.125</v>
      </c>
    </row>
    <row r="2910" spans="1:13">
      <c r="A2910" s="1">
        <f>HYPERLINK("http://www.twitter.com/NathanBLawrence/status/989218031179108359", "989218031179108359")</f>
        <v/>
      </c>
      <c r="B2910" s="2" t="n">
        <v>43215.79319444444</v>
      </c>
      <c r="C2910" t="n">
        <v>0</v>
      </c>
      <c r="D2910" t="n">
        <v>1</v>
      </c>
      <c r="E2910" t="s">
        <v>2901</v>
      </c>
      <c r="F2910" t="s"/>
      <c r="G2910" t="s"/>
      <c r="H2910" t="s"/>
      <c r="I2910" t="s"/>
      <c r="J2910" t="n">
        <v>0</v>
      </c>
      <c r="K2910" t="n">
        <v>0</v>
      </c>
      <c r="L2910" t="n">
        <v>1</v>
      </c>
      <c r="M2910" t="n">
        <v>0</v>
      </c>
    </row>
    <row r="2911" spans="1:13">
      <c r="A2911" s="1">
        <f>HYPERLINK("http://www.twitter.com/NathanBLawrence/status/989216755812896768", "989216755812896768")</f>
        <v/>
      </c>
      <c r="B2911" s="2" t="n">
        <v>43215.78967592592</v>
      </c>
      <c r="C2911" t="n">
        <v>0</v>
      </c>
      <c r="D2911" t="n">
        <v>7</v>
      </c>
      <c r="E2911" t="s">
        <v>2902</v>
      </c>
      <c r="F2911" t="s"/>
      <c r="G2911" t="s"/>
      <c r="H2911" t="s"/>
      <c r="I2911" t="s"/>
      <c r="J2911" t="n">
        <v>0</v>
      </c>
      <c r="K2911" t="n">
        <v>0</v>
      </c>
      <c r="L2911" t="n">
        <v>1</v>
      </c>
      <c r="M2911" t="n">
        <v>0</v>
      </c>
    </row>
    <row r="2912" spans="1:13">
      <c r="A2912" s="1">
        <f>HYPERLINK("http://www.twitter.com/NathanBLawrence/status/989216677207465984", "989216677207465984")</f>
        <v/>
      </c>
      <c r="B2912" s="2" t="n">
        <v>43215.78945601852</v>
      </c>
      <c r="C2912" t="n">
        <v>0</v>
      </c>
      <c r="D2912" t="n">
        <v>4</v>
      </c>
      <c r="E2912" t="s">
        <v>2903</v>
      </c>
      <c r="F2912" t="s"/>
      <c r="G2912" t="s"/>
      <c r="H2912" t="s"/>
      <c r="I2912" t="s"/>
      <c r="J2912" t="n">
        <v>0</v>
      </c>
      <c r="K2912" t="n">
        <v>0</v>
      </c>
      <c r="L2912" t="n">
        <v>1</v>
      </c>
      <c r="M2912" t="n">
        <v>0</v>
      </c>
    </row>
    <row r="2913" spans="1:13">
      <c r="A2913" s="1">
        <f>HYPERLINK("http://www.twitter.com/NathanBLawrence/status/989216638053609472", "989216638053609472")</f>
        <v/>
      </c>
      <c r="B2913" s="2" t="n">
        <v>43215.78934027778</v>
      </c>
      <c r="C2913" t="n">
        <v>0</v>
      </c>
      <c r="D2913" t="n">
        <v>3</v>
      </c>
      <c r="E2913" t="s">
        <v>2904</v>
      </c>
      <c r="F2913">
        <f>HYPERLINK("http://pbs.twimg.com/media/DbpanC9U8AA_0Je.jpg", "http://pbs.twimg.com/media/DbpanC9U8AA_0Je.jpg")</f>
        <v/>
      </c>
      <c r="G2913" t="s"/>
      <c r="H2913" t="s"/>
      <c r="I2913" t="s"/>
      <c r="J2913" t="n">
        <v>0</v>
      </c>
      <c r="K2913" t="n">
        <v>0</v>
      </c>
      <c r="L2913" t="n">
        <v>1</v>
      </c>
      <c r="M2913" t="n">
        <v>0</v>
      </c>
    </row>
    <row r="2914" spans="1:13">
      <c r="A2914" s="1">
        <f>HYPERLINK("http://www.twitter.com/NathanBLawrence/status/989216507036143617", "989216507036143617")</f>
        <v/>
      </c>
      <c r="B2914" s="2" t="n">
        <v>43215.78898148148</v>
      </c>
      <c r="C2914" t="n">
        <v>0</v>
      </c>
      <c r="D2914" t="n">
        <v>1</v>
      </c>
      <c r="E2914" t="s">
        <v>2905</v>
      </c>
      <c r="F2914" t="s"/>
      <c r="G2914" t="s"/>
      <c r="H2914" t="s"/>
      <c r="I2914" t="s"/>
      <c r="J2914" t="n">
        <v>0.4588</v>
      </c>
      <c r="K2914" t="n">
        <v>0</v>
      </c>
      <c r="L2914" t="n">
        <v>0.786</v>
      </c>
      <c r="M2914" t="n">
        <v>0.214</v>
      </c>
    </row>
    <row r="2915" spans="1:13">
      <c r="A2915" s="1">
        <f>HYPERLINK("http://www.twitter.com/NathanBLawrence/status/989214679372361728", "989214679372361728")</f>
        <v/>
      </c>
      <c r="B2915" s="2" t="n">
        <v>43215.78393518519</v>
      </c>
      <c r="C2915" t="n">
        <v>0</v>
      </c>
      <c r="D2915" t="n">
        <v>1</v>
      </c>
      <c r="E2915" t="s">
        <v>2906</v>
      </c>
      <c r="F2915" t="s"/>
      <c r="G2915" t="s"/>
      <c r="H2915" t="s"/>
      <c r="I2915" t="s"/>
      <c r="J2915" t="n">
        <v>-0.296</v>
      </c>
      <c r="K2915" t="n">
        <v>0.099</v>
      </c>
      <c r="L2915" t="n">
        <v>0.901</v>
      </c>
      <c r="M2915" t="n">
        <v>0</v>
      </c>
    </row>
    <row r="2916" spans="1:13">
      <c r="A2916" s="1">
        <f>HYPERLINK("http://www.twitter.com/NathanBLawrence/status/989214511314931712", "989214511314931712")</f>
        <v/>
      </c>
      <c r="B2916" s="2" t="n">
        <v>43215.78347222223</v>
      </c>
      <c r="C2916" t="n">
        <v>2</v>
      </c>
      <c r="D2916" t="n">
        <v>4</v>
      </c>
      <c r="E2916" t="s">
        <v>2907</v>
      </c>
      <c r="F2916" t="s"/>
      <c r="G2916" t="s"/>
      <c r="H2916" t="s"/>
      <c r="I2916" t="s"/>
      <c r="J2916" t="n">
        <v>0.3612</v>
      </c>
      <c r="K2916" t="n">
        <v>0.104</v>
      </c>
      <c r="L2916" t="n">
        <v>0.734</v>
      </c>
      <c r="M2916" t="n">
        <v>0.162</v>
      </c>
    </row>
    <row r="2917" spans="1:13">
      <c r="A2917" s="1">
        <f>HYPERLINK("http://www.twitter.com/NathanBLawrence/status/989211858430283777", "989211858430283777")</f>
        <v/>
      </c>
      <c r="B2917" s="2" t="n">
        <v>43215.77615740741</v>
      </c>
      <c r="C2917" t="n">
        <v>0</v>
      </c>
      <c r="D2917" t="n">
        <v>13</v>
      </c>
      <c r="E2917" t="s">
        <v>2908</v>
      </c>
      <c r="F2917" t="s"/>
      <c r="G2917" t="s"/>
      <c r="H2917" t="s"/>
      <c r="I2917" t="s"/>
      <c r="J2917" t="n">
        <v>-0.6299</v>
      </c>
      <c r="K2917" t="n">
        <v>0.176</v>
      </c>
      <c r="L2917" t="n">
        <v>0.824</v>
      </c>
      <c r="M2917" t="n">
        <v>0</v>
      </c>
    </row>
    <row r="2918" spans="1:13">
      <c r="A2918" s="1">
        <f>HYPERLINK("http://www.twitter.com/NathanBLawrence/status/989211778268712961", "989211778268712961")</f>
        <v/>
      </c>
      <c r="B2918" s="2" t="n">
        <v>43215.7759375</v>
      </c>
      <c r="C2918" t="n">
        <v>1</v>
      </c>
      <c r="D2918" t="n">
        <v>1</v>
      </c>
      <c r="E2918" t="s">
        <v>2909</v>
      </c>
      <c r="F2918" t="s"/>
      <c r="G2918" t="s"/>
      <c r="H2918" t="s"/>
      <c r="I2918" t="s"/>
      <c r="J2918" t="n">
        <v>0</v>
      </c>
      <c r="K2918" t="n">
        <v>0</v>
      </c>
      <c r="L2918" t="n">
        <v>1</v>
      </c>
      <c r="M2918" t="n">
        <v>0</v>
      </c>
    </row>
    <row r="2919" spans="1:13">
      <c r="A2919" s="1">
        <f>HYPERLINK("http://www.twitter.com/NathanBLawrence/status/989211557182754816", "989211557182754816")</f>
        <v/>
      </c>
      <c r="B2919" s="2" t="n">
        <v>43215.77532407407</v>
      </c>
      <c r="C2919" t="n">
        <v>0</v>
      </c>
      <c r="D2919" t="n">
        <v>1092</v>
      </c>
      <c r="E2919" t="s">
        <v>2910</v>
      </c>
      <c r="F2919">
        <f>HYPERLINK("http://pbs.twimg.com/media/DbmUOtYU8AACb1B.jpg", "http://pbs.twimg.com/media/DbmUOtYU8AACb1B.jpg")</f>
        <v/>
      </c>
      <c r="G2919" t="s"/>
      <c r="H2919" t="s"/>
      <c r="I2919" t="s"/>
      <c r="J2919" t="n">
        <v>-0.5983000000000001</v>
      </c>
      <c r="K2919" t="n">
        <v>0.163</v>
      </c>
      <c r="L2919" t="n">
        <v>0.837</v>
      </c>
      <c r="M2919" t="n">
        <v>0</v>
      </c>
    </row>
    <row r="2920" spans="1:13">
      <c r="A2920" s="1">
        <f>HYPERLINK("http://www.twitter.com/NathanBLawrence/status/989211520327438338", "989211520327438338")</f>
        <v/>
      </c>
      <c r="B2920" s="2" t="n">
        <v>43215.77521990741</v>
      </c>
      <c r="C2920" t="n">
        <v>0</v>
      </c>
      <c r="D2920" t="n">
        <v>5</v>
      </c>
      <c r="E2920" t="s">
        <v>2911</v>
      </c>
      <c r="F2920" t="s"/>
      <c r="G2920" t="s"/>
      <c r="H2920" t="s"/>
      <c r="I2920" t="s"/>
      <c r="J2920" t="n">
        <v>0</v>
      </c>
      <c r="K2920" t="n">
        <v>0</v>
      </c>
      <c r="L2920" t="n">
        <v>1</v>
      </c>
      <c r="M2920" t="n">
        <v>0</v>
      </c>
    </row>
    <row r="2921" spans="1:13">
      <c r="A2921" s="1">
        <f>HYPERLINK("http://www.twitter.com/NathanBLawrence/status/989211482775834628", "989211482775834628")</f>
        <v/>
      </c>
      <c r="B2921" s="2" t="n">
        <v>43215.77511574074</v>
      </c>
      <c r="C2921" t="n">
        <v>0</v>
      </c>
      <c r="D2921" t="n">
        <v>1148</v>
      </c>
      <c r="E2921" t="s">
        <v>2912</v>
      </c>
      <c r="F2921" t="s"/>
      <c r="G2921" t="s"/>
      <c r="H2921" t="s"/>
      <c r="I2921" t="s"/>
      <c r="J2921" t="n">
        <v>-0.8455</v>
      </c>
      <c r="K2921" t="n">
        <v>0.279</v>
      </c>
      <c r="L2921" t="n">
        <v>0.721</v>
      </c>
      <c r="M2921" t="n">
        <v>0</v>
      </c>
    </row>
    <row r="2922" spans="1:13">
      <c r="A2922" s="1">
        <f>HYPERLINK("http://www.twitter.com/NathanBLawrence/status/989211006323904514", "989211006323904514")</f>
        <v/>
      </c>
      <c r="B2922" s="2" t="n">
        <v>43215.77380787037</v>
      </c>
      <c r="C2922" t="n">
        <v>1</v>
      </c>
      <c r="D2922" t="n">
        <v>0</v>
      </c>
      <c r="E2922" t="s">
        <v>2913</v>
      </c>
      <c r="F2922" t="s"/>
      <c r="G2922" t="s"/>
      <c r="H2922" t="s"/>
      <c r="I2922" t="s"/>
      <c r="J2922" t="n">
        <v>0</v>
      </c>
      <c r="K2922" t="n">
        <v>0</v>
      </c>
      <c r="L2922" t="n">
        <v>1</v>
      </c>
      <c r="M2922" t="n">
        <v>0</v>
      </c>
    </row>
    <row r="2923" spans="1:13">
      <c r="A2923" s="1">
        <f>HYPERLINK("http://www.twitter.com/NathanBLawrence/status/989210678014693383", "989210678014693383")</f>
        <v/>
      </c>
      <c r="B2923" s="2" t="n">
        <v>43215.77289351852</v>
      </c>
      <c r="C2923" t="n">
        <v>0</v>
      </c>
      <c r="D2923" t="n">
        <v>1</v>
      </c>
      <c r="E2923" t="s">
        <v>2914</v>
      </c>
      <c r="F2923" t="s"/>
      <c r="G2923" t="s"/>
      <c r="H2923" t="s"/>
      <c r="I2923" t="s"/>
      <c r="J2923" t="n">
        <v>-0.5994</v>
      </c>
      <c r="K2923" t="n">
        <v>0.329</v>
      </c>
      <c r="L2923" t="n">
        <v>0.671</v>
      </c>
      <c r="M2923" t="n">
        <v>0</v>
      </c>
    </row>
    <row r="2924" spans="1:13">
      <c r="A2924" s="1">
        <f>HYPERLINK("http://www.twitter.com/NathanBLawrence/status/989210621156712448", "989210621156712448")</f>
        <v/>
      </c>
      <c r="B2924" s="2" t="n">
        <v>43215.77274305555</v>
      </c>
      <c r="C2924" t="n">
        <v>0</v>
      </c>
      <c r="D2924" t="n">
        <v>31</v>
      </c>
      <c r="E2924" t="s">
        <v>2915</v>
      </c>
      <c r="F2924" t="s"/>
      <c r="G2924" t="s"/>
      <c r="H2924" t="s"/>
      <c r="I2924" t="s"/>
      <c r="J2924" t="n">
        <v>0.5093</v>
      </c>
      <c r="K2924" t="n">
        <v>0.051</v>
      </c>
      <c r="L2924" t="n">
        <v>0.802</v>
      </c>
      <c r="M2924" t="n">
        <v>0.147</v>
      </c>
    </row>
    <row r="2925" spans="1:13">
      <c r="A2925" s="1">
        <f>HYPERLINK("http://www.twitter.com/NathanBLawrence/status/989210571903029250", "989210571903029250")</f>
        <v/>
      </c>
      <c r="B2925" s="2" t="n">
        <v>43215.77260416667</v>
      </c>
      <c r="C2925" t="n">
        <v>0</v>
      </c>
      <c r="D2925" t="n">
        <v>1</v>
      </c>
      <c r="E2925" t="s">
        <v>2916</v>
      </c>
      <c r="F2925" t="s"/>
      <c r="G2925" t="s"/>
      <c r="H2925" t="s"/>
      <c r="I2925" t="s"/>
      <c r="J2925" t="n">
        <v>-0.5622</v>
      </c>
      <c r="K2925" t="n">
        <v>0.195</v>
      </c>
      <c r="L2925" t="n">
        <v>0.805</v>
      </c>
      <c r="M2925" t="n">
        <v>0</v>
      </c>
    </row>
    <row r="2926" spans="1:13">
      <c r="A2926" s="1">
        <f>HYPERLINK("http://www.twitter.com/NathanBLawrence/status/989210491334660097", "989210491334660097")</f>
        <v/>
      </c>
      <c r="B2926" s="2" t="n">
        <v>43215.77238425926</v>
      </c>
      <c r="C2926" t="n">
        <v>0</v>
      </c>
      <c r="D2926" t="n">
        <v>25</v>
      </c>
      <c r="E2926" t="s">
        <v>2917</v>
      </c>
      <c r="F2926">
        <f>HYPERLINK("http://pbs.twimg.com/media/DbphI1qVMAAHpjy.jpg", "http://pbs.twimg.com/media/DbphI1qVMAAHpjy.jpg")</f>
        <v/>
      </c>
      <c r="G2926">
        <f>HYPERLINK("http://pbs.twimg.com/media/DbphI1rVAAA0RIQ.jpg", "http://pbs.twimg.com/media/DbphI1rVAAA0RIQ.jpg")</f>
        <v/>
      </c>
      <c r="H2926" t="s"/>
      <c r="I2926" t="s"/>
      <c r="J2926" t="n">
        <v>0</v>
      </c>
      <c r="K2926" t="n">
        <v>0</v>
      </c>
      <c r="L2926" t="n">
        <v>1</v>
      </c>
      <c r="M2926" t="n">
        <v>0</v>
      </c>
    </row>
    <row r="2927" spans="1:13">
      <c r="A2927" s="1">
        <f>HYPERLINK("http://www.twitter.com/NathanBLawrence/status/989210450209443841", "989210450209443841")</f>
        <v/>
      </c>
      <c r="B2927" s="2" t="n">
        <v>43215.77226851852</v>
      </c>
      <c r="C2927" t="n">
        <v>0</v>
      </c>
      <c r="D2927" t="n">
        <v>38</v>
      </c>
      <c r="E2927" t="s">
        <v>2918</v>
      </c>
      <c r="F2927">
        <f>HYPERLINK("http://pbs.twimg.com/media/DbpgwIEV0AE4z6H.jpg", "http://pbs.twimg.com/media/DbpgwIEV0AE4z6H.jpg")</f>
        <v/>
      </c>
      <c r="G2927">
        <f>HYPERLINK("http://pbs.twimg.com/media/DbpgwpbVAAAIPw-.jpg", "http://pbs.twimg.com/media/DbpgwpbVAAAIPw-.jpg")</f>
        <v/>
      </c>
      <c r="H2927">
        <f>HYPERLINK("http://pbs.twimg.com/media/Dbpgw6CU8AUkULY.jpg", "http://pbs.twimg.com/media/Dbpgw6CU8AUkULY.jpg")</f>
        <v/>
      </c>
      <c r="I2927">
        <f>HYPERLINK("http://pbs.twimg.com/media/DbpgxQPU8AEokGR.jpg", "http://pbs.twimg.com/media/DbpgxQPU8AEokGR.jpg")</f>
        <v/>
      </c>
      <c r="J2927" t="n">
        <v>0</v>
      </c>
      <c r="K2927" t="n">
        <v>0</v>
      </c>
      <c r="L2927" t="n">
        <v>1</v>
      </c>
      <c r="M2927" t="n">
        <v>0</v>
      </c>
    </row>
    <row r="2928" spans="1:13">
      <c r="A2928" s="1">
        <f>HYPERLINK("http://www.twitter.com/NathanBLawrence/status/989210292541448192", "989210292541448192")</f>
        <v/>
      </c>
      <c r="B2928" s="2" t="n">
        <v>43215.77184027778</v>
      </c>
      <c r="C2928" t="n">
        <v>2</v>
      </c>
      <c r="D2928" t="n">
        <v>0</v>
      </c>
      <c r="E2928" t="s">
        <v>2919</v>
      </c>
      <c r="F2928" t="s"/>
      <c r="G2928" t="s"/>
      <c r="H2928" t="s"/>
      <c r="I2928" t="s"/>
      <c r="J2928" t="n">
        <v>0.4404</v>
      </c>
      <c r="K2928" t="n">
        <v>0</v>
      </c>
      <c r="L2928" t="n">
        <v>0.873</v>
      </c>
      <c r="M2928" t="n">
        <v>0.127</v>
      </c>
    </row>
    <row r="2929" spans="1:13">
      <c r="A2929" s="1">
        <f>HYPERLINK("http://www.twitter.com/NathanBLawrence/status/989210211490594818", "989210211490594818")</f>
        <v/>
      </c>
      <c r="B2929" s="2" t="n">
        <v>43215.7716087963</v>
      </c>
      <c r="C2929" t="n">
        <v>0</v>
      </c>
      <c r="D2929" t="n">
        <v>201</v>
      </c>
      <c r="E2929" t="s">
        <v>2920</v>
      </c>
      <c r="F2929">
        <f>HYPERLINK("http://pbs.twimg.com/media/DbpRD1xUwAAuO2J.jpg", "http://pbs.twimg.com/media/DbpRD1xUwAAuO2J.jpg")</f>
        <v/>
      </c>
      <c r="G2929" t="s"/>
      <c r="H2929" t="s"/>
      <c r="I2929" t="s"/>
      <c r="J2929" t="n">
        <v>0</v>
      </c>
      <c r="K2929" t="n">
        <v>0</v>
      </c>
      <c r="L2929" t="n">
        <v>1</v>
      </c>
      <c r="M2929" t="n">
        <v>0</v>
      </c>
    </row>
    <row r="2930" spans="1:13">
      <c r="A2930" s="1">
        <f>HYPERLINK("http://www.twitter.com/NathanBLawrence/status/989209822330523648", "989209822330523648")</f>
        <v/>
      </c>
      <c r="B2930" s="2" t="n">
        <v>43215.7705324074</v>
      </c>
      <c r="C2930" t="n">
        <v>0</v>
      </c>
      <c r="D2930" t="n">
        <v>39</v>
      </c>
      <c r="E2930" t="s">
        <v>2921</v>
      </c>
      <c r="F2930" t="s"/>
      <c r="G2930" t="s"/>
      <c r="H2930" t="s"/>
      <c r="I2930" t="s"/>
      <c r="J2930" t="n">
        <v>0.1511</v>
      </c>
      <c r="K2930" t="n">
        <v>0.124</v>
      </c>
      <c r="L2930" t="n">
        <v>0.73</v>
      </c>
      <c r="M2930" t="n">
        <v>0.146</v>
      </c>
    </row>
    <row r="2931" spans="1:13">
      <c r="A2931" s="1">
        <f>HYPERLINK("http://www.twitter.com/NathanBLawrence/status/989209677652250625", "989209677652250625")</f>
        <v/>
      </c>
      <c r="B2931" s="2" t="n">
        <v>43215.77013888889</v>
      </c>
      <c r="C2931" t="n">
        <v>2</v>
      </c>
      <c r="D2931" t="n">
        <v>0</v>
      </c>
      <c r="E2931" t="s">
        <v>2922</v>
      </c>
      <c r="F2931" t="s"/>
      <c r="G2931" t="s"/>
      <c r="H2931" t="s"/>
      <c r="I2931" t="s"/>
      <c r="J2931" t="n">
        <v>0</v>
      </c>
      <c r="K2931" t="n">
        <v>0</v>
      </c>
      <c r="L2931" t="n">
        <v>1</v>
      </c>
      <c r="M2931" t="n">
        <v>0</v>
      </c>
    </row>
    <row r="2932" spans="1:13">
      <c r="A2932" s="1">
        <f>HYPERLINK("http://www.twitter.com/NathanBLawrence/status/989208731383746560", "989208731383746560")</f>
        <v/>
      </c>
      <c r="B2932" s="2" t="n">
        <v>43215.76752314815</v>
      </c>
      <c r="C2932" t="n">
        <v>5</v>
      </c>
      <c r="D2932" t="n">
        <v>2</v>
      </c>
      <c r="E2932" t="s">
        <v>2923</v>
      </c>
      <c r="F2932" t="s"/>
      <c r="G2932" t="s"/>
      <c r="H2932" t="s"/>
      <c r="I2932" t="s"/>
      <c r="J2932" t="n">
        <v>0.4404</v>
      </c>
      <c r="K2932" t="n">
        <v>0</v>
      </c>
      <c r="L2932" t="n">
        <v>0.674</v>
      </c>
      <c r="M2932" t="n">
        <v>0.326</v>
      </c>
    </row>
    <row r="2933" spans="1:13">
      <c r="A2933" s="1">
        <f>HYPERLINK("http://www.twitter.com/NathanBLawrence/status/989208669920415744", "989208669920415744")</f>
        <v/>
      </c>
      <c r="B2933" s="2" t="n">
        <v>43215.76736111111</v>
      </c>
      <c r="C2933" t="n">
        <v>0</v>
      </c>
      <c r="D2933" t="n">
        <v>3</v>
      </c>
      <c r="E2933" t="s">
        <v>2924</v>
      </c>
      <c r="F2933" t="s"/>
      <c r="G2933" t="s"/>
      <c r="H2933" t="s"/>
      <c r="I2933" t="s"/>
      <c r="J2933" t="n">
        <v>0</v>
      </c>
      <c r="K2933" t="n">
        <v>0</v>
      </c>
      <c r="L2933" t="n">
        <v>1</v>
      </c>
      <c r="M2933" t="n">
        <v>0</v>
      </c>
    </row>
    <row r="2934" spans="1:13">
      <c r="A2934" s="1">
        <f>HYPERLINK("http://www.twitter.com/NathanBLawrence/status/989208651268263936", "989208651268263936")</f>
        <v/>
      </c>
      <c r="B2934" s="2" t="n">
        <v>43215.76730324074</v>
      </c>
      <c r="C2934" t="n">
        <v>0</v>
      </c>
      <c r="D2934" t="n">
        <v>4</v>
      </c>
      <c r="E2934" t="s">
        <v>2925</v>
      </c>
      <c r="F2934" t="s"/>
      <c r="G2934" t="s"/>
      <c r="H2934" t="s"/>
      <c r="I2934" t="s"/>
      <c r="J2934" t="n">
        <v>0.5319</v>
      </c>
      <c r="K2934" t="n">
        <v>0</v>
      </c>
      <c r="L2934" t="n">
        <v>0.671</v>
      </c>
      <c r="M2934" t="n">
        <v>0.329</v>
      </c>
    </row>
    <row r="2935" spans="1:13">
      <c r="A2935" s="1">
        <f>HYPERLINK("http://www.twitter.com/NathanBLawrence/status/989208622780608512", "989208622780608512")</f>
        <v/>
      </c>
      <c r="B2935" s="2" t="n">
        <v>43215.76722222222</v>
      </c>
      <c r="C2935" t="n">
        <v>0</v>
      </c>
      <c r="D2935" t="n">
        <v>651</v>
      </c>
      <c r="E2935" t="s">
        <v>2926</v>
      </c>
      <c r="F2935" t="s"/>
      <c r="G2935" t="s"/>
      <c r="H2935" t="s"/>
      <c r="I2935" t="s"/>
      <c r="J2935" t="n">
        <v>-0.3769</v>
      </c>
      <c r="K2935" t="n">
        <v>0.205</v>
      </c>
      <c r="L2935" t="n">
        <v>0.6879999999999999</v>
      </c>
      <c r="M2935" t="n">
        <v>0.107</v>
      </c>
    </row>
    <row r="2936" spans="1:13">
      <c r="A2936" s="1">
        <f>HYPERLINK("http://www.twitter.com/NathanBLawrence/status/989208479264100352", "989208479264100352")</f>
        <v/>
      </c>
      <c r="B2936" s="2" t="n">
        <v>43215.7668287037</v>
      </c>
      <c r="C2936" t="n">
        <v>25</v>
      </c>
      <c r="D2936" t="n">
        <v>13</v>
      </c>
      <c r="E2936" t="s">
        <v>2927</v>
      </c>
      <c r="F2936" t="s"/>
      <c r="G2936" t="s"/>
      <c r="H2936" t="s"/>
      <c r="I2936" t="s"/>
      <c r="J2936" t="n">
        <v>-0.6299</v>
      </c>
      <c r="K2936" t="n">
        <v>0.176</v>
      </c>
      <c r="L2936" t="n">
        <v>0.824</v>
      </c>
      <c r="M2936" t="n">
        <v>0</v>
      </c>
    </row>
    <row r="2937" spans="1:13">
      <c r="A2937" s="1">
        <f>HYPERLINK("http://www.twitter.com/NathanBLawrence/status/989207572531073030", "989207572531073030")</f>
        <v/>
      </c>
      <c r="B2937" s="2" t="n">
        <v>43215.76432870371</v>
      </c>
      <c r="C2937" t="n">
        <v>0</v>
      </c>
      <c r="D2937" t="n">
        <v>11</v>
      </c>
      <c r="E2937" t="s">
        <v>2928</v>
      </c>
      <c r="F2937" t="s"/>
      <c r="G2937" t="s"/>
      <c r="H2937" t="s"/>
      <c r="I2937" t="s"/>
      <c r="J2937" t="n">
        <v>0.6553</v>
      </c>
      <c r="K2937" t="n">
        <v>0</v>
      </c>
      <c r="L2937" t="n">
        <v>0.796</v>
      </c>
      <c r="M2937" t="n">
        <v>0.204</v>
      </c>
    </row>
    <row r="2938" spans="1:13">
      <c r="A2938" s="1">
        <f>HYPERLINK("http://www.twitter.com/NathanBLawrence/status/989207169689112577", "989207169689112577")</f>
        <v/>
      </c>
      <c r="B2938" s="2" t="n">
        <v>43215.76321759259</v>
      </c>
      <c r="C2938" t="n">
        <v>0</v>
      </c>
      <c r="D2938" t="n">
        <v>2</v>
      </c>
      <c r="E2938" t="s">
        <v>2929</v>
      </c>
      <c r="F2938" t="s"/>
      <c r="G2938" t="s"/>
      <c r="H2938" t="s"/>
      <c r="I2938" t="s"/>
      <c r="J2938" t="n">
        <v>0</v>
      </c>
      <c r="K2938" t="n">
        <v>0</v>
      </c>
      <c r="L2938" t="n">
        <v>1</v>
      </c>
      <c r="M2938" t="n">
        <v>0</v>
      </c>
    </row>
    <row r="2939" spans="1:13">
      <c r="A2939" s="1">
        <f>HYPERLINK("http://www.twitter.com/NathanBLawrence/status/989207144334528512", "989207144334528512")</f>
        <v/>
      </c>
      <c r="B2939" s="2" t="n">
        <v>43215.76314814815</v>
      </c>
      <c r="C2939" t="n">
        <v>0</v>
      </c>
      <c r="D2939" t="n">
        <v>1</v>
      </c>
      <c r="E2939" t="s">
        <v>2930</v>
      </c>
      <c r="F2939" t="s"/>
      <c r="G2939" t="s"/>
      <c r="H2939" t="s"/>
      <c r="I2939" t="s"/>
      <c r="J2939" t="n">
        <v>0</v>
      </c>
      <c r="K2939" t="n">
        <v>0</v>
      </c>
      <c r="L2939" t="n">
        <v>1</v>
      </c>
      <c r="M2939" t="n">
        <v>0</v>
      </c>
    </row>
    <row r="2940" spans="1:13">
      <c r="A2940" s="1">
        <f>HYPERLINK("http://www.twitter.com/NathanBLawrence/status/989206950679334912", "989206950679334912")</f>
        <v/>
      </c>
      <c r="B2940" s="2" t="n">
        <v>43215.76261574074</v>
      </c>
      <c r="C2940" t="n">
        <v>1</v>
      </c>
      <c r="D2940" t="n">
        <v>0</v>
      </c>
      <c r="E2940" t="s">
        <v>2931</v>
      </c>
      <c r="F2940" t="s"/>
      <c r="G2940" t="s"/>
      <c r="H2940" t="s"/>
      <c r="I2940" t="s"/>
      <c r="J2940" t="n">
        <v>0.4404</v>
      </c>
      <c r="K2940" t="n">
        <v>0</v>
      </c>
      <c r="L2940" t="n">
        <v>0.408</v>
      </c>
      <c r="M2940" t="n">
        <v>0.592</v>
      </c>
    </row>
    <row r="2941" spans="1:13">
      <c r="A2941" s="1">
        <f>HYPERLINK("http://www.twitter.com/NathanBLawrence/status/989206873764257798", "989206873764257798")</f>
        <v/>
      </c>
      <c r="B2941" s="2" t="n">
        <v>43215.76239583334</v>
      </c>
      <c r="C2941" t="n">
        <v>0</v>
      </c>
      <c r="D2941" t="n">
        <v>1</v>
      </c>
      <c r="E2941" t="s">
        <v>2932</v>
      </c>
      <c r="F2941" t="s"/>
      <c r="G2941" t="s"/>
      <c r="H2941" t="s"/>
      <c r="I2941" t="s"/>
      <c r="J2941" t="n">
        <v>0</v>
      </c>
      <c r="K2941" t="n">
        <v>0</v>
      </c>
      <c r="L2941" t="n">
        <v>1</v>
      </c>
      <c r="M2941" t="n">
        <v>0</v>
      </c>
    </row>
    <row r="2942" spans="1:13">
      <c r="A2942" s="1">
        <f>HYPERLINK("http://www.twitter.com/NathanBLawrence/status/989206851215679488", "989206851215679488")</f>
        <v/>
      </c>
      <c r="B2942" s="2" t="n">
        <v>43215.76233796297</v>
      </c>
      <c r="C2942" t="n">
        <v>18</v>
      </c>
      <c r="D2942" t="n">
        <v>9</v>
      </c>
      <c r="E2942" t="s">
        <v>2933</v>
      </c>
      <c r="F2942">
        <f>HYPERLINK("http://pbs.twimg.com/media/DbpeY2EVMAAW546.jpg", "http://pbs.twimg.com/media/DbpeY2EVMAAW546.jpg")</f>
        <v/>
      </c>
      <c r="G2942" t="s"/>
      <c r="H2942" t="s"/>
      <c r="I2942" t="s"/>
      <c r="J2942" t="n">
        <v>0</v>
      </c>
      <c r="K2942" t="n">
        <v>0</v>
      </c>
      <c r="L2942" t="n">
        <v>1</v>
      </c>
      <c r="M2942" t="n">
        <v>0</v>
      </c>
    </row>
    <row r="2943" spans="1:13">
      <c r="A2943" s="1">
        <f>HYPERLINK("http://www.twitter.com/NathanBLawrence/status/989206684190019585", "989206684190019585")</f>
        <v/>
      </c>
      <c r="B2943" s="2" t="n">
        <v>43215.761875</v>
      </c>
      <c r="C2943" t="n">
        <v>0</v>
      </c>
      <c r="D2943" t="n">
        <v>2</v>
      </c>
      <c r="E2943" t="s">
        <v>2934</v>
      </c>
      <c r="F2943" t="s"/>
      <c r="G2943" t="s"/>
      <c r="H2943" t="s"/>
      <c r="I2943" t="s"/>
      <c r="J2943" t="n">
        <v>0</v>
      </c>
      <c r="K2943" t="n">
        <v>0</v>
      </c>
      <c r="L2943" t="n">
        <v>1</v>
      </c>
      <c r="M2943" t="n">
        <v>0</v>
      </c>
    </row>
    <row r="2944" spans="1:13">
      <c r="A2944" s="1">
        <f>HYPERLINK("http://www.twitter.com/NathanBLawrence/status/989206668331364354", "989206668331364354")</f>
        <v/>
      </c>
      <c r="B2944" s="2" t="n">
        <v>43215.7618287037</v>
      </c>
      <c r="C2944" t="n">
        <v>0</v>
      </c>
      <c r="D2944" t="n">
        <v>160</v>
      </c>
      <c r="E2944" t="s">
        <v>2935</v>
      </c>
      <c r="F2944">
        <f>HYPERLINK("http://pbs.twimg.com/media/DbpV6TcVQAAXpBr.jpg", "http://pbs.twimg.com/media/DbpV6TcVQAAXpBr.jpg")</f>
        <v/>
      </c>
      <c r="G2944" t="s"/>
      <c r="H2944" t="s"/>
      <c r="I2944" t="s"/>
      <c r="J2944" t="n">
        <v>0</v>
      </c>
      <c r="K2944" t="n">
        <v>0</v>
      </c>
      <c r="L2944" t="n">
        <v>1</v>
      </c>
      <c r="M2944" t="n">
        <v>0</v>
      </c>
    </row>
    <row r="2945" spans="1:13">
      <c r="A2945" s="1">
        <f>HYPERLINK("http://www.twitter.com/NathanBLawrence/status/989206614300352513", "989206614300352513")</f>
        <v/>
      </c>
      <c r="B2945" s="2" t="n">
        <v>43215.76168981481</v>
      </c>
      <c r="C2945" t="n">
        <v>0</v>
      </c>
      <c r="D2945" t="n">
        <v>3</v>
      </c>
      <c r="E2945" t="s">
        <v>2936</v>
      </c>
      <c r="F2945" t="s"/>
      <c r="G2945" t="s"/>
      <c r="H2945" t="s"/>
      <c r="I2945" t="s"/>
      <c r="J2945" t="n">
        <v>0</v>
      </c>
      <c r="K2945" t="n">
        <v>0</v>
      </c>
      <c r="L2945" t="n">
        <v>1</v>
      </c>
      <c r="M2945" t="n">
        <v>0</v>
      </c>
    </row>
    <row r="2946" spans="1:13">
      <c r="A2946" s="1">
        <f>HYPERLINK("http://www.twitter.com/NathanBLawrence/status/989206568829931520", "989206568829931520")</f>
        <v/>
      </c>
      <c r="B2946" s="2" t="n">
        <v>43215.7615625</v>
      </c>
      <c r="C2946" t="n">
        <v>3</v>
      </c>
      <c r="D2946" t="n">
        <v>0</v>
      </c>
      <c r="E2946" t="s">
        <v>2937</v>
      </c>
      <c r="F2946" t="s"/>
      <c r="G2946" t="s"/>
      <c r="H2946" t="s"/>
      <c r="I2946" t="s"/>
      <c r="J2946" t="n">
        <v>0.4404</v>
      </c>
      <c r="K2946" t="n">
        <v>0</v>
      </c>
      <c r="L2946" t="n">
        <v>0.896</v>
      </c>
      <c r="M2946" t="n">
        <v>0.104</v>
      </c>
    </row>
    <row r="2947" spans="1:13">
      <c r="A2947" s="1">
        <f>HYPERLINK("http://www.twitter.com/NathanBLawrence/status/989206488781672448", "989206488781672448")</f>
        <v/>
      </c>
      <c r="B2947" s="2" t="n">
        <v>43215.7613425926</v>
      </c>
      <c r="C2947" t="n">
        <v>0</v>
      </c>
      <c r="D2947" t="n">
        <v>1</v>
      </c>
      <c r="E2947" t="s">
        <v>2773</v>
      </c>
      <c r="F2947" t="s"/>
      <c r="G2947" t="s"/>
      <c r="H2947" t="s"/>
      <c r="I2947" t="s"/>
      <c r="J2947" t="n">
        <v>0</v>
      </c>
      <c r="K2947" t="n">
        <v>0</v>
      </c>
      <c r="L2947" t="n">
        <v>1</v>
      </c>
      <c r="M2947" t="n">
        <v>0</v>
      </c>
    </row>
    <row r="2948" spans="1:13">
      <c r="A2948" s="1">
        <f>HYPERLINK("http://www.twitter.com/NathanBLawrence/status/989206109624905729", "989206109624905729")</f>
        <v/>
      </c>
      <c r="B2948" s="2" t="n">
        <v>43215.76028935185</v>
      </c>
      <c r="C2948" t="n">
        <v>0</v>
      </c>
      <c r="D2948" t="n">
        <v>1</v>
      </c>
      <c r="E2948" t="s">
        <v>2938</v>
      </c>
      <c r="F2948">
        <f>HYPERLINK("http://pbs.twimg.com/media/DbpW6n7VAAA_lzZ.jpg", "http://pbs.twimg.com/media/DbpW6n7VAAA_lzZ.jpg")</f>
        <v/>
      </c>
      <c r="G2948" t="s"/>
      <c r="H2948" t="s"/>
      <c r="I2948" t="s"/>
      <c r="J2948" t="n">
        <v>0</v>
      </c>
      <c r="K2948" t="n">
        <v>0</v>
      </c>
      <c r="L2948" t="n">
        <v>1</v>
      </c>
      <c r="M2948" t="n">
        <v>0</v>
      </c>
    </row>
    <row r="2949" spans="1:13">
      <c r="A2949" s="1">
        <f>HYPERLINK("http://www.twitter.com/NathanBLawrence/status/989206005039943682", "989206005039943682")</f>
        <v/>
      </c>
      <c r="B2949" s="2" t="n">
        <v>43215.76</v>
      </c>
      <c r="C2949" t="n">
        <v>0</v>
      </c>
      <c r="D2949" t="n">
        <v>6</v>
      </c>
      <c r="E2949" t="s">
        <v>2939</v>
      </c>
      <c r="F2949" t="s"/>
      <c r="G2949" t="s"/>
      <c r="H2949" t="s"/>
      <c r="I2949" t="s"/>
      <c r="J2949" t="n">
        <v>0</v>
      </c>
      <c r="K2949" t="n">
        <v>0</v>
      </c>
      <c r="L2949" t="n">
        <v>1</v>
      </c>
      <c r="M2949" t="n">
        <v>0</v>
      </c>
    </row>
    <row r="2950" spans="1:13">
      <c r="A2950" s="1">
        <f>HYPERLINK("http://www.twitter.com/NathanBLawrence/status/989205962845229057", "989205962845229057")</f>
        <v/>
      </c>
      <c r="B2950" s="2" t="n">
        <v>43215.75988425926</v>
      </c>
      <c r="C2950" t="n">
        <v>0</v>
      </c>
      <c r="D2950" t="n">
        <v>1</v>
      </c>
      <c r="E2950" t="s">
        <v>2940</v>
      </c>
      <c r="F2950" t="s"/>
      <c r="G2950" t="s"/>
      <c r="H2950" t="s"/>
      <c r="I2950" t="s"/>
      <c r="J2950" t="n">
        <v>0</v>
      </c>
      <c r="K2950" t="n">
        <v>0</v>
      </c>
      <c r="L2950" t="n">
        <v>1</v>
      </c>
      <c r="M2950" t="n">
        <v>0</v>
      </c>
    </row>
    <row r="2951" spans="1:13">
      <c r="A2951" s="1">
        <f>HYPERLINK("http://www.twitter.com/NathanBLawrence/status/989205878514515968", "989205878514515968")</f>
        <v/>
      </c>
      <c r="B2951" s="2" t="n">
        <v>43215.75965277778</v>
      </c>
      <c r="C2951" t="n">
        <v>0</v>
      </c>
      <c r="D2951" t="n">
        <v>3</v>
      </c>
      <c r="E2951" t="s">
        <v>2941</v>
      </c>
      <c r="F2951" t="s"/>
      <c r="G2951" t="s"/>
      <c r="H2951" t="s"/>
      <c r="I2951" t="s"/>
      <c r="J2951" t="n">
        <v>0</v>
      </c>
      <c r="K2951" t="n">
        <v>0</v>
      </c>
      <c r="L2951" t="n">
        <v>1</v>
      </c>
      <c r="M2951" t="n">
        <v>0</v>
      </c>
    </row>
    <row r="2952" spans="1:13">
      <c r="A2952" s="1">
        <f>HYPERLINK("http://www.twitter.com/NathanBLawrence/status/989205568324763648", "989205568324763648")</f>
        <v/>
      </c>
      <c r="B2952" s="2" t="n">
        <v>43215.75879629629</v>
      </c>
      <c r="C2952" t="n">
        <v>0</v>
      </c>
      <c r="D2952" t="n">
        <v>2</v>
      </c>
      <c r="E2952" t="s">
        <v>2942</v>
      </c>
      <c r="F2952" t="s"/>
      <c r="G2952" t="s"/>
      <c r="H2952" t="s"/>
      <c r="I2952" t="s"/>
      <c r="J2952" t="n">
        <v>0</v>
      </c>
      <c r="K2952" t="n">
        <v>0</v>
      </c>
      <c r="L2952" t="n">
        <v>1</v>
      </c>
      <c r="M2952" t="n">
        <v>0</v>
      </c>
    </row>
    <row r="2953" spans="1:13">
      <c r="A2953" s="1">
        <f>HYPERLINK("http://www.twitter.com/NathanBLawrence/status/989205513710825472", "989205513710825472")</f>
        <v/>
      </c>
      <c r="B2953" s="2" t="n">
        <v>43215.75864583333</v>
      </c>
      <c r="C2953" t="n">
        <v>6</v>
      </c>
      <c r="D2953" t="n">
        <v>1</v>
      </c>
      <c r="E2953" t="s">
        <v>2943</v>
      </c>
      <c r="F2953" t="s"/>
      <c r="G2953" t="s"/>
      <c r="H2953" t="s"/>
      <c r="I2953" t="s"/>
      <c r="J2953" t="n">
        <v>0</v>
      </c>
      <c r="K2953" t="n">
        <v>0</v>
      </c>
      <c r="L2953" t="n">
        <v>1</v>
      </c>
      <c r="M2953" t="n">
        <v>0</v>
      </c>
    </row>
    <row r="2954" spans="1:13">
      <c r="A2954" s="1">
        <f>HYPERLINK("http://www.twitter.com/NathanBLawrence/status/989205092917268481", "989205092917268481")</f>
        <v/>
      </c>
      <c r="B2954" s="2" t="n">
        <v>43215.75748842592</v>
      </c>
      <c r="C2954" t="n">
        <v>0</v>
      </c>
      <c r="D2954" t="n">
        <v>3</v>
      </c>
      <c r="E2954" t="s">
        <v>2942</v>
      </c>
      <c r="F2954" t="s"/>
      <c r="G2954" t="s"/>
      <c r="H2954" t="s"/>
      <c r="I2954" t="s"/>
      <c r="J2954" t="n">
        <v>0</v>
      </c>
      <c r="K2954" t="n">
        <v>0</v>
      </c>
      <c r="L2954" t="n">
        <v>1</v>
      </c>
      <c r="M2954" t="n">
        <v>0</v>
      </c>
    </row>
    <row r="2955" spans="1:13">
      <c r="A2955" s="1">
        <f>HYPERLINK("http://www.twitter.com/NathanBLawrence/status/989204992010719234", "989204992010719234")</f>
        <v/>
      </c>
      <c r="B2955" s="2" t="n">
        <v>43215.75721064815</v>
      </c>
      <c r="C2955" t="n">
        <v>3</v>
      </c>
      <c r="D2955" t="n">
        <v>1</v>
      </c>
      <c r="E2955" t="s">
        <v>2944</v>
      </c>
      <c r="F2955" t="s"/>
      <c r="G2955" t="s"/>
      <c r="H2955" t="s"/>
      <c r="I2955" t="s"/>
      <c r="J2955" t="n">
        <v>0</v>
      </c>
      <c r="K2955" t="n">
        <v>0</v>
      </c>
      <c r="L2955" t="n">
        <v>1</v>
      </c>
      <c r="M2955" t="n">
        <v>0</v>
      </c>
    </row>
    <row r="2956" spans="1:13">
      <c r="A2956" s="1">
        <f>HYPERLINK("http://www.twitter.com/NathanBLawrence/status/989204780596826113", "989204780596826113")</f>
        <v/>
      </c>
      <c r="B2956" s="2" t="n">
        <v>43215.75662037037</v>
      </c>
      <c r="C2956" t="n">
        <v>0</v>
      </c>
      <c r="D2956" t="n">
        <v>66</v>
      </c>
      <c r="E2956" t="s">
        <v>2945</v>
      </c>
      <c r="F2956" t="s"/>
      <c r="G2956" t="s"/>
      <c r="H2956" t="s"/>
      <c r="I2956" t="s"/>
      <c r="J2956" t="n">
        <v>0</v>
      </c>
      <c r="K2956" t="n">
        <v>0</v>
      </c>
      <c r="L2956" t="n">
        <v>1</v>
      </c>
      <c r="M2956" t="n">
        <v>0</v>
      </c>
    </row>
    <row r="2957" spans="1:13">
      <c r="A2957" s="1">
        <f>HYPERLINK("http://www.twitter.com/NathanBLawrence/status/989204580058714113", "989204580058714113")</f>
        <v/>
      </c>
      <c r="B2957" s="2" t="n">
        <v>43215.75607638889</v>
      </c>
      <c r="C2957" t="n">
        <v>0</v>
      </c>
      <c r="D2957" t="n">
        <v>0</v>
      </c>
      <c r="E2957" t="s">
        <v>2946</v>
      </c>
      <c r="F2957" t="s"/>
      <c r="G2957" t="s"/>
      <c r="H2957" t="s"/>
      <c r="I2957" t="s"/>
      <c r="J2957" t="n">
        <v>-0.8519</v>
      </c>
      <c r="K2957" t="n">
        <v>0.58</v>
      </c>
      <c r="L2957" t="n">
        <v>0.42</v>
      </c>
      <c r="M2957" t="n">
        <v>0</v>
      </c>
    </row>
    <row r="2958" spans="1:13">
      <c r="A2958" s="1">
        <f>HYPERLINK("http://www.twitter.com/NathanBLawrence/status/989204451637547008", "989204451637547008")</f>
        <v/>
      </c>
      <c r="B2958" s="2" t="n">
        <v>43215.75571759259</v>
      </c>
      <c r="C2958" t="n">
        <v>0</v>
      </c>
      <c r="D2958" t="n">
        <v>216</v>
      </c>
      <c r="E2958" t="s">
        <v>2947</v>
      </c>
      <c r="F2958" t="s"/>
      <c r="G2958" t="s"/>
      <c r="H2958" t="s"/>
      <c r="I2958" t="s"/>
      <c r="J2958" t="n">
        <v>-0.783</v>
      </c>
      <c r="K2958" t="n">
        <v>0.266</v>
      </c>
      <c r="L2958" t="n">
        <v>0.734</v>
      </c>
      <c r="M2958" t="n">
        <v>0</v>
      </c>
    </row>
    <row r="2959" spans="1:13">
      <c r="A2959" s="1">
        <f>HYPERLINK("http://www.twitter.com/NathanBLawrence/status/989204317017174016", "989204317017174016")</f>
        <v/>
      </c>
      <c r="B2959" s="2" t="n">
        <v>43215.75534722222</v>
      </c>
      <c r="C2959" t="n">
        <v>2</v>
      </c>
      <c r="D2959" t="n">
        <v>0</v>
      </c>
      <c r="E2959" t="s">
        <v>2948</v>
      </c>
      <c r="F2959" t="s"/>
      <c r="G2959" t="s"/>
      <c r="H2959" t="s"/>
      <c r="I2959" t="s"/>
      <c r="J2959" t="n">
        <v>0.4926</v>
      </c>
      <c r="K2959" t="n">
        <v>0</v>
      </c>
      <c r="L2959" t="n">
        <v>0.873</v>
      </c>
      <c r="M2959" t="n">
        <v>0.127</v>
      </c>
    </row>
    <row r="2960" spans="1:13">
      <c r="A2960" s="1">
        <f>HYPERLINK("http://www.twitter.com/NathanBLawrence/status/989204240387239936", "989204240387239936")</f>
        <v/>
      </c>
      <c r="B2960" s="2" t="n">
        <v>43215.75513888889</v>
      </c>
      <c r="C2960" t="n">
        <v>0</v>
      </c>
      <c r="D2960" t="n">
        <v>84</v>
      </c>
      <c r="E2960" t="s">
        <v>2949</v>
      </c>
      <c r="F2960" t="s"/>
      <c r="G2960" t="s"/>
      <c r="H2960" t="s"/>
      <c r="I2960" t="s"/>
      <c r="J2960" t="n">
        <v>0</v>
      </c>
      <c r="K2960" t="n">
        <v>0</v>
      </c>
      <c r="L2960" t="n">
        <v>1</v>
      </c>
      <c r="M2960" t="n">
        <v>0</v>
      </c>
    </row>
    <row r="2961" spans="1:13">
      <c r="A2961" s="1">
        <f>HYPERLINK("http://www.twitter.com/NathanBLawrence/status/989203860186128387", "989203860186128387")</f>
        <v/>
      </c>
      <c r="B2961" s="2" t="n">
        <v>43215.75408564815</v>
      </c>
      <c r="C2961" t="n">
        <v>6</v>
      </c>
      <c r="D2961" t="n">
        <v>0</v>
      </c>
      <c r="E2961" t="s">
        <v>2950</v>
      </c>
      <c r="F2961" t="s"/>
      <c r="G2961" t="s"/>
      <c r="H2961" t="s"/>
      <c r="I2961" t="s"/>
      <c r="J2961" t="n">
        <v>0.659</v>
      </c>
      <c r="K2961" t="n">
        <v>0</v>
      </c>
      <c r="L2961" t="n">
        <v>0.84</v>
      </c>
      <c r="M2961" t="n">
        <v>0.16</v>
      </c>
    </row>
    <row r="2962" spans="1:13">
      <c r="A2962" s="1">
        <f>HYPERLINK("http://www.twitter.com/NathanBLawrence/status/989203640593338368", "989203640593338368")</f>
        <v/>
      </c>
      <c r="B2962" s="2" t="n">
        <v>43215.7534837963</v>
      </c>
      <c r="C2962" t="n">
        <v>0</v>
      </c>
      <c r="D2962" t="n">
        <v>3</v>
      </c>
      <c r="E2962" t="s">
        <v>2951</v>
      </c>
      <c r="F2962" t="s"/>
      <c r="G2962" t="s"/>
      <c r="H2962" t="s"/>
      <c r="I2962" t="s"/>
      <c r="J2962" t="n">
        <v>0</v>
      </c>
      <c r="K2962" t="n">
        <v>0</v>
      </c>
      <c r="L2962" t="n">
        <v>1</v>
      </c>
      <c r="M2962" t="n">
        <v>0</v>
      </c>
    </row>
    <row r="2963" spans="1:13">
      <c r="A2963" s="1">
        <f>HYPERLINK("http://www.twitter.com/NathanBLawrence/status/989203520120328193", "989203520120328193")</f>
        <v/>
      </c>
      <c r="B2963" s="2" t="n">
        <v>43215.75314814815</v>
      </c>
      <c r="C2963" t="n">
        <v>0</v>
      </c>
      <c r="D2963" t="n">
        <v>6251</v>
      </c>
      <c r="E2963" t="s">
        <v>2952</v>
      </c>
      <c r="F2963" t="s"/>
      <c r="G2963" t="s"/>
      <c r="H2963" t="s"/>
      <c r="I2963" t="s"/>
      <c r="J2963" t="n">
        <v>-0.4939</v>
      </c>
      <c r="K2963" t="n">
        <v>0.186</v>
      </c>
      <c r="L2963" t="n">
        <v>0.8139999999999999</v>
      </c>
      <c r="M2963" t="n">
        <v>0</v>
      </c>
    </row>
    <row r="2964" spans="1:13">
      <c r="A2964" s="1">
        <f>HYPERLINK("http://www.twitter.com/NathanBLawrence/status/989184557411983360", "989184557411983360")</f>
        <v/>
      </c>
      <c r="B2964" s="2" t="n">
        <v>43215.70082175926</v>
      </c>
      <c r="C2964" t="n">
        <v>0</v>
      </c>
      <c r="D2964" t="n">
        <v>8</v>
      </c>
      <c r="E2964" t="s">
        <v>2953</v>
      </c>
      <c r="F2964" t="s"/>
      <c r="G2964" t="s"/>
      <c r="H2964" t="s"/>
      <c r="I2964" t="s"/>
      <c r="J2964" t="n">
        <v>0</v>
      </c>
      <c r="K2964" t="n">
        <v>0</v>
      </c>
      <c r="L2964" t="n">
        <v>1</v>
      </c>
      <c r="M2964" t="n">
        <v>0</v>
      </c>
    </row>
    <row r="2965" spans="1:13">
      <c r="A2965" s="1">
        <f>HYPERLINK("http://www.twitter.com/NathanBLawrence/status/989184534527832064", "989184534527832064")</f>
        <v/>
      </c>
      <c r="B2965" s="2" t="n">
        <v>43215.70075231481</v>
      </c>
      <c r="C2965" t="n">
        <v>0</v>
      </c>
      <c r="D2965" t="n">
        <v>11</v>
      </c>
      <c r="E2965" t="s">
        <v>2954</v>
      </c>
      <c r="F2965">
        <f>HYPERLINK("http://pbs.twimg.com/media/DbpG48mXUAAveMd.jpg", "http://pbs.twimg.com/media/DbpG48mXUAAveMd.jpg")</f>
        <v/>
      </c>
      <c r="G2965" t="s"/>
      <c r="H2965" t="s"/>
      <c r="I2965" t="s"/>
      <c r="J2965" t="n">
        <v>-0.5106000000000001</v>
      </c>
      <c r="K2965" t="n">
        <v>0.181</v>
      </c>
      <c r="L2965" t="n">
        <v>0.754</v>
      </c>
      <c r="M2965" t="n">
        <v>0.065</v>
      </c>
    </row>
    <row r="2966" spans="1:13">
      <c r="A2966" s="1">
        <f>HYPERLINK("http://www.twitter.com/NathanBLawrence/status/989184460938731521", "989184460938731521")</f>
        <v/>
      </c>
      <c r="B2966" s="2" t="n">
        <v>43215.70055555556</v>
      </c>
      <c r="C2966" t="n">
        <v>1</v>
      </c>
      <c r="D2966" t="n">
        <v>0</v>
      </c>
      <c r="E2966" t="s">
        <v>2955</v>
      </c>
      <c r="F2966" t="s"/>
      <c r="G2966" t="s"/>
      <c r="H2966" t="s"/>
      <c r="I2966" t="s"/>
      <c r="J2966" t="n">
        <v>0</v>
      </c>
      <c r="K2966" t="n">
        <v>0</v>
      </c>
      <c r="L2966" t="n">
        <v>1</v>
      </c>
      <c r="M2966" t="n">
        <v>0</v>
      </c>
    </row>
    <row r="2967" spans="1:13">
      <c r="A2967" s="1">
        <f>HYPERLINK("http://www.twitter.com/NathanBLawrence/status/989184387316174853", "989184387316174853")</f>
        <v/>
      </c>
      <c r="B2967" s="2" t="n">
        <v>43215.70034722222</v>
      </c>
      <c r="C2967" t="n">
        <v>0</v>
      </c>
      <c r="D2967" t="n">
        <v>1</v>
      </c>
      <c r="E2967" t="s">
        <v>2956</v>
      </c>
      <c r="F2967" t="s"/>
      <c r="G2967" t="s"/>
      <c r="H2967" t="s"/>
      <c r="I2967" t="s"/>
      <c r="J2967" t="n">
        <v>0</v>
      </c>
      <c r="K2967" t="n">
        <v>0</v>
      </c>
      <c r="L2967" t="n">
        <v>1</v>
      </c>
      <c r="M2967" t="n">
        <v>0</v>
      </c>
    </row>
    <row r="2968" spans="1:13">
      <c r="A2968" s="1">
        <f>HYPERLINK("http://www.twitter.com/NathanBLawrence/status/989180534235582464", "989180534235582464")</f>
        <v/>
      </c>
      <c r="B2968" s="2" t="n">
        <v>43215.68972222223</v>
      </c>
      <c r="C2968" t="n">
        <v>1</v>
      </c>
      <c r="D2968" t="n">
        <v>0</v>
      </c>
      <c r="E2968" t="s">
        <v>2957</v>
      </c>
      <c r="F2968" t="s"/>
      <c r="G2968" t="s"/>
      <c r="H2968" t="s"/>
      <c r="I2968" t="s"/>
      <c r="J2968" t="n">
        <v>0</v>
      </c>
      <c r="K2968" t="n">
        <v>0</v>
      </c>
      <c r="L2968" t="n">
        <v>1</v>
      </c>
      <c r="M2968" t="n">
        <v>0</v>
      </c>
    </row>
    <row r="2969" spans="1:13">
      <c r="A2969" s="1">
        <f>HYPERLINK("http://www.twitter.com/NathanBLawrence/status/989179843467272198", "989179843467272198")</f>
        <v/>
      </c>
      <c r="B2969" s="2" t="n">
        <v>43215.6878125</v>
      </c>
      <c r="C2969" t="n">
        <v>0</v>
      </c>
      <c r="D2969" t="n">
        <v>1</v>
      </c>
      <c r="E2969" t="s">
        <v>2958</v>
      </c>
      <c r="F2969" t="s"/>
      <c r="G2969" t="s"/>
      <c r="H2969" t="s"/>
      <c r="I2969" t="s"/>
      <c r="J2969" t="n">
        <v>0.3612</v>
      </c>
      <c r="K2969" t="n">
        <v>0</v>
      </c>
      <c r="L2969" t="n">
        <v>0.865</v>
      </c>
      <c r="M2969" t="n">
        <v>0.135</v>
      </c>
    </row>
    <row r="2970" spans="1:13">
      <c r="A2970" s="1">
        <f>HYPERLINK("http://www.twitter.com/NathanBLawrence/status/989179317111480321", "989179317111480321")</f>
        <v/>
      </c>
      <c r="B2970" s="2" t="n">
        <v>43215.68635416667</v>
      </c>
      <c r="C2970" t="n">
        <v>0</v>
      </c>
      <c r="D2970" t="n">
        <v>9</v>
      </c>
      <c r="E2970" t="s">
        <v>2959</v>
      </c>
      <c r="F2970" t="s"/>
      <c r="G2970" t="s"/>
      <c r="H2970" t="s"/>
      <c r="I2970" t="s"/>
      <c r="J2970" t="n">
        <v>0</v>
      </c>
      <c r="K2970" t="n">
        <v>0</v>
      </c>
      <c r="L2970" t="n">
        <v>1</v>
      </c>
      <c r="M2970" t="n">
        <v>0</v>
      </c>
    </row>
    <row r="2971" spans="1:13">
      <c r="A2971" s="1">
        <f>HYPERLINK("http://www.twitter.com/NathanBLawrence/status/989179155651661825", "989179155651661825")</f>
        <v/>
      </c>
      <c r="B2971" s="2" t="n">
        <v>43215.68591435185</v>
      </c>
      <c r="C2971" t="n">
        <v>0</v>
      </c>
      <c r="D2971" t="n">
        <v>1</v>
      </c>
      <c r="E2971" t="s">
        <v>2960</v>
      </c>
      <c r="F2971">
        <f>HYPERLINK("http://pbs.twimg.com/media/DbpEVPfWAAATaRN.jpg", "http://pbs.twimg.com/media/DbpEVPfWAAATaRN.jpg")</f>
        <v/>
      </c>
      <c r="G2971" t="s"/>
      <c r="H2971" t="s"/>
      <c r="I2971" t="s"/>
      <c r="J2971" t="n">
        <v>0.8555</v>
      </c>
      <c r="K2971" t="n">
        <v>0</v>
      </c>
      <c r="L2971" t="n">
        <v>0.641</v>
      </c>
      <c r="M2971" t="n">
        <v>0.359</v>
      </c>
    </row>
    <row r="2972" spans="1:13">
      <c r="A2972" s="1">
        <f>HYPERLINK("http://www.twitter.com/NathanBLawrence/status/989178097785286656", "989178097785286656")</f>
        <v/>
      </c>
      <c r="B2972" s="2" t="n">
        <v>43215.68299768519</v>
      </c>
      <c r="C2972" t="n">
        <v>9</v>
      </c>
      <c r="D2972" t="n">
        <v>5</v>
      </c>
      <c r="E2972" t="s">
        <v>2961</v>
      </c>
      <c r="F2972" t="s"/>
      <c r="G2972" t="s"/>
      <c r="H2972" t="s"/>
      <c r="I2972" t="s"/>
      <c r="J2972" t="n">
        <v>0.4939</v>
      </c>
      <c r="K2972" t="n">
        <v>0</v>
      </c>
      <c r="L2972" t="n">
        <v>0.714</v>
      </c>
      <c r="M2972" t="n">
        <v>0.286</v>
      </c>
    </row>
    <row r="2973" spans="1:13">
      <c r="A2973" s="1">
        <f>HYPERLINK("http://www.twitter.com/NathanBLawrence/status/989177288959946754", "989177288959946754")</f>
        <v/>
      </c>
      <c r="B2973" s="2" t="n">
        <v>43215.68076388889</v>
      </c>
      <c r="C2973" t="n">
        <v>1</v>
      </c>
      <c r="D2973" t="n">
        <v>0</v>
      </c>
      <c r="E2973" t="s">
        <v>2962</v>
      </c>
      <c r="F2973" t="s"/>
      <c r="G2973" t="s"/>
      <c r="H2973" t="s"/>
      <c r="I2973" t="s"/>
      <c r="J2973" t="n">
        <v>0</v>
      </c>
      <c r="K2973" t="n">
        <v>0</v>
      </c>
      <c r="L2973" t="n">
        <v>1</v>
      </c>
      <c r="M2973" t="n">
        <v>0</v>
      </c>
    </row>
    <row r="2974" spans="1:13">
      <c r="A2974" s="1">
        <f>HYPERLINK("http://www.twitter.com/NathanBLawrence/status/989177154285064192", "989177154285064192")</f>
        <v/>
      </c>
      <c r="B2974" s="2" t="n">
        <v>43215.68039351852</v>
      </c>
      <c r="C2974" t="n">
        <v>0</v>
      </c>
      <c r="D2974" t="n">
        <v>21</v>
      </c>
      <c r="E2974" t="s">
        <v>2963</v>
      </c>
      <c r="F2974" t="s"/>
      <c r="G2974" t="s"/>
      <c r="H2974" t="s"/>
      <c r="I2974" t="s"/>
      <c r="J2974" t="n">
        <v>0</v>
      </c>
      <c r="K2974" t="n">
        <v>0</v>
      </c>
      <c r="L2974" t="n">
        <v>1</v>
      </c>
      <c r="M2974" t="n">
        <v>0</v>
      </c>
    </row>
    <row r="2975" spans="1:13">
      <c r="A2975" s="1">
        <f>HYPERLINK("http://www.twitter.com/NathanBLawrence/status/989177103408037889", "989177103408037889")</f>
        <v/>
      </c>
      <c r="B2975" s="2" t="n">
        <v>43215.68025462963</v>
      </c>
      <c r="C2975" t="n">
        <v>0</v>
      </c>
      <c r="D2975" t="n">
        <v>15</v>
      </c>
      <c r="E2975" t="s">
        <v>2964</v>
      </c>
      <c r="F2975" t="s"/>
      <c r="G2975" t="s"/>
      <c r="H2975" t="s"/>
      <c r="I2975" t="s"/>
      <c r="J2975" t="n">
        <v>0</v>
      </c>
      <c r="K2975" t="n">
        <v>0.095</v>
      </c>
      <c r="L2975" t="n">
        <v>0.8110000000000001</v>
      </c>
      <c r="M2975" t="n">
        <v>0.095</v>
      </c>
    </row>
    <row r="2976" spans="1:13">
      <c r="A2976" s="1">
        <f>HYPERLINK("http://www.twitter.com/NathanBLawrence/status/989177018012102657", "989177018012102657")</f>
        <v/>
      </c>
      <c r="B2976" s="2" t="n">
        <v>43215.68001157408</v>
      </c>
      <c r="C2976" t="n">
        <v>1</v>
      </c>
      <c r="D2976" t="n">
        <v>0</v>
      </c>
      <c r="E2976" t="s">
        <v>2965</v>
      </c>
      <c r="F2976" t="s"/>
      <c r="G2976" t="s"/>
      <c r="H2976" t="s"/>
      <c r="I2976" t="s"/>
      <c r="J2976" t="n">
        <v>0</v>
      </c>
      <c r="K2976" t="n">
        <v>0</v>
      </c>
      <c r="L2976" t="n">
        <v>1</v>
      </c>
      <c r="M2976" t="n">
        <v>0</v>
      </c>
    </row>
    <row r="2977" spans="1:13">
      <c r="A2977" s="1">
        <f>HYPERLINK("http://www.twitter.com/NathanBLawrence/status/989176421603004422", "989176421603004422")</f>
        <v/>
      </c>
      <c r="B2977" s="2" t="n">
        <v>43215.67836805555</v>
      </c>
      <c r="C2977" t="n">
        <v>0</v>
      </c>
      <c r="D2977" t="n">
        <v>1</v>
      </c>
      <c r="E2977" t="s">
        <v>2966</v>
      </c>
      <c r="F2977">
        <f>HYPERLINK("http://pbs.twimg.com/media/DbpCbMpW4AANbQq.jpg", "http://pbs.twimg.com/media/DbpCbMpW4AANbQq.jpg")</f>
        <v/>
      </c>
      <c r="G2977" t="s"/>
      <c r="H2977" t="s"/>
      <c r="I2977" t="s"/>
      <c r="J2977" t="n">
        <v>0</v>
      </c>
      <c r="K2977" t="n">
        <v>0</v>
      </c>
      <c r="L2977" t="n">
        <v>1</v>
      </c>
      <c r="M2977" t="n">
        <v>0</v>
      </c>
    </row>
    <row r="2978" spans="1:13">
      <c r="A2978" s="1">
        <f>HYPERLINK("http://www.twitter.com/NathanBLawrence/status/989176348651458560", "989176348651458560")</f>
        <v/>
      </c>
      <c r="B2978" s="2" t="n">
        <v>43215.6781712963</v>
      </c>
      <c r="C2978" t="n">
        <v>0</v>
      </c>
      <c r="D2978" t="n">
        <v>0</v>
      </c>
      <c r="E2978" t="s">
        <v>2967</v>
      </c>
      <c r="F2978" t="s"/>
      <c r="G2978" t="s"/>
      <c r="H2978" t="s"/>
      <c r="I2978" t="s"/>
      <c r="J2978" t="n">
        <v>-0.2755</v>
      </c>
      <c r="K2978" t="n">
        <v>0.15</v>
      </c>
      <c r="L2978" t="n">
        <v>0.85</v>
      </c>
      <c r="M2978" t="n">
        <v>0</v>
      </c>
    </row>
    <row r="2979" spans="1:13">
      <c r="A2979" s="1">
        <f>HYPERLINK("http://www.twitter.com/NathanBLawrence/status/989175811868712961", "989175811868712961")</f>
        <v/>
      </c>
      <c r="B2979" s="2" t="n">
        <v>43215.67668981481</v>
      </c>
      <c r="C2979" t="n">
        <v>0</v>
      </c>
      <c r="D2979" t="n">
        <v>8</v>
      </c>
      <c r="E2979" t="s">
        <v>2968</v>
      </c>
      <c r="F2979" t="s"/>
      <c r="G2979" t="s"/>
      <c r="H2979" t="s"/>
      <c r="I2979" t="s"/>
      <c r="J2979" t="n">
        <v>0.2732</v>
      </c>
      <c r="K2979" t="n">
        <v>0</v>
      </c>
      <c r="L2979" t="n">
        <v>0.909</v>
      </c>
      <c r="M2979" t="n">
        <v>0.091</v>
      </c>
    </row>
    <row r="2980" spans="1:13">
      <c r="A2980" s="1">
        <f>HYPERLINK("http://www.twitter.com/NathanBLawrence/status/989175754528354305", "989175754528354305")</f>
        <v/>
      </c>
      <c r="B2980" s="2" t="n">
        <v>43215.67652777778</v>
      </c>
      <c r="C2980" t="n">
        <v>0</v>
      </c>
      <c r="D2980" t="n">
        <v>57</v>
      </c>
      <c r="E2980" t="s">
        <v>2969</v>
      </c>
      <c r="F2980" t="s"/>
      <c r="G2980" t="s"/>
      <c r="H2980" t="s"/>
      <c r="I2980" t="s"/>
      <c r="J2980" t="n">
        <v>-0.3182</v>
      </c>
      <c r="K2980" t="n">
        <v>0.108</v>
      </c>
      <c r="L2980" t="n">
        <v>0.892</v>
      </c>
      <c r="M2980" t="n">
        <v>0</v>
      </c>
    </row>
    <row r="2981" spans="1:13">
      <c r="A2981" s="1">
        <f>HYPERLINK("http://www.twitter.com/NathanBLawrence/status/989175695850041345", "989175695850041345")</f>
        <v/>
      </c>
      <c r="B2981" s="2" t="n">
        <v>43215.67636574074</v>
      </c>
      <c r="C2981" t="n">
        <v>0</v>
      </c>
      <c r="D2981" t="n">
        <v>1849</v>
      </c>
      <c r="E2981" t="s">
        <v>2970</v>
      </c>
      <c r="F2981" t="s"/>
      <c r="G2981" t="s"/>
      <c r="H2981" t="s"/>
      <c r="I2981" t="s"/>
      <c r="J2981" t="n">
        <v>-0.3041</v>
      </c>
      <c r="K2981" t="n">
        <v>0.167</v>
      </c>
      <c r="L2981" t="n">
        <v>0.746</v>
      </c>
      <c r="M2981" t="n">
        <v>0.08699999999999999</v>
      </c>
    </row>
    <row r="2982" spans="1:13">
      <c r="A2982" s="1">
        <f>HYPERLINK("http://www.twitter.com/NathanBLawrence/status/989175167048933376", "989175167048933376")</f>
        <v/>
      </c>
      <c r="B2982" s="2" t="n">
        <v>43215.67490740741</v>
      </c>
      <c r="C2982" t="n">
        <v>0</v>
      </c>
      <c r="D2982" t="n">
        <v>21</v>
      </c>
      <c r="E2982" t="s">
        <v>2971</v>
      </c>
      <c r="F2982">
        <f>HYPERLINK("http://pbs.twimg.com/media/Dbo-_doVAAAy48U.jpg", "http://pbs.twimg.com/media/Dbo-_doVAAAy48U.jpg")</f>
        <v/>
      </c>
      <c r="G2982" t="s"/>
      <c r="H2982" t="s"/>
      <c r="I2982" t="s"/>
      <c r="J2982" t="n">
        <v>0.5584</v>
      </c>
      <c r="K2982" t="n">
        <v>0.108</v>
      </c>
      <c r="L2982" t="n">
        <v>0.634</v>
      </c>
      <c r="M2982" t="n">
        <v>0.258</v>
      </c>
    </row>
    <row r="2983" spans="1:13">
      <c r="A2983" s="1">
        <f>HYPERLINK("http://www.twitter.com/NathanBLawrence/status/989175118894157824", "989175118894157824")</f>
        <v/>
      </c>
      <c r="B2983" s="2" t="n">
        <v>43215.67476851852</v>
      </c>
      <c r="C2983" t="n">
        <v>0</v>
      </c>
      <c r="D2983" t="n">
        <v>65</v>
      </c>
      <c r="E2983" t="s">
        <v>2972</v>
      </c>
      <c r="F2983" t="s"/>
      <c r="G2983" t="s"/>
      <c r="H2983" t="s"/>
      <c r="I2983" t="s"/>
      <c r="J2983" t="n">
        <v>-0.25</v>
      </c>
      <c r="K2983" t="n">
        <v>0.133</v>
      </c>
      <c r="L2983" t="n">
        <v>0.78</v>
      </c>
      <c r="M2983" t="n">
        <v>0.08699999999999999</v>
      </c>
    </row>
    <row r="2984" spans="1:13">
      <c r="A2984" s="1">
        <f>HYPERLINK("http://www.twitter.com/NathanBLawrence/status/989174971959316485", "989174971959316485")</f>
        <v/>
      </c>
      <c r="B2984" s="2" t="n">
        <v>43215.67436342593</v>
      </c>
      <c r="C2984" t="n">
        <v>0</v>
      </c>
      <c r="D2984" t="n">
        <v>3</v>
      </c>
      <c r="E2984" t="s">
        <v>2973</v>
      </c>
      <c r="F2984" t="s"/>
      <c r="G2984" t="s"/>
      <c r="H2984" t="s"/>
      <c r="I2984" t="s"/>
      <c r="J2984" t="n">
        <v>0</v>
      </c>
      <c r="K2984" t="n">
        <v>0</v>
      </c>
      <c r="L2984" t="n">
        <v>1</v>
      </c>
      <c r="M2984" t="n">
        <v>0</v>
      </c>
    </row>
    <row r="2985" spans="1:13">
      <c r="A2985" s="1">
        <f>HYPERLINK("http://www.twitter.com/NathanBLawrence/status/989174813171347456", "989174813171347456")</f>
        <v/>
      </c>
      <c r="B2985" s="2" t="n">
        <v>43215.67393518519</v>
      </c>
      <c r="C2985" t="n">
        <v>2</v>
      </c>
      <c r="D2985" t="n">
        <v>3</v>
      </c>
      <c r="E2985" t="s">
        <v>2974</v>
      </c>
      <c r="F2985" t="s"/>
      <c r="G2985" t="s"/>
      <c r="H2985" t="s"/>
      <c r="I2985" t="s"/>
      <c r="J2985" t="n">
        <v>0</v>
      </c>
      <c r="K2985" t="n">
        <v>0</v>
      </c>
      <c r="L2985" t="n">
        <v>1</v>
      </c>
      <c r="M2985" t="n">
        <v>0</v>
      </c>
    </row>
    <row r="2986" spans="1:13">
      <c r="A2986" s="1">
        <f>HYPERLINK("http://www.twitter.com/NathanBLawrence/status/989174199368462336", "989174199368462336")</f>
        <v/>
      </c>
      <c r="B2986" s="2" t="n">
        <v>43215.67223379629</v>
      </c>
      <c r="C2986" t="n">
        <v>0</v>
      </c>
      <c r="D2986" t="n">
        <v>13</v>
      </c>
      <c r="E2986" t="s">
        <v>2975</v>
      </c>
      <c r="F2986" t="s"/>
      <c r="G2986" t="s"/>
      <c r="H2986" t="s"/>
      <c r="I2986" t="s"/>
      <c r="J2986" t="n">
        <v>0</v>
      </c>
      <c r="K2986" t="n">
        <v>0</v>
      </c>
      <c r="L2986" t="n">
        <v>1</v>
      </c>
      <c r="M2986" t="n">
        <v>0</v>
      </c>
    </row>
    <row r="2987" spans="1:13">
      <c r="A2987" s="1">
        <f>HYPERLINK("http://www.twitter.com/NathanBLawrence/status/989174065696002049", "989174065696002049")</f>
        <v/>
      </c>
      <c r="B2987" s="2" t="n">
        <v>43215.67186342592</v>
      </c>
      <c r="C2987" t="n">
        <v>0</v>
      </c>
      <c r="D2987" t="n">
        <v>8</v>
      </c>
      <c r="E2987" t="s">
        <v>2976</v>
      </c>
      <c r="F2987" t="s"/>
      <c r="G2987" t="s"/>
      <c r="H2987" t="s"/>
      <c r="I2987" t="s"/>
      <c r="J2987" t="n">
        <v>-0.6808</v>
      </c>
      <c r="K2987" t="n">
        <v>0.15</v>
      </c>
      <c r="L2987" t="n">
        <v>0.85</v>
      </c>
      <c r="M2987" t="n">
        <v>0</v>
      </c>
    </row>
    <row r="2988" spans="1:13">
      <c r="A2988" s="1">
        <f>HYPERLINK("http://www.twitter.com/NathanBLawrence/status/989174049392807937", "989174049392807937")</f>
        <v/>
      </c>
      <c r="B2988" s="2" t="n">
        <v>43215.67181712963</v>
      </c>
      <c r="C2988" t="n">
        <v>0</v>
      </c>
      <c r="D2988" t="n">
        <v>13</v>
      </c>
      <c r="E2988" t="s">
        <v>2977</v>
      </c>
      <c r="F2988" t="s"/>
      <c r="G2988" t="s"/>
      <c r="H2988" t="s"/>
      <c r="I2988" t="s"/>
      <c r="J2988" t="n">
        <v>-0.1027</v>
      </c>
      <c r="K2988" t="n">
        <v>0.08</v>
      </c>
      <c r="L2988" t="n">
        <v>0.92</v>
      </c>
      <c r="M2988" t="n">
        <v>0</v>
      </c>
    </row>
    <row r="2989" spans="1:13">
      <c r="A2989" s="1">
        <f>HYPERLINK("http://www.twitter.com/NathanBLawrence/status/989173338269511681", "989173338269511681")</f>
        <v/>
      </c>
      <c r="B2989" s="2" t="n">
        <v>43215.66986111111</v>
      </c>
      <c r="C2989" t="n">
        <v>0</v>
      </c>
      <c r="D2989" t="n">
        <v>2</v>
      </c>
      <c r="E2989" t="s">
        <v>2978</v>
      </c>
      <c r="F2989" t="s"/>
      <c r="G2989" t="s"/>
      <c r="H2989" t="s"/>
      <c r="I2989" t="s"/>
      <c r="J2989" t="n">
        <v>0.5777</v>
      </c>
      <c r="K2989" t="n">
        <v>0</v>
      </c>
      <c r="L2989" t="n">
        <v>0.82</v>
      </c>
      <c r="M2989" t="n">
        <v>0.18</v>
      </c>
    </row>
    <row r="2990" spans="1:13">
      <c r="A2990" s="1">
        <f>HYPERLINK("http://www.twitter.com/NathanBLawrence/status/989173242668646400", "989173242668646400")</f>
        <v/>
      </c>
      <c r="B2990" s="2" t="n">
        <v>43215.66959490741</v>
      </c>
      <c r="C2990" t="n">
        <v>0</v>
      </c>
      <c r="D2990" t="n">
        <v>0</v>
      </c>
      <c r="E2990" t="s">
        <v>2979</v>
      </c>
      <c r="F2990" t="s"/>
      <c r="G2990" t="s"/>
      <c r="H2990" t="s"/>
      <c r="I2990" t="s"/>
      <c r="J2990" t="n">
        <v>0</v>
      </c>
      <c r="K2990" t="n">
        <v>0</v>
      </c>
      <c r="L2990" t="n">
        <v>1</v>
      </c>
      <c r="M2990" t="n">
        <v>0</v>
      </c>
    </row>
    <row r="2991" spans="1:13">
      <c r="A2991" s="1">
        <f>HYPERLINK("http://www.twitter.com/NathanBLawrence/status/989173166521159680", "989173166521159680")</f>
        <v/>
      </c>
      <c r="B2991" s="2" t="n">
        <v>43215.66938657407</v>
      </c>
      <c r="C2991" t="n">
        <v>0</v>
      </c>
      <c r="D2991" t="n">
        <v>2</v>
      </c>
      <c r="E2991" t="s">
        <v>2980</v>
      </c>
      <c r="F2991" t="s"/>
      <c r="G2991" t="s"/>
      <c r="H2991" t="s"/>
      <c r="I2991" t="s"/>
      <c r="J2991" t="n">
        <v>0</v>
      </c>
      <c r="K2991" t="n">
        <v>0.122</v>
      </c>
      <c r="L2991" t="n">
        <v>0.756</v>
      </c>
      <c r="M2991" t="n">
        <v>0.122</v>
      </c>
    </row>
    <row r="2992" spans="1:13">
      <c r="A2992" s="1">
        <f>HYPERLINK("http://www.twitter.com/NathanBLawrence/status/989172788907868161", "989172788907868161")</f>
        <v/>
      </c>
      <c r="B2992" s="2" t="n">
        <v>43215.6683449074</v>
      </c>
      <c r="C2992" t="n">
        <v>9</v>
      </c>
      <c r="D2992" t="n">
        <v>8</v>
      </c>
      <c r="E2992" t="s">
        <v>2981</v>
      </c>
      <c r="F2992" t="s"/>
      <c r="G2992" t="s"/>
      <c r="H2992" t="s"/>
      <c r="I2992" t="s"/>
      <c r="J2992" t="n">
        <v>-0.7959000000000001</v>
      </c>
      <c r="K2992" t="n">
        <v>0.138</v>
      </c>
      <c r="L2992" t="n">
        <v>0.826</v>
      </c>
      <c r="M2992" t="n">
        <v>0.035</v>
      </c>
    </row>
    <row r="2993" spans="1:13">
      <c r="A2993" s="1">
        <f>HYPERLINK("http://www.twitter.com/NathanBLawrence/status/989172786542399488", "989172786542399488")</f>
        <v/>
      </c>
      <c r="B2993" s="2" t="n">
        <v>43215.66833333333</v>
      </c>
      <c r="C2993" t="n">
        <v>14</v>
      </c>
      <c r="D2993" t="n">
        <v>13</v>
      </c>
      <c r="E2993" t="s">
        <v>2982</v>
      </c>
      <c r="F2993" t="s"/>
      <c r="G2993" t="s"/>
      <c r="H2993" t="s"/>
      <c r="I2993" t="s"/>
      <c r="J2993" t="n">
        <v>-0.0516</v>
      </c>
      <c r="K2993" t="n">
        <v>0.033</v>
      </c>
      <c r="L2993" t="n">
        <v>0.967</v>
      </c>
      <c r="M2993" t="n">
        <v>0</v>
      </c>
    </row>
    <row r="2994" spans="1:13">
      <c r="A2994" s="1">
        <f>HYPERLINK("http://www.twitter.com/NathanBLawrence/status/989167457599410177", "989167457599410177")</f>
        <v/>
      </c>
      <c r="B2994" s="2" t="n">
        <v>43215.65363425926</v>
      </c>
      <c r="C2994" t="n">
        <v>0</v>
      </c>
      <c r="D2994" t="n">
        <v>19</v>
      </c>
      <c r="E2994" t="s">
        <v>2983</v>
      </c>
      <c r="F2994" t="s"/>
      <c r="G2994" t="s"/>
      <c r="H2994" t="s"/>
      <c r="I2994" t="s"/>
      <c r="J2994" t="n">
        <v>0.5598</v>
      </c>
      <c r="K2994" t="n">
        <v>0</v>
      </c>
      <c r="L2994" t="n">
        <v>0.713</v>
      </c>
      <c r="M2994" t="n">
        <v>0.287</v>
      </c>
    </row>
    <row r="2995" spans="1:13">
      <c r="A2995" s="1">
        <f>HYPERLINK("http://www.twitter.com/NathanBLawrence/status/989166678549426177", "989166678549426177")</f>
        <v/>
      </c>
      <c r="B2995" s="2" t="n">
        <v>43215.65148148148</v>
      </c>
      <c r="C2995" t="n">
        <v>0</v>
      </c>
      <c r="D2995" t="n">
        <v>151</v>
      </c>
      <c r="E2995" t="s">
        <v>2984</v>
      </c>
      <c r="F2995">
        <f>HYPERLINK("http://pbs.twimg.com/media/Dbla3jvXkAUjhqC.jpg", "http://pbs.twimg.com/media/Dbla3jvXkAUjhqC.jpg")</f>
        <v/>
      </c>
      <c r="G2995" t="s"/>
      <c r="H2995" t="s"/>
      <c r="I2995" t="s"/>
      <c r="J2995" t="n">
        <v>0.4404</v>
      </c>
      <c r="K2995" t="n">
        <v>0</v>
      </c>
      <c r="L2995" t="n">
        <v>0.873</v>
      </c>
      <c r="M2995" t="n">
        <v>0.127</v>
      </c>
    </row>
    <row r="2996" spans="1:13">
      <c r="A2996" s="1">
        <f>HYPERLINK("http://www.twitter.com/NathanBLawrence/status/989165551045021699", "989165551045021699")</f>
        <v/>
      </c>
      <c r="B2996" s="2" t="n">
        <v>43215.64836805555</v>
      </c>
      <c r="C2996" t="n">
        <v>0</v>
      </c>
      <c r="D2996" t="n">
        <v>37</v>
      </c>
      <c r="E2996" t="s">
        <v>2985</v>
      </c>
      <c r="F2996" t="s"/>
      <c r="G2996" t="s"/>
      <c r="H2996" t="s"/>
      <c r="I2996" t="s"/>
      <c r="J2996" t="n">
        <v>0</v>
      </c>
      <c r="K2996" t="n">
        <v>0</v>
      </c>
      <c r="L2996" t="n">
        <v>1</v>
      </c>
      <c r="M2996" t="n">
        <v>0</v>
      </c>
    </row>
    <row r="2997" spans="1:13">
      <c r="A2997" s="1">
        <f>HYPERLINK("http://www.twitter.com/NathanBLawrence/status/989165387576172544", "989165387576172544")</f>
        <v/>
      </c>
      <c r="B2997" s="2" t="n">
        <v>43215.64791666667</v>
      </c>
      <c r="C2997" t="n">
        <v>25</v>
      </c>
      <c r="D2997" t="n">
        <v>19</v>
      </c>
      <c r="E2997" t="s">
        <v>2986</v>
      </c>
      <c r="F2997" t="s"/>
      <c r="G2997" t="s"/>
      <c r="H2997" t="s"/>
      <c r="I2997" t="s"/>
      <c r="J2997" t="n">
        <v>0.5598</v>
      </c>
      <c r="K2997" t="n">
        <v>0</v>
      </c>
      <c r="L2997" t="n">
        <v>0.659</v>
      </c>
      <c r="M2997" t="n">
        <v>0.341</v>
      </c>
    </row>
    <row r="2998" spans="1:13">
      <c r="A2998" s="1">
        <f>HYPERLINK("http://www.twitter.com/NathanBLawrence/status/989164932334792705", "989164932334792705")</f>
        <v/>
      </c>
      <c r="B2998" s="2" t="n">
        <v>43215.64666666667</v>
      </c>
      <c r="C2998" t="n">
        <v>0</v>
      </c>
      <c r="D2998" t="n">
        <v>67</v>
      </c>
      <c r="E2998" t="s">
        <v>2987</v>
      </c>
      <c r="F2998" t="s"/>
      <c r="G2998" t="s"/>
      <c r="H2998" t="s"/>
      <c r="I2998" t="s"/>
      <c r="J2998" t="n">
        <v>0.4939</v>
      </c>
      <c r="K2998" t="n">
        <v>0</v>
      </c>
      <c r="L2998" t="n">
        <v>0.868</v>
      </c>
      <c r="M2998" t="n">
        <v>0.132</v>
      </c>
    </row>
    <row r="2999" spans="1:13">
      <c r="A2999" s="1">
        <f>HYPERLINK("http://www.twitter.com/NathanBLawrence/status/989164629057302536", "989164629057302536")</f>
        <v/>
      </c>
      <c r="B2999" s="2" t="n">
        <v>43215.64583333334</v>
      </c>
      <c r="C2999" t="n">
        <v>0</v>
      </c>
      <c r="D2999" t="n">
        <v>5942</v>
      </c>
      <c r="E2999" t="s">
        <v>2988</v>
      </c>
      <c r="F2999" t="s"/>
      <c r="G2999" t="s"/>
      <c r="H2999" t="s"/>
      <c r="I2999" t="s"/>
      <c r="J2999" t="n">
        <v>0</v>
      </c>
      <c r="K2999" t="n">
        <v>0</v>
      </c>
      <c r="L2999" t="n">
        <v>1</v>
      </c>
      <c r="M2999" t="n">
        <v>0</v>
      </c>
    </row>
    <row r="3000" spans="1:13">
      <c r="A3000" s="1">
        <f>HYPERLINK("http://www.twitter.com/NathanBLawrence/status/989164141242912768", "989164141242912768")</f>
        <v/>
      </c>
      <c r="B3000" s="2" t="n">
        <v>43215.64447916667</v>
      </c>
      <c r="C3000" t="n">
        <v>2</v>
      </c>
      <c r="D3000" t="n">
        <v>1</v>
      </c>
      <c r="E3000" t="s">
        <v>2989</v>
      </c>
      <c r="F3000" t="s"/>
      <c r="G3000" t="s"/>
      <c r="H3000" t="s"/>
      <c r="I3000" t="s"/>
      <c r="J3000" t="n">
        <v>0</v>
      </c>
      <c r="K3000" t="n">
        <v>0</v>
      </c>
      <c r="L3000" t="n">
        <v>1</v>
      </c>
      <c r="M3000" t="n">
        <v>0</v>
      </c>
    </row>
    <row r="3001" spans="1:13">
      <c r="A3001" s="1">
        <f>HYPERLINK("http://www.twitter.com/NathanBLawrence/status/989163067165560832", "989163067165560832")</f>
        <v/>
      </c>
      <c r="B3001" s="2" t="n">
        <v>43215.6415162037</v>
      </c>
      <c r="C3001" t="n">
        <v>0</v>
      </c>
      <c r="D3001" t="n">
        <v>75</v>
      </c>
      <c r="E3001" t="s">
        <v>2990</v>
      </c>
      <c r="F3001" t="s"/>
      <c r="G3001" t="s"/>
      <c r="H3001" t="s"/>
      <c r="I3001" t="s"/>
      <c r="J3001" t="n">
        <v>0</v>
      </c>
      <c r="K3001" t="n">
        <v>0</v>
      </c>
      <c r="L3001" t="n">
        <v>1</v>
      </c>
      <c r="M3001" t="n">
        <v>0</v>
      </c>
    </row>
    <row r="3002" spans="1:13">
      <c r="A3002" s="1">
        <f>HYPERLINK("http://www.twitter.com/NathanBLawrence/status/989162624251244544", "989162624251244544")</f>
        <v/>
      </c>
      <c r="B3002" s="2" t="n">
        <v>43215.64030092592</v>
      </c>
      <c r="C3002" t="n">
        <v>3</v>
      </c>
      <c r="D3002" t="n">
        <v>1</v>
      </c>
      <c r="E3002" t="s">
        <v>2991</v>
      </c>
      <c r="F3002">
        <f>HYPERLINK("http://pbs.twimg.com/media/Dbo2KcnV0AAbzJN.jpg", "http://pbs.twimg.com/media/Dbo2KcnV0AAbzJN.jpg")</f>
        <v/>
      </c>
      <c r="G3002" t="s"/>
      <c r="H3002" t="s"/>
      <c r="I3002" t="s"/>
      <c r="J3002" t="n">
        <v>0.5859</v>
      </c>
      <c r="K3002" t="n">
        <v>0</v>
      </c>
      <c r="L3002" t="n">
        <v>0.73</v>
      </c>
      <c r="M3002" t="n">
        <v>0.27</v>
      </c>
    </row>
    <row r="3003" spans="1:13">
      <c r="A3003" s="1">
        <f>HYPERLINK("http://www.twitter.com/NathanBLawrence/status/989157224579784704", "989157224579784704")</f>
        <v/>
      </c>
      <c r="B3003" s="2" t="n">
        <v>43215.62539351852</v>
      </c>
      <c r="C3003" t="n">
        <v>0</v>
      </c>
      <c r="D3003" t="n">
        <v>96</v>
      </c>
      <c r="E3003" t="s">
        <v>2992</v>
      </c>
      <c r="F3003">
        <f>HYPERLINK("http://pbs.twimg.com/media/Dbov8uQUQAEZutz.jpg", "http://pbs.twimg.com/media/Dbov8uQUQAEZutz.jpg")</f>
        <v/>
      </c>
      <c r="G3003">
        <f>HYPERLINK("http://pbs.twimg.com/media/Dbov8uQUQAMiXco.jpg", "http://pbs.twimg.com/media/Dbov8uQUQAMiXco.jpg")</f>
        <v/>
      </c>
      <c r="H3003" t="s"/>
      <c r="I3003" t="s"/>
      <c r="J3003" t="n">
        <v>0.8429</v>
      </c>
      <c r="K3003" t="n">
        <v>0</v>
      </c>
      <c r="L3003" t="n">
        <v>0.713</v>
      </c>
      <c r="M3003" t="n">
        <v>0.287</v>
      </c>
    </row>
    <row r="3004" spans="1:13">
      <c r="A3004" s="1">
        <f>HYPERLINK("http://www.twitter.com/NathanBLawrence/status/989156869208977408", "989156869208977408")</f>
        <v/>
      </c>
      <c r="B3004" s="2" t="n">
        <v>43215.62440972222</v>
      </c>
      <c r="C3004" t="n">
        <v>1</v>
      </c>
      <c r="D3004" t="n">
        <v>0</v>
      </c>
      <c r="E3004" t="s">
        <v>2993</v>
      </c>
      <c r="F3004" t="s"/>
      <c r="G3004" t="s"/>
      <c r="H3004" t="s"/>
      <c r="I3004" t="s"/>
      <c r="J3004" t="n">
        <v>0.7096</v>
      </c>
      <c r="K3004" t="n">
        <v>0</v>
      </c>
      <c r="L3004" t="n">
        <v>0.576</v>
      </c>
      <c r="M3004" t="n">
        <v>0.424</v>
      </c>
    </row>
    <row r="3005" spans="1:13">
      <c r="A3005" s="1">
        <f>HYPERLINK("http://www.twitter.com/NathanBLawrence/status/989156369554165760", "989156369554165760")</f>
        <v/>
      </c>
      <c r="B3005" s="2" t="n">
        <v>43215.62303240741</v>
      </c>
      <c r="C3005" t="n">
        <v>0</v>
      </c>
      <c r="D3005" t="n">
        <v>5</v>
      </c>
      <c r="E3005" t="s">
        <v>2994</v>
      </c>
      <c r="F3005">
        <f>HYPERLINK("http://pbs.twimg.com/media/DbotyfLV4AA6mqm.jpg", "http://pbs.twimg.com/media/DbotyfLV4AA6mqm.jpg")</f>
        <v/>
      </c>
      <c r="G3005" t="s"/>
      <c r="H3005" t="s"/>
      <c r="I3005" t="s"/>
      <c r="J3005" t="n">
        <v>-0.1779</v>
      </c>
      <c r="K3005" t="n">
        <v>0.141</v>
      </c>
      <c r="L3005" t="n">
        <v>0.754</v>
      </c>
      <c r="M3005" t="n">
        <v>0.106</v>
      </c>
    </row>
    <row r="3006" spans="1:13">
      <c r="A3006" s="1">
        <f>HYPERLINK("http://www.twitter.com/NathanBLawrence/status/989156123608604672", "989156123608604672")</f>
        <v/>
      </c>
      <c r="B3006" s="2" t="n">
        <v>43215.62236111111</v>
      </c>
      <c r="C3006" t="n">
        <v>0</v>
      </c>
      <c r="D3006" t="n">
        <v>15386</v>
      </c>
      <c r="E3006" t="s">
        <v>2995</v>
      </c>
      <c r="F3006" t="s"/>
      <c r="G3006" t="s"/>
      <c r="H3006" t="s"/>
      <c r="I3006" t="s"/>
      <c r="J3006" t="n">
        <v>0.4878</v>
      </c>
      <c r="K3006" t="n">
        <v>0.08799999999999999</v>
      </c>
      <c r="L3006" t="n">
        <v>0.732</v>
      </c>
      <c r="M3006" t="n">
        <v>0.181</v>
      </c>
    </row>
    <row r="3007" spans="1:13">
      <c r="A3007" s="1">
        <f>HYPERLINK("http://www.twitter.com/NathanBLawrence/status/989155547361501186", "989155547361501186")</f>
        <v/>
      </c>
      <c r="B3007" s="2" t="n">
        <v>43215.62076388889</v>
      </c>
      <c r="C3007" t="n">
        <v>3</v>
      </c>
      <c r="D3007" t="n">
        <v>0</v>
      </c>
      <c r="E3007" t="s">
        <v>2996</v>
      </c>
      <c r="F3007" t="s"/>
      <c r="G3007" t="s"/>
      <c r="H3007" t="s"/>
      <c r="I3007" t="s"/>
      <c r="J3007" t="n">
        <v>0.4215</v>
      </c>
      <c r="K3007" t="n">
        <v>0</v>
      </c>
      <c r="L3007" t="n">
        <v>0.517</v>
      </c>
      <c r="M3007" t="n">
        <v>0.483</v>
      </c>
    </row>
    <row r="3008" spans="1:13">
      <c r="A3008" s="1">
        <f>HYPERLINK("http://www.twitter.com/NathanBLawrence/status/989155326565015553", "989155326565015553")</f>
        <v/>
      </c>
      <c r="B3008" s="2" t="n">
        <v>43215.62016203703</v>
      </c>
      <c r="C3008" t="n">
        <v>0</v>
      </c>
      <c r="D3008" t="n">
        <v>173</v>
      </c>
      <c r="E3008" t="s">
        <v>2997</v>
      </c>
      <c r="F3008" t="s"/>
      <c r="G3008" t="s"/>
      <c r="H3008" t="s"/>
      <c r="I3008" t="s"/>
      <c r="J3008" t="n">
        <v>0</v>
      </c>
      <c r="K3008" t="n">
        <v>0</v>
      </c>
      <c r="L3008" t="n">
        <v>1</v>
      </c>
      <c r="M3008" t="n">
        <v>0</v>
      </c>
    </row>
    <row r="3009" spans="1:13">
      <c r="A3009" s="1">
        <f>HYPERLINK("http://www.twitter.com/NathanBLawrence/status/989155238295859205", "989155238295859205")</f>
        <v/>
      </c>
      <c r="B3009" s="2" t="n">
        <v>43215.61991898148</v>
      </c>
      <c r="C3009" t="n">
        <v>0</v>
      </c>
      <c r="D3009" t="n">
        <v>17</v>
      </c>
      <c r="E3009" t="s">
        <v>2998</v>
      </c>
      <c r="F3009">
        <f>HYPERLINK("http://pbs.twimg.com/media/DbovHhrX4AE72Rk.jpg", "http://pbs.twimg.com/media/DbovHhrX4AE72Rk.jpg")</f>
        <v/>
      </c>
      <c r="G3009" t="s"/>
      <c r="H3009" t="s"/>
      <c r="I3009" t="s"/>
      <c r="J3009" t="n">
        <v>0.6486</v>
      </c>
      <c r="K3009" t="n">
        <v>0</v>
      </c>
      <c r="L3009" t="n">
        <v>0.773</v>
      </c>
      <c r="M3009" t="n">
        <v>0.227</v>
      </c>
    </row>
    <row r="3010" spans="1:13">
      <c r="A3010" s="1">
        <f>HYPERLINK("http://www.twitter.com/NathanBLawrence/status/989155162450165760", "989155162450165760")</f>
        <v/>
      </c>
      <c r="B3010" s="2" t="n">
        <v>43215.61969907407</v>
      </c>
      <c r="C3010" t="n">
        <v>1</v>
      </c>
      <c r="D3010" t="n">
        <v>1</v>
      </c>
      <c r="E3010" t="s">
        <v>2999</v>
      </c>
      <c r="F3010" t="s"/>
      <c r="G3010" t="s"/>
      <c r="H3010" t="s"/>
      <c r="I3010" t="s"/>
      <c r="J3010" t="n">
        <v>0.6486</v>
      </c>
      <c r="K3010" t="n">
        <v>0</v>
      </c>
      <c r="L3010" t="n">
        <v>0.361</v>
      </c>
      <c r="M3010" t="n">
        <v>0.639</v>
      </c>
    </row>
    <row r="3011" spans="1:13">
      <c r="A3011" s="1">
        <f>HYPERLINK("http://www.twitter.com/NathanBLawrence/status/989154850989658113", "989154850989658113")</f>
        <v/>
      </c>
      <c r="B3011" s="2" t="n">
        <v>43215.61884259259</v>
      </c>
      <c r="C3011" t="n">
        <v>0</v>
      </c>
      <c r="D3011" t="n">
        <v>379</v>
      </c>
      <c r="E3011" t="s">
        <v>3000</v>
      </c>
      <c r="F3011">
        <f>HYPERLINK("http://pbs.twimg.com/media/DbotSXFV0AEYi-A.jpg", "http://pbs.twimg.com/media/DbotSXFV0AEYi-A.jpg")</f>
        <v/>
      </c>
      <c r="G3011" t="s"/>
      <c r="H3011" t="s"/>
      <c r="I3011" t="s"/>
      <c r="J3011" t="n">
        <v>0.4215</v>
      </c>
      <c r="K3011" t="n">
        <v>0</v>
      </c>
      <c r="L3011" t="n">
        <v>0.859</v>
      </c>
      <c r="M3011" t="n">
        <v>0.141</v>
      </c>
    </row>
    <row r="3012" spans="1:13">
      <c r="A3012" s="1">
        <f>HYPERLINK("http://www.twitter.com/NathanBLawrence/status/989154735247773696", "989154735247773696")</f>
        <v/>
      </c>
      <c r="B3012" s="2" t="n">
        <v>43215.61853009259</v>
      </c>
      <c r="C3012" t="n">
        <v>0</v>
      </c>
      <c r="D3012" t="n">
        <v>516</v>
      </c>
      <c r="E3012" t="s">
        <v>3001</v>
      </c>
      <c r="F3012" t="s"/>
      <c r="G3012" t="s"/>
      <c r="H3012" t="s"/>
      <c r="I3012" t="s"/>
      <c r="J3012" t="n">
        <v>0</v>
      </c>
      <c r="K3012" t="n">
        <v>0</v>
      </c>
      <c r="L3012" t="n">
        <v>1</v>
      </c>
      <c r="M3012" t="n">
        <v>0</v>
      </c>
    </row>
    <row r="3013" spans="1:13">
      <c r="A3013" s="1">
        <f>HYPERLINK("http://www.twitter.com/NathanBLawrence/status/989154337866862592", "989154337866862592")</f>
        <v/>
      </c>
      <c r="B3013" s="2" t="n">
        <v>43215.61743055555</v>
      </c>
      <c r="C3013" t="n">
        <v>27</v>
      </c>
      <c r="D3013" t="n">
        <v>13</v>
      </c>
      <c r="E3013" t="s">
        <v>3002</v>
      </c>
      <c r="F3013" t="s"/>
      <c r="G3013" t="s"/>
      <c r="H3013" t="s"/>
      <c r="I3013" t="s"/>
      <c r="J3013" t="n">
        <v>0.8728</v>
      </c>
      <c r="K3013" t="n">
        <v>0.08500000000000001</v>
      </c>
      <c r="L3013" t="n">
        <v>0.59</v>
      </c>
      <c r="M3013" t="n">
        <v>0.324</v>
      </c>
    </row>
    <row r="3014" spans="1:13">
      <c r="A3014" s="1">
        <f>HYPERLINK("http://www.twitter.com/NathanBLawrence/status/989153042816753667", "989153042816753667")</f>
        <v/>
      </c>
      <c r="B3014" s="2" t="n">
        <v>43215.61385416667</v>
      </c>
      <c r="C3014" t="n">
        <v>0</v>
      </c>
      <c r="D3014" t="n">
        <v>26</v>
      </c>
      <c r="E3014" t="s">
        <v>3003</v>
      </c>
      <c r="F3014" t="s"/>
      <c r="G3014" t="s"/>
      <c r="H3014" t="s"/>
      <c r="I3014" t="s"/>
      <c r="J3014" t="n">
        <v>-0.6124000000000001</v>
      </c>
      <c r="K3014" t="n">
        <v>0.208</v>
      </c>
      <c r="L3014" t="n">
        <v>0.792</v>
      </c>
      <c r="M3014" t="n">
        <v>0</v>
      </c>
    </row>
    <row r="3015" spans="1:13">
      <c r="A3015" s="1">
        <f>HYPERLINK("http://www.twitter.com/NathanBLawrence/status/989151637150359552", "989151637150359552")</f>
        <v/>
      </c>
      <c r="B3015" s="2" t="n">
        <v>43215.60997685185</v>
      </c>
      <c r="C3015" t="n">
        <v>0</v>
      </c>
      <c r="D3015" t="n">
        <v>85</v>
      </c>
      <c r="E3015" t="s">
        <v>3004</v>
      </c>
      <c r="F3015" t="s"/>
      <c r="G3015" t="s"/>
      <c r="H3015" t="s"/>
      <c r="I3015" t="s"/>
      <c r="J3015" t="n">
        <v>-0.0772</v>
      </c>
      <c r="K3015" t="n">
        <v>0.131</v>
      </c>
      <c r="L3015" t="n">
        <v>0.749</v>
      </c>
      <c r="M3015" t="n">
        <v>0.12</v>
      </c>
    </row>
    <row r="3016" spans="1:13">
      <c r="A3016" s="1">
        <f>HYPERLINK("http://www.twitter.com/NathanBLawrence/status/989151441037266944", "989151441037266944")</f>
        <v/>
      </c>
      <c r="B3016" s="2" t="n">
        <v>43215.60943287037</v>
      </c>
      <c r="C3016" t="n">
        <v>8</v>
      </c>
      <c r="D3016" t="n">
        <v>3</v>
      </c>
      <c r="E3016" t="s">
        <v>3005</v>
      </c>
      <c r="F3016" t="s"/>
      <c r="G3016" t="s"/>
      <c r="H3016" t="s"/>
      <c r="I3016" t="s"/>
      <c r="J3016" t="n">
        <v>-0.9042</v>
      </c>
      <c r="K3016" t="n">
        <v>0.615</v>
      </c>
      <c r="L3016" t="n">
        <v>0.385</v>
      </c>
      <c r="M3016" t="n">
        <v>0</v>
      </c>
    </row>
    <row r="3017" spans="1:13">
      <c r="A3017" s="1">
        <f>HYPERLINK("http://www.twitter.com/NathanBLawrence/status/989150944754577408", "989150944754577408")</f>
        <v/>
      </c>
      <c r="B3017" s="2" t="n">
        <v>43215.60806712963</v>
      </c>
      <c r="C3017" t="n">
        <v>0</v>
      </c>
      <c r="D3017" t="n">
        <v>192</v>
      </c>
      <c r="E3017" t="s">
        <v>3006</v>
      </c>
      <c r="F3017">
        <f>HYPERLINK("http://pbs.twimg.com/media/DborE-wVQAAGGgg.jpg", "http://pbs.twimg.com/media/DborE-wVQAAGGgg.jpg")</f>
        <v/>
      </c>
      <c r="G3017" t="s"/>
      <c r="H3017" t="s"/>
      <c r="I3017" t="s"/>
      <c r="J3017" t="n">
        <v>0</v>
      </c>
      <c r="K3017" t="n">
        <v>0</v>
      </c>
      <c r="L3017" t="n">
        <v>1</v>
      </c>
      <c r="M3017" t="n">
        <v>0</v>
      </c>
    </row>
    <row r="3018" spans="1:13">
      <c r="A3018" s="1">
        <f>HYPERLINK("http://www.twitter.com/NathanBLawrence/status/989150639006605313", "989150639006605313")</f>
        <v/>
      </c>
      <c r="B3018" s="2" t="n">
        <v>43215.60722222222</v>
      </c>
      <c r="C3018" t="n">
        <v>1</v>
      </c>
      <c r="D3018" t="n">
        <v>0</v>
      </c>
      <c r="E3018" t="s">
        <v>3007</v>
      </c>
      <c r="F3018" t="s"/>
      <c r="G3018" t="s"/>
      <c r="H3018" t="s"/>
      <c r="I3018" t="s"/>
      <c r="J3018" t="n">
        <v>0.7269</v>
      </c>
      <c r="K3018" t="n">
        <v>0</v>
      </c>
      <c r="L3018" t="n">
        <v>0.585</v>
      </c>
      <c r="M3018" t="n">
        <v>0.415</v>
      </c>
    </row>
    <row r="3019" spans="1:13">
      <c r="A3019" s="1">
        <f>HYPERLINK("http://www.twitter.com/NathanBLawrence/status/989150352854446080", "989150352854446080")</f>
        <v/>
      </c>
      <c r="B3019" s="2" t="n">
        <v>43215.60643518518</v>
      </c>
      <c r="C3019" t="n">
        <v>0</v>
      </c>
      <c r="D3019" t="n">
        <v>1</v>
      </c>
      <c r="E3019" t="s">
        <v>3008</v>
      </c>
      <c r="F3019" t="s"/>
      <c r="G3019" t="s"/>
      <c r="H3019" t="s"/>
      <c r="I3019" t="s"/>
      <c r="J3019" t="n">
        <v>0.7627</v>
      </c>
      <c r="K3019" t="n">
        <v>0</v>
      </c>
      <c r="L3019" t="n">
        <v>0.664</v>
      </c>
      <c r="M3019" t="n">
        <v>0.336</v>
      </c>
    </row>
    <row r="3020" spans="1:13">
      <c r="A3020" s="1">
        <f>HYPERLINK("http://www.twitter.com/NathanBLawrence/status/989149769481248769", "989149769481248769")</f>
        <v/>
      </c>
      <c r="B3020" s="2" t="n">
        <v>43215.60482638889</v>
      </c>
      <c r="C3020" t="n">
        <v>18</v>
      </c>
      <c r="D3020" t="n">
        <v>21</v>
      </c>
      <c r="E3020" t="s">
        <v>3009</v>
      </c>
      <c r="F3020" t="s"/>
      <c r="G3020" t="s"/>
      <c r="H3020" t="s"/>
      <c r="I3020" t="s"/>
      <c r="J3020" t="n">
        <v>0</v>
      </c>
      <c r="K3020" t="n">
        <v>0</v>
      </c>
      <c r="L3020" t="n">
        <v>1</v>
      </c>
      <c r="M3020" t="n">
        <v>0</v>
      </c>
    </row>
    <row r="3021" spans="1:13">
      <c r="A3021" s="1">
        <f>HYPERLINK("http://www.twitter.com/NathanBLawrence/status/989149766796894208", "989149766796894208")</f>
        <v/>
      </c>
      <c r="B3021" s="2" t="n">
        <v>43215.60481481482</v>
      </c>
      <c r="C3021" t="n">
        <v>16</v>
      </c>
      <c r="D3021" t="n">
        <v>15</v>
      </c>
      <c r="E3021" t="s">
        <v>3010</v>
      </c>
      <c r="F3021" t="s"/>
      <c r="G3021" t="s"/>
      <c r="H3021" t="s"/>
      <c r="I3021" t="s"/>
      <c r="J3021" t="n">
        <v>-0.3875</v>
      </c>
      <c r="K3021" t="n">
        <v>0.183</v>
      </c>
      <c r="L3021" t="n">
        <v>0.736</v>
      </c>
      <c r="M3021" t="n">
        <v>0.081</v>
      </c>
    </row>
    <row r="3022" spans="1:13">
      <c r="A3022" s="1">
        <f>HYPERLINK("http://www.twitter.com/NathanBLawrence/status/989147284565831684", "989147284565831684")</f>
        <v/>
      </c>
      <c r="B3022" s="2" t="n">
        <v>43215.59796296297</v>
      </c>
      <c r="C3022" t="n">
        <v>0</v>
      </c>
      <c r="D3022" t="n">
        <v>8</v>
      </c>
      <c r="E3022" t="s">
        <v>3011</v>
      </c>
      <c r="F3022">
        <f>HYPERLINK("http://pbs.twimg.com/media/Dbohv0eUwAUqKCN.jpg", "http://pbs.twimg.com/media/Dbohv0eUwAUqKCN.jpg")</f>
        <v/>
      </c>
      <c r="G3022" t="s"/>
      <c r="H3022" t="s"/>
      <c r="I3022" t="s"/>
      <c r="J3022" t="n">
        <v>0</v>
      </c>
      <c r="K3022" t="n">
        <v>0</v>
      </c>
      <c r="L3022" t="n">
        <v>1</v>
      </c>
      <c r="M3022" t="n">
        <v>0</v>
      </c>
    </row>
    <row r="3023" spans="1:13">
      <c r="A3023" s="1">
        <f>HYPERLINK("http://www.twitter.com/NathanBLawrence/status/989146625582030848", "989146625582030848")</f>
        <v/>
      </c>
      <c r="B3023" s="2" t="n">
        <v>43215.59614583333</v>
      </c>
      <c r="C3023" t="n">
        <v>10</v>
      </c>
      <c r="D3023" t="n">
        <v>9</v>
      </c>
      <c r="E3023" t="s">
        <v>3012</v>
      </c>
      <c r="F3023">
        <f>HYPERLINK("http://pbs.twimg.com/media/DbonnAhVwAEjGLU.jpg", "http://pbs.twimg.com/media/DbonnAhVwAEjGLU.jpg")</f>
        <v/>
      </c>
      <c r="G3023" t="s"/>
      <c r="H3023" t="s"/>
      <c r="I3023" t="s"/>
      <c r="J3023" t="n">
        <v>0.6908</v>
      </c>
      <c r="K3023" t="n">
        <v>0.027</v>
      </c>
      <c r="L3023" t="n">
        <v>0.835</v>
      </c>
      <c r="M3023" t="n">
        <v>0.138</v>
      </c>
    </row>
    <row r="3024" spans="1:13">
      <c r="A3024" s="1">
        <f>HYPERLINK("http://www.twitter.com/NathanBLawrence/status/989140461024661506", "989140461024661506")</f>
        <v/>
      </c>
      <c r="B3024" s="2" t="n">
        <v>43215.57913194445</v>
      </c>
      <c r="C3024" t="n">
        <v>0</v>
      </c>
      <c r="D3024" t="n">
        <v>10</v>
      </c>
      <c r="E3024" t="s">
        <v>3013</v>
      </c>
      <c r="F3024" t="s"/>
      <c r="G3024" t="s"/>
      <c r="H3024" t="s"/>
      <c r="I3024" t="s"/>
      <c r="J3024" t="n">
        <v>0.886</v>
      </c>
      <c r="K3024" t="n">
        <v>0.051</v>
      </c>
      <c r="L3024" t="n">
        <v>0.611</v>
      </c>
      <c r="M3024" t="n">
        <v>0.338</v>
      </c>
    </row>
    <row r="3025" spans="1:13">
      <c r="A3025" s="1">
        <f>HYPERLINK("http://www.twitter.com/NathanBLawrence/status/989140233030721536", "989140233030721536")</f>
        <v/>
      </c>
      <c r="B3025" s="2" t="n">
        <v>43215.57850694445</v>
      </c>
      <c r="C3025" t="n">
        <v>115</v>
      </c>
      <c r="D3025" t="n">
        <v>85</v>
      </c>
      <c r="E3025" t="s">
        <v>3014</v>
      </c>
      <c r="F3025" t="s"/>
      <c r="G3025" t="s"/>
      <c r="H3025" t="s"/>
      <c r="I3025" t="s"/>
      <c r="J3025" t="n">
        <v>0.3716</v>
      </c>
      <c r="K3025" t="n">
        <v>0.115</v>
      </c>
      <c r="L3025" t="n">
        <v>0.6870000000000001</v>
      </c>
      <c r="M3025" t="n">
        <v>0.198</v>
      </c>
    </row>
    <row r="3026" spans="1:13">
      <c r="A3026" s="1">
        <f>HYPERLINK("http://www.twitter.com/NathanBLawrence/status/989139100530823168", "989139100530823168")</f>
        <v/>
      </c>
      <c r="B3026" s="2" t="n">
        <v>43215.57538194444</v>
      </c>
      <c r="C3026" t="n">
        <v>0</v>
      </c>
      <c r="D3026" t="n">
        <v>0</v>
      </c>
      <c r="E3026" t="s">
        <v>3015</v>
      </c>
      <c r="F3026" t="s"/>
      <c r="G3026" t="s"/>
      <c r="H3026" t="s"/>
      <c r="I3026" t="s"/>
      <c r="J3026" t="n">
        <v>0</v>
      </c>
      <c r="K3026" t="n">
        <v>0</v>
      </c>
      <c r="L3026" t="n">
        <v>1</v>
      </c>
      <c r="M3026" t="n">
        <v>0</v>
      </c>
    </row>
    <row r="3027" spans="1:13">
      <c r="A3027" s="1">
        <f>HYPERLINK("http://www.twitter.com/NathanBLawrence/status/989138675211620353", "989138675211620353")</f>
        <v/>
      </c>
      <c r="B3027" s="2" t="n">
        <v>43215.57421296297</v>
      </c>
      <c r="C3027" t="n">
        <v>0</v>
      </c>
      <c r="D3027" t="n">
        <v>0</v>
      </c>
      <c r="E3027" t="s">
        <v>3016</v>
      </c>
      <c r="F3027" t="s"/>
      <c r="G3027" t="s"/>
      <c r="H3027" t="s"/>
      <c r="I3027" t="s"/>
      <c r="J3027" t="n">
        <v>0.4738</v>
      </c>
      <c r="K3027" t="n">
        <v>0</v>
      </c>
      <c r="L3027" t="n">
        <v>0.5649999999999999</v>
      </c>
      <c r="M3027" t="n">
        <v>0.435</v>
      </c>
    </row>
    <row r="3028" spans="1:13">
      <c r="A3028" s="1">
        <f>HYPERLINK("http://www.twitter.com/NathanBLawrence/status/988987005932658688", "988987005932658688")</f>
        <v/>
      </c>
      <c r="B3028" s="2" t="n">
        <v>43215.15568287037</v>
      </c>
      <c r="C3028" t="n">
        <v>0</v>
      </c>
      <c r="D3028" t="n">
        <v>4</v>
      </c>
      <c r="E3028" t="s">
        <v>3017</v>
      </c>
      <c r="F3028" t="s"/>
      <c r="G3028" t="s"/>
      <c r="H3028" t="s"/>
      <c r="I3028" t="s"/>
      <c r="J3028" t="n">
        <v>0</v>
      </c>
      <c r="K3028" t="n">
        <v>0</v>
      </c>
      <c r="L3028" t="n">
        <v>1</v>
      </c>
      <c r="M3028" t="n">
        <v>0</v>
      </c>
    </row>
    <row r="3029" spans="1:13">
      <c r="A3029" s="1">
        <f>HYPERLINK("http://www.twitter.com/NathanBLawrence/status/988986951473745920", "988986951473745920")</f>
        <v/>
      </c>
      <c r="B3029" s="2" t="n">
        <v>43215.15553240741</v>
      </c>
      <c r="C3029" t="n">
        <v>0</v>
      </c>
      <c r="D3029" t="n">
        <v>1</v>
      </c>
      <c r="E3029" t="s">
        <v>3018</v>
      </c>
      <c r="F3029" t="s"/>
      <c r="G3029" t="s"/>
      <c r="H3029" t="s"/>
      <c r="I3029" t="s"/>
      <c r="J3029" t="n">
        <v>0.5859</v>
      </c>
      <c r="K3029" t="n">
        <v>0</v>
      </c>
      <c r="L3029" t="n">
        <v>0.703</v>
      </c>
      <c r="M3029" t="n">
        <v>0.297</v>
      </c>
    </row>
    <row r="3030" spans="1:13">
      <c r="A3030" s="1">
        <f>HYPERLINK("http://www.twitter.com/NathanBLawrence/status/988918885197008897", "988918885197008897")</f>
        <v/>
      </c>
      <c r="B3030" s="2" t="n">
        <v>43214.96770833333</v>
      </c>
      <c r="C3030" t="n">
        <v>9</v>
      </c>
      <c r="D3030" t="n">
        <v>10</v>
      </c>
      <c r="E3030" t="s">
        <v>3019</v>
      </c>
      <c r="F3030" t="s"/>
      <c r="G3030" t="s"/>
      <c r="H3030" t="s"/>
      <c r="I3030" t="s"/>
      <c r="J3030" t="n">
        <v>0.2263</v>
      </c>
      <c r="K3030" t="n">
        <v>0</v>
      </c>
      <c r="L3030" t="n">
        <v>0.853</v>
      </c>
      <c r="M3030" t="n">
        <v>0.147</v>
      </c>
    </row>
    <row r="3031" spans="1:13">
      <c r="A3031" s="1">
        <f>HYPERLINK("http://www.twitter.com/NathanBLawrence/status/988916541826785280", "988916541826785280")</f>
        <v/>
      </c>
      <c r="B3031" s="2" t="n">
        <v>43214.96123842592</v>
      </c>
      <c r="C3031" t="n">
        <v>0</v>
      </c>
      <c r="D3031" t="n">
        <v>3</v>
      </c>
      <c r="E3031" t="s">
        <v>3020</v>
      </c>
      <c r="F3031" t="s"/>
      <c r="G3031" t="s"/>
      <c r="H3031" t="s"/>
      <c r="I3031" t="s"/>
      <c r="J3031" t="n">
        <v>0</v>
      </c>
      <c r="K3031" t="n">
        <v>0</v>
      </c>
      <c r="L3031" t="n">
        <v>1</v>
      </c>
      <c r="M3031" t="n">
        <v>0</v>
      </c>
    </row>
    <row r="3032" spans="1:13">
      <c r="A3032" s="1">
        <f>HYPERLINK("http://www.twitter.com/NathanBLawrence/status/988916377540071426", "988916377540071426")</f>
        <v/>
      </c>
      <c r="B3032" s="2" t="n">
        <v>43214.96078703704</v>
      </c>
      <c r="C3032" t="n">
        <v>0</v>
      </c>
      <c r="D3032" t="n">
        <v>2</v>
      </c>
      <c r="E3032" t="s">
        <v>3021</v>
      </c>
      <c r="F3032" t="s"/>
      <c r="G3032" t="s"/>
      <c r="H3032" t="s"/>
      <c r="I3032" t="s"/>
      <c r="J3032" t="n">
        <v>-0.6458</v>
      </c>
      <c r="K3032" t="n">
        <v>0.211</v>
      </c>
      <c r="L3032" t="n">
        <v>0.789</v>
      </c>
      <c r="M3032" t="n">
        <v>0</v>
      </c>
    </row>
    <row r="3033" spans="1:13">
      <c r="A3033" s="1">
        <f>HYPERLINK("http://www.twitter.com/NathanBLawrence/status/988914943419396097", "988914943419396097")</f>
        <v/>
      </c>
      <c r="B3033" s="2" t="n">
        <v>43214.9568287037</v>
      </c>
      <c r="C3033" t="n">
        <v>0</v>
      </c>
      <c r="D3033" t="n">
        <v>1021</v>
      </c>
      <c r="E3033" t="s">
        <v>3022</v>
      </c>
      <c r="F3033">
        <f>HYPERLINK("http://pbs.twimg.com/media/DblICSFXUAE4wFf.jpg", "http://pbs.twimg.com/media/DblICSFXUAE4wFf.jpg")</f>
        <v/>
      </c>
      <c r="G3033" t="s"/>
      <c r="H3033" t="s"/>
      <c r="I3033" t="s"/>
      <c r="J3033" t="n">
        <v>0.8357</v>
      </c>
      <c r="K3033" t="n">
        <v>0</v>
      </c>
      <c r="L3033" t="n">
        <v>0.727</v>
      </c>
      <c r="M3033" t="n">
        <v>0.273</v>
      </c>
    </row>
    <row r="3034" spans="1:13">
      <c r="A3034" s="1">
        <f>HYPERLINK("http://www.twitter.com/NathanBLawrence/status/988914743963418624", "988914743963418624")</f>
        <v/>
      </c>
      <c r="B3034" s="2" t="n">
        <v>43214.95627314815</v>
      </c>
      <c r="C3034" t="n">
        <v>0</v>
      </c>
      <c r="D3034" t="n">
        <v>38</v>
      </c>
      <c r="E3034" t="s">
        <v>3023</v>
      </c>
      <c r="F3034">
        <f>HYPERLINK("http://pbs.twimg.com/media/Dbk7dbWWsAAxU0n.jpg", "http://pbs.twimg.com/media/Dbk7dbWWsAAxU0n.jpg")</f>
        <v/>
      </c>
      <c r="G3034" t="s"/>
      <c r="H3034" t="s"/>
      <c r="I3034" t="s"/>
      <c r="J3034" t="n">
        <v>0</v>
      </c>
      <c r="K3034" t="n">
        <v>0</v>
      </c>
      <c r="L3034" t="n">
        <v>1</v>
      </c>
      <c r="M3034" t="n">
        <v>0</v>
      </c>
    </row>
    <row r="3035" spans="1:13">
      <c r="A3035" s="1">
        <f>HYPERLINK("http://www.twitter.com/NathanBLawrence/status/988912335816417280", "988912335816417280")</f>
        <v/>
      </c>
      <c r="B3035" s="2" t="n">
        <v>43214.94962962963</v>
      </c>
      <c r="C3035" t="n">
        <v>0</v>
      </c>
      <c r="D3035" t="n">
        <v>614</v>
      </c>
      <c r="E3035" t="s">
        <v>3024</v>
      </c>
      <c r="F3035" t="s"/>
      <c r="G3035" t="s"/>
      <c r="H3035" t="s"/>
      <c r="I3035" t="s"/>
      <c r="J3035" t="n">
        <v>0.7378</v>
      </c>
      <c r="K3035" t="n">
        <v>0</v>
      </c>
      <c r="L3035" t="n">
        <v>0.638</v>
      </c>
      <c r="M3035" t="n">
        <v>0.362</v>
      </c>
    </row>
    <row r="3036" spans="1:13">
      <c r="A3036" s="1">
        <f>HYPERLINK("http://www.twitter.com/NathanBLawrence/status/988890884023386113", "988890884023386113")</f>
        <v/>
      </c>
      <c r="B3036" s="2" t="n">
        <v>43214.89043981482</v>
      </c>
      <c r="C3036" t="n">
        <v>0</v>
      </c>
      <c r="D3036" t="n">
        <v>1</v>
      </c>
      <c r="E3036" t="s">
        <v>3025</v>
      </c>
      <c r="F3036">
        <f>HYPERLINK("http://pbs.twimg.com/media/Dbk9NLDWsAYAtQx.jpg", "http://pbs.twimg.com/media/Dbk9NLDWsAYAtQx.jpg")</f>
        <v/>
      </c>
      <c r="G3036" t="s"/>
      <c r="H3036" t="s"/>
      <c r="I3036" t="s"/>
      <c r="J3036" t="n">
        <v>0</v>
      </c>
      <c r="K3036" t="n">
        <v>0</v>
      </c>
      <c r="L3036" t="n">
        <v>1</v>
      </c>
      <c r="M3036" t="n">
        <v>0</v>
      </c>
    </row>
    <row r="3037" spans="1:13">
      <c r="A3037" s="1">
        <f>HYPERLINK("http://www.twitter.com/NathanBLawrence/status/988885410569969664", "988885410569969664")</f>
        <v/>
      </c>
      <c r="B3037" s="2" t="n">
        <v>43214.87533564815</v>
      </c>
      <c r="C3037" t="n">
        <v>0</v>
      </c>
      <c r="D3037" t="n">
        <v>18</v>
      </c>
      <c r="E3037" t="s">
        <v>3026</v>
      </c>
      <c r="F3037">
        <f>HYPERLINK("http://pbs.twimg.com/media/DbkrVpxV4AAYdpc.jpg", "http://pbs.twimg.com/media/DbkrVpxV4AAYdpc.jpg")</f>
        <v/>
      </c>
      <c r="G3037" t="s"/>
      <c r="H3037" t="s"/>
      <c r="I3037" t="s"/>
      <c r="J3037" t="n">
        <v>0.4005</v>
      </c>
      <c r="K3037" t="n">
        <v>0.093</v>
      </c>
      <c r="L3037" t="n">
        <v>0.6830000000000001</v>
      </c>
      <c r="M3037" t="n">
        <v>0.224</v>
      </c>
    </row>
    <row r="3038" spans="1:13">
      <c r="A3038" s="1">
        <f>HYPERLINK("http://www.twitter.com/NathanBLawrence/status/988885354550882315", "988885354550882315")</f>
        <v/>
      </c>
      <c r="B3038" s="2" t="n">
        <v>43214.87517361111</v>
      </c>
      <c r="C3038" t="n">
        <v>0</v>
      </c>
      <c r="D3038" t="n">
        <v>3</v>
      </c>
      <c r="E3038" t="s">
        <v>3027</v>
      </c>
      <c r="F3038" t="s"/>
      <c r="G3038" t="s"/>
      <c r="H3038" t="s"/>
      <c r="I3038" t="s"/>
      <c r="J3038" t="n">
        <v>-0.5095</v>
      </c>
      <c r="K3038" t="n">
        <v>0.341</v>
      </c>
      <c r="L3038" t="n">
        <v>0.501</v>
      </c>
      <c r="M3038" t="n">
        <v>0.158</v>
      </c>
    </row>
    <row r="3039" spans="1:13">
      <c r="A3039" s="1">
        <f>HYPERLINK("http://www.twitter.com/NathanBLawrence/status/988885333734543361", "988885333734543361")</f>
        <v/>
      </c>
      <c r="B3039" s="2" t="n">
        <v>43214.87511574074</v>
      </c>
      <c r="C3039" t="n">
        <v>0</v>
      </c>
      <c r="D3039" t="n">
        <v>3</v>
      </c>
      <c r="E3039" t="s">
        <v>3028</v>
      </c>
      <c r="F3039">
        <f>HYPERLINK("http://pbs.twimg.com/media/DbkxjczVMAAEebl.jpg", "http://pbs.twimg.com/media/DbkxjczVMAAEebl.jpg")</f>
        <v/>
      </c>
      <c r="G3039" t="s"/>
      <c r="H3039" t="s"/>
      <c r="I3039" t="s"/>
      <c r="J3039" t="n">
        <v>0</v>
      </c>
      <c r="K3039" t="n">
        <v>0</v>
      </c>
      <c r="L3039" t="n">
        <v>1</v>
      </c>
      <c r="M3039" t="n">
        <v>0</v>
      </c>
    </row>
    <row r="3040" spans="1:13">
      <c r="A3040" s="1">
        <f>HYPERLINK("http://www.twitter.com/NathanBLawrence/status/988885313320837121", "988885313320837121")</f>
        <v/>
      </c>
      <c r="B3040" s="2" t="n">
        <v>43214.87505787037</v>
      </c>
      <c r="C3040" t="n">
        <v>0</v>
      </c>
      <c r="D3040" t="n">
        <v>11</v>
      </c>
      <c r="E3040" t="s">
        <v>3029</v>
      </c>
      <c r="F3040">
        <f>HYPERLINK("http://pbs.twimg.com/media/DbkxCslVMAEUcc7.jpg", "http://pbs.twimg.com/media/DbkxCslVMAEUcc7.jpg")</f>
        <v/>
      </c>
      <c r="G3040" t="s"/>
      <c r="H3040" t="s"/>
      <c r="I3040" t="s"/>
      <c r="J3040" t="n">
        <v>-0.296</v>
      </c>
      <c r="K3040" t="n">
        <v>0.115</v>
      </c>
      <c r="L3040" t="n">
        <v>0.885</v>
      </c>
      <c r="M3040" t="n">
        <v>0</v>
      </c>
    </row>
    <row r="3041" spans="1:13">
      <c r="A3041" s="1">
        <f>HYPERLINK("http://www.twitter.com/NathanBLawrence/status/988885046403756033", "988885046403756033")</f>
        <v/>
      </c>
      <c r="B3041" s="2" t="n">
        <v>43214.87432870371</v>
      </c>
      <c r="C3041" t="n">
        <v>0</v>
      </c>
      <c r="D3041" t="n">
        <v>4</v>
      </c>
      <c r="E3041" t="s">
        <v>3030</v>
      </c>
      <c r="F3041" t="s"/>
      <c r="G3041" t="s"/>
      <c r="H3041" t="s"/>
      <c r="I3041" t="s"/>
      <c r="J3041" t="n">
        <v>0</v>
      </c>
      <c r="K3041" t="n">
        <v>0</v>
      </c>
      <c r="L3041" t="n">
        <v>1</v>
      </c>
      <c r="M3041" t="n">
        <v>0</v>
      </c>
    </row>
    <row r="3042" spans="1:13">
      <c r="A3042" s="1">
        <f>HYPERLINK("http://www.twitter.com/NathanBLawrence/status/988868888787070977", "988868888787070977")</f>
        <v/>
      </c>
      <c r="B3042" s="2" t="n">
        <v>43214.82974537037</v>
      </c>
      <c r="C3042" t="n">
        <v>0</v>
      </c>
      <c r="D3042" t="n">
        <v>0</v>
      </c>
      <c r="E3042" t="s">
        <v>3031</v>
      </c>
      <c r="F3042" t="s"/>
      <c r="G3042" t="s"/>
      <c r="H3042" t="s"/>
      <c r="I3042" t="s"/>
      <c r="J3042" t="n">
        <v>0</v>
      </c>
      <c r="K3042" t="n">
        <v>0</v>
      </c>
      <c r="L3042" t="n">
        <v>1</v>
      </c>
      <c r="M3042" t="n">
        <v>0</v>
      </c>
    </row>
    <row r="3043" spans="1:13">
      <c r="A3043" s="1">
        <f>HYPERLINK("http://www.twitter.com/NathanBLawrence/status/988866501930348545", "988866501930348545")</f>
        <v/>
      </c>
      <c r="B3043" s="2" t="n">
        <v>43214.82314814815</v>
      </c>
      <c r="C3043" t="n">
        <v>0</v>
      </c>
      <c r="D3043" t="n">
        <v>2</v>
      </c>
      <c r="E3043" t="s">
        <v>3032</v>
      </c>
      <c r="F3043">
        <f>HYPERLINK("http://pbs.twimg.com/media/DbkBJqNVAAAMakN.jpg", "http://pbs.twimg.com/media/DbkBJqNVAAAMakN.jpg")</f>
        <v/>
      </c>
      <c r="G3043" t="s"/>
      <c r="H3043" t="s"/>
      <c r="I3043" t="s"/>
      <c r="J3043" t="n">
        <v>0</v>
      </c>
      <c r="K3043" t="n">
        <v>0</v>
      </c>
      <c r="L3043" t="n">
        <v>1</v>
      </c>
      <c r="M3043" t="n">
        <v>0</v>
      </c>
    </row>
    <row r="3044" spans="1:13">
      <c r="A3044" s="1">
        <f>HYPERLINK("http://www.twitter.com/NathanBLawrence/status/988866429641461762", "988866429641461762")</f>
        <v/>
      </c>
      <c r="B3044" s="2" t="n">
        <v>43214.82295138889</v>
      </c>
      <c r="C3044" t="n">
        <v>0</v>
      </c>
      <c r="D3044" t="n">
        <v>109</v>
      </c>
      <c r="E3044" t="s">
        <v>3033</v>
      </c>
      <c r="F3044" t="s"/>
      <c r="G3044" t="s"/>
      <c r="H3044" t="s"/>
      <c r="I3044" t="s"/>
      <c r="J3044" t="n">
        <v>0.5574</v>
      </c>
      <c r="K3044" t="n">
        <v>0</v>
      </c>
      <c r="L3044" t="n">
        <v>0.865</v>
      </c>
      <c r="M3044" t="n">
        <v>0.135</v>
      </c>
    </row>
    <row r="3045" spans="1:13">
      <c r="A3045" s="1">
        <f>HYPERLINK("http://www.twitter.com/NathanBLawrence/status/988866384242364417", "988866384242364417")</f>
        <v/>
      </c>
      <c r="B3045" s="2" t="n">
        <v>43214.82282407407</v>
      </c>
      <c r="C3045" t="n">
        <v>0</v>
      </c>
      <c r="D3045" t="n">
        <v>37</v>
      </c>
      <c r="E3045" t="s">
        <v>3034</v>
      </c>
      <c r="F3045" t="s"/>
      <c r="G3045" t="s"/>
      <c r="H3045" t="s"/>
      <c r="I3045" t="s"/>
      <c r="J3045" t="n">
        <v>0</v>
      </c>
      <c r="K3045" t="n">
        <v>0</v>
      </c>
      <c r="L3045" t="n">
        <v>1</v>
      </c>
      <c r="M3045" t="n">
        <v>0</v>
      </c>
    </row>
    <row r="3046" spans="1:13">
      <c r="A3046" s="1">
        <f>HYPERLINK("http://www.twitter.com/NathanBLawrence/status/988866332778115072", "988866332778115072")</f>
        <v/>
      </c>
      <c r="B3046" s="2" t="n">
        <v>43214.82268518519</v>
      </c>
      <c r="C3046" t="n">
        <v>0</v>
      </c>
      <c r="D3046" t="n">
        <v>25</v>
      </c>
      <c r="E3046" t="s">
        <v>3035</v>
      </c>
      <c r="F3046">
        <f>HYPERLINK("http://pbs.twimg.com/media/DbjpS4sXkAADI5g.jpg", "http://pbs.twimg.com/media/DbjpS4sXkAADI5g.jpg")</f>
        <v/>
      </c>
      <c r="G3046" t="s"/>
      <c r="H3046" t="s"/>
      <c r="I3046" t="s"/>
      <c r="J3046" t="n">
        <v>0</v>
      </c>
      <c r="K3046" t="n">
        <v>0</v>
      </c>
      <c r="L3046" t="n">
        <v>1</v>
      </c>
      <c r="M3046" t="n">
        <v>0</v>
      </c>
    </row>
    <row r="3047" spans="1:13">
      <c r="A3047" s="1">
        <f>HYPERLINK("http://www.twitter.com/NathanBLawrence/status/988866082575351810", "988866082575351810")</f>
        <v/>
      </c>
      <c r="B3047" s="2" t="n">
        <v>43214.82199074074</v>
      </c>
      <c r="C3047" t="n">
        <v>0</v>
      </c>
      <c r="D3047" t="n">
        <v>29</v>
      </c>
      <c r="E3047" t="s">
        <v>3036</v>
      </c>
      <c r="F3047">
        <f>HYPERLINK("https://video.twimg.com/ext_tw_video/988531396581900288/pu/vid/1280x720/si50zsrdK50DQUrA.mp4?tag=3", "https://video.twimg.com/ext_tw_video/988531396581900288/pu/vid/1280x720/si50zsrdK50DQUrA.mp4?tag=3")</f>
        <v/>
      </c>
      <c r="G3047" t="s"/>
      <c r="H3047" t="s"/>
      <c r="I3047" t="s"/>
      <c r="J3047" t="n">
        <v>0</v>
      </c>
      <c r="K3047" t="n">
        <v>0</v>
      </c>
      <c r="L3047" t="n">
        <v>1</v>
      </c>
      <c r="M3047" t="n">
        <v>0</v>
      </c>
    </row>
    <row r="3048" spans="1:13">
      <c r="A3048" s="1">
        <f>HYPERLINK("http://www.twitter.com/NathanBLawrence/status/988865937746087936", "988865937746087936")</f>
        <v/>
      </c>
      <c r="B3048" s="2" t="n">
        <v>43214.82159722222</v>
      </c>
      <c r="C3048" t="n">
        <v>0</v>
      </c>
      <c r="D3048" t="n">
        <v>19</v>
      </c>
      <c r="E3048" t="s">
        <v>3037</v>
      </c>
      <c r="F3048">
        <f>HYPERLINK("http://pbs.twimg.com/media/DbjmVRSXUAAjo7q.jpg", "http://pbs.twimg.com/media/DbjmVRSXUAAjo7q.jpg")</f>
        <v/>
      </c>
      <c r="G3048" t="s"/>
      <c r="H3048" t="s"/>
      <c r="I3048" t="s"/>
      <c r="J3048" t="n">
        <v>-0.6633</v>
      </c>
      <c r="K3048" t="n">
        <v>0.207</v>
      </c>
      <c r="L3048" t="n">
        <v>0.793</v>
      </c>
      <c r="M3048" t="n">
        <v>0</v>
      </c>
    </row>
    <row r="3049" spans="1:13">
      <c r="A3049" s="1">
        <f>HYPERLINK("http://www.twitter.com/NathanBLawrence/status/988865768824688640", "988865768824688640")</f>
        <v/>
      </c>
      <c r="B3049" s="2" t="n">
        <v>43214.82113425926</v>
      </c>
      <c r="C3049" t="n">
        <v>1</v>
      </c>
      <c r="D3049" t="n">
        <v>0</v>
      </c>
      <c r="E3049" t="s">
        <v>3038</v>
      </c>
      <c r="F3049" t="s"/>
      <c r="G3049" t="s"/>
      <c r="H3049" t="s"/>
      <c r="I3049" t="s"/>
      <c r="J3049" t="n">
        <v>0.5859</v>
      </c>
      <c r="K3049" t="n">
        <v>0</v>
      </c>
      <c r="L3049" t="n">
        <v>0.853</v>
      </c>
      <c r="M3049" t="n">
        <v>0.147</v>
      </c>
    </row>
    <row r="3050" spans="1:13">
      <c r="A3050" s="1">
        <f>HYPERLINK("http://www.twitter.com/NathanBLawrence/status/988865422480105473", "988865422480105473")</f>
        <v/>
      </c>
      <c r="B3050" s="2" t="n">
        <v>43214.82017361111</v>
      </c>
      <c r="C3050" t="n">
        <v>0</v>
      </c>
      <c r="D3050" t="n">
        <v>239</v>
      </c>
      <c r="E3050" t="s">
        <v>3039</v>
      </c>
      <c r="F3050">
        <f>HYPERLINK("http://pbs.twimg.com/media/DbeIqvpW4AAVZsI.jpg", "http://pbs.twimg.com/media/DbeIqvpW4AAVZsI.jpg")</f>
        <v/>
      </c>
      <c r="G3050" t="s"/>
      <c r="H3050" t="s"/>
      <c r="I3050" t="s"/>
      <c r="J3050" t="n">
        <v>0.9403</v>
      </c>
      <c r="K3050" t="n">
        <v>0</v>
      </c>
      <c r="L3050" t="n">
        <v>0.453</v>
      </c>
      <c r="M3050" t="n">
        <v>0.547</v>
      </c>
    </row>
    <row r="3051" spans="1:13">
      <c r="A3051" s="1">
        <f>HYPERLINK("http://www.twitter.com/NathanBLawrence/status/988865016521789441", "988865016521789441")</f>
        <v/>
      </c>
      <c r="B3051" s="2" t="n">
        <v>43214.81905092593</v>
      </c>
      <c r="C3051" t="n">
        <v>0</v>
      </c>
      <c r="D3051" t="n">
        <v>14</v>
      </c>
      <c r="E3051" t="s">
        <v>3040</v>
      </c>
      <c r="F3051" t="s"/>
      <c r="G3051" t="s"/>
      <c r="H3051" t="s"/>
      <c r="I3051" t="s"/>
      <c r="J3051" t="n">
        <v>0.538</v>
      </c>
      <c r="K3051" t="n">
        <v>0.095</v>
      </c>
      <c r="L3051" t="n">
        <v>0.6850000000000001</v>
      </c>
      <c r="M3051" t="n">
        <v>0.22</v>
      </c>
    </row>
    <row r="3052" spans="1:13">
      <c r="A3052" s="1">
        <f>HYPERLINK("http://www.twitter.com/NathanBLawrence/status/988864966873747456", "988864966873747456")</f>
        <v/>
      </c>
      <c r="B3052" s="2" t="n">
        <v>43214.81891203704</v>
      </c>
      <c r="C3052" t="n">
        <v>0</v>
      </c>
      <c r="D3052" t="n">
        <v>11</v>
      </c>
      <c r="E3052" t="s">
        <v>3041</v>
      </c>
      <c r="F3052" t="s"/>
      <c r="G3052" t="s"/>
      <c r="H3052" t="s"/>
      <c r="I3052" t="s"/>
      <c r="J3052" t="n">
        <v>0</v>
      </c>
      <c r="K3052" t="n">
        <v>0</v>
      </c>
      <c r="L3052" t="n">
        <v>1</v>
      </c>
      <c r="M3052" t="n">
        <v>0</v>
      </c>
    </row>
    <row r="3053" spans="1:13">
      <c r="A3053" s="1">
        <f>HYPERLINK("http://www.twitter.com/NathanBLawrence/status/988864913417400320", "988864913417400320")</f>
        <v/>
      </c>
      <c r="B3053" s="2" t="n">
        <v>43214.81877314814</v>
      </c>
      <c r="C3053" t="n">
        <v>0</v>
      </c>
      <c r="D3053" t="n">
        <v>29</v>
      </c>
      <c r="E3053" t="s">
        <v>3042</v>
      </c>
      <c r="F3053" t="s"/>
      <c r="G3053" t="s"/>
      <c r="H3053" t="s"/>
      <c r="I3053" t="s"/>
      <c r="J3053" t="n">
        <v>0.6696</v>
      </c>
      <c r="K3053" t="n">
        <v>0</v>
      </c>
      <c r="L3053" t="n">
        <v>0.572</v>
      </c>
      <c r="M3053" t="n">
        <v>0.428</v>
      </c>
    </row>
    <row r="3054" spans="1:13">
      <c r="A3054" s="1">
        <f>HYPERLINK("http://www.twitter.com/NathanBLawrence/status/988857811718295553", "988857811718295553")</f>
        <v/>
      </c>
      <c r="B3054" s="2" t="n">
        <v>43214.79917824074</v>
      </c>
      <c r="C3054" t="n">
        <v>4</v>
      </c>
      <c r="D3054" t="n">
        <v>2</v>
      </c>
      <c r="E3054" t="s">
        <v>3043</v>
      </c>
      <c r="F3054" t="s"/>
      <c r="G3054" t="s"/>
      <c r="H3054" t="s"/>
      <c r="I3054" t="s"/>
      <c r="J3054" t="n">
        <v>-0.1027</v>
      </c>
      <c r="K3054" t="n">
        <v>0.107</v>
      </c>
      <c r="L3054" t="n">
        <v>0.769</v>
      </c>
      <c r="M3054" t="n">
        <v>0.124</v>
      </c>
    </row>
    <row r="3055" spans="1:13">
      <c r="A3055" s="1">
        <f>HYPERLINK("http://www.twitter.com/NathanBLawrence/status/988856397952675843", "988856397952675843")</f>
        <v/>
      </c>
      <c r="B3055" s="2" t="n">
        <v>43214.79526620371</v>
      </c>
      <c r="C3055" t="n">
        <v>0</v>
      </c>
      <c r="D3055" t="n">
        <v>1</v>
      </c>
      <c r="E3055" t="s">
        <v>3044</v>
      </c>
      <c r="F3055" t="s"/>
      <c r="G3055" t="s"/>
      <c r="H3055" t="s"/>
      <c r="I3055" t="s"/>
      <c r="J3055" t="n">
        <v>0</v>
      </c>
      <c r="K3055" t="n">
        <v>0</v>
      </c>
      <c r="L3055" t="n">
        <v>1</v>
      </c>
      <c r="M3055" t="n">
        <v>0</v>
      </c>
    </row>
    <row r="3056" spans="1:13">
      <c r="A3056" s="1">
        <f>HYPERLINK("http://www.twitter.com/NathanBLawrence/status/988856326779523072", "988856326779523072")</f>
        <v/>
      </c>
      <c r="B3056" s="2" t="n">
        <v>43214.79508101852</v>
      </c>
      <c r="C3056" t="n">
        <v>7</v>
      </c>
      <c r="D3056" t="n">
        <v>2</v>
      </c>
      <c r="E3056" t="s">
        <v>3045</v>
      </c>
      <c r="F3056" t="s"/>
      <c r="G3056" t="s"/>
      <c r="H3056" t="s"/>
      <c r="I3056" t="s"/>
      <c r="J3056" t="n">
        <v>-0.2411</v>
      </c>
      <c r="K3056" t="n">
        <v>0.141</v>
      </c>
      <c r="L3056" t="n">
        <v>0.859</v>
      </c>
      <c r="M3056" t="n">
        <v>0</v>
      </c>
    </row>
    <row r="3057" spans="1:13">
      <c r="A3057" s="1">
        <f>HYPERLINK("http://www.twitter.com/NathanBLawrence/status/988856084340322306", "988856084340322306")</f>
        <v/>
      </c>
      <c r="B3057" s="2" t="n">
        <v>43214.79440972222</v>
      </c>
      <c r="C3057" t="n">
        <v>1</v>
      </c>
      <c r="D3057" t="n">
        <v>0</v>
      </c>
      <c r="E3057" t="s">
        <v>3046</v>
      </c>
      <c r="F3057" t="s"/>
      <c r="G3057" t="s"/>
      <c r="H3057" t="s"/>
      <c r="I3057" t="s"/>
      <c r="J3057" t="n">
        <v>0</v>
      </c>
      <c r="K3057" t="n">
        <v>0</v>
      </c>
      <c r="L3057" t="n">
        <v>1</v>
      </c>
      <c r="M3057" t="n">
        <v>0</v>
      </c>
    </row>
    <row r="3058" spans="1:13">
      <c r="A3058" s="1">
        <f>HYPERLINK("http://www.twitter.com/NathanBLawrence/status/988854798001860608", "988854798001860608")</f>
        <v/>
      </c>
      <c r="B3058" s="2" t="n">
        <v>43214.79085648148</v>
      </c>
      <c r="C3058" t="n">
        <v>0</v>
      </c>
      <c r="D3058" t="n">
        <v>1</v>
      </c>
      <c r="E3058" t="s">
        <v>3047</v>
      </c>
      <c r="F3058" t="s"/>
      <c r="G3058" t="s"/>
      <c r="H3058" t="s"/>
      <c r="I3058" t="s"/>
      <c r="J3058" t="n">
        <v>0.0516</v>
      </c>
      <c r="K3058" t="n">
        <v>0.209</v>
      </c>
      <c r="L3058" t="n">
        <v>0.57</v>
      </c>
      <c r="M3058" t="n">
        <v>0.222</v>
      </c>
    </row>
    <row r="3059" spans="1:13">
      <c r="A3059" s="1">
        <f>HYPERLINK("http://www.twitter.com/NathanBLawrence/status/988854698059943936", "988854698059943936")</f>
        <v/>
      </c>
      <c r="B3059" s="2" t="n">
        <v>43214.7905787037</v>
      </c>
      <c r="C3059" t="n">
        <v>0</v>
      </c>
      <c r="D3059" t="n">
        <v>1</v>
      </c>
      <c r="E3059" t="s">
        <v>3048</v>
      </c>
      <c r="F3059" t="s"/>
      <c r="G3059" t="s"/>
      <c r="H3059" t="s"/>
      <c r="I3059" t="s"/>
      <c r="J3059" t="n">
        <v>0.2695</v>
      </c>
      <c r="K3059" t="n">
        <v>0.223</v>
      </c>
      <c r="L3059" t="n">
        <v>0.518</v>
      </c>
      <c r="M3059" t="n">
        <v>0.259</v>
      </c>
    </row>
    <row r="3060" spans="1:13">
      <c r="A3060" s="1">
        <f>HYPERLINK("http://www.twitter.com/NathanBLawrence/status/988854570091769866", "988854570091769866")</f>
        <v/>
      </c>
      <c r="B3060" s="2" t="n">
        <v>43214.79023148148</v>
      </c>
      <c r="C3060" t="n">
        <v>22</v>
      </c>
      <c r="D3060" t="n">
        <v>14</v>
      </c>
      <c r="E3060" t="s">
        <v>3049</v>
      </c>
      <c r="F3060" t="s"/>
      <c r="G3060" t="s"/>
      <c r="H3060" t="s"/>
      <c r="I3060" t="s"/>
      <c r="J3060" t="n">
        <v>-0.4215</v>
      </c>
      <c r="K3060" t="n">
        <v>0.116</v>
      </c>
      <c r="L3060" t="n">
        <v>0.84</v>
      </c>
      <c r="M3060" t="n">
        <v>0.044</v>
      </c>
    </row>
    <row r="3061" spans="1:13">
      <c r="A3061" s="1">
        <f>HYPERLINK("http://www.twitter.com/NathanBLawrence/status/988853792400650240", "988853792400650240")</f>
        <v/>
      </c>
      <c r="B3061" s="2" t="n">
        <v>43214.78807870371</v>
      </c>
      <c r="C3061" t="n">
        <v>0</v>
      </c>
      <c r="D3061" t="n">
        <v>1</v>
      </c>
      <c r="E3061" t="s">
        <v>3050</v>
      </c>
      <c r="F3061" t="s"/>
      <c r="G3061" t="s"/>
      <c r="H3061" t="s"/>
      <c r="I3061" t="s"/>
      <c r="J3061" t="n">
        <v>0</v>
      </c>
      <c r="K3061" t="n">
        <v>0</v>
      </c>
      <c r="L3061" t="n">
        <v>1</v>
      </c>
      <c r="M3061" t="n">
        <v>0</v>
      </c>
    </row>
    <row r="3062" spans="1:13">
      <c r="A3062" s="1">
        <f>HYPERLINK("http://www.twitter.com/NathanBLawrence/status/988853773706592256", "988853773706592256")</f>
        <v/>
      </c>
      <c r="B3062" s="2" t="n">
        <v>43214.78803240741</v>
      </c>
      <c r="C3062" t="n">
        <v>0</v>
      </c>
      <c r="D3062" t="n">
        <v>4</v>
      </c>
      <c r="E3062" t="s">
        <v>3051</v>
      </c>
      <c r="F3062" t="s"/>
      <c r="G3062" t="s"/>
      <c r="H3062" t="s"/>
      <c r="I3062" t="s"/>
      <c r="J3062" t="n">
        <v>0.7351</v>
      </c>
      <c r="K3062" t="n">
        <v>0</v>
      </c>
      <c r="L3062" t="n">
        <v>0.6929999999999999</v>
      </c>
      <c r="M3062" t="n">
        <v>0.307</v>
      </c>
    </row>
    <row r="3063" spans="1:13">
      <c r="A3063" s="1">
        <f>HYPERLINK("http://www.twitter.com/NathanBLawrence/status/988853693196984320", "988853693196984320")</f>
        <v/>
      </c>
      <c r="B3063" s="2" t="n">
        <v>43214.7878125</v>
      </c>
      <c r="C3063" t="n">
        <v>0</v>
      </c>
      <c r="D3063" t="n">
        <v>1</v>
      </c>
      <c r="E3063" t="s">
        <v>3052</v>
      </c>
      <c r="F3063" t="s"/>
      <c r="G3063" t="s"/>
      <c r="H3063" t="s"/>
      <c r="I3063" t="s"/>
      <c r="J3063" t="n">
        <v>0</v>
      </c>
      <c r="K3063" t="n">
        <v>0</v>
      </c>
      <c r="L3063" t="n">
        <v>1</v>
      </c>
      <c r="M3063" t="n">
        <v>0</v>
      </c>
    </row>
    <row r="3064" spans="1:13">
      <c r="A3064" s="1">
        <f>HYPERLINK("http://www.twitter.com/NathanBLawrence/status/988853618102153216", "988853618102153216")</f>
        <v/>
      </c>
      <c r="B3064" s="2" t="n">
        <v>43214.78760416667</v>
      </c>
      <c r="C3064" t="n">
        <v>0</v>
      </c>
      <c r="D3064" t="n">
        <v>2</v>
      </c>
      <c r="E3064" t="s">
        <v>3053</v>
      </c>
      <c r="F3064" t="s"/>
      <c r="G3064" t="s"/>
      <c r="H3064" t="s"/>
      <c r="I3064" t="s"/>
      <c r="J3064" t="n">
        <v>0</v>
      </c>
      <c r="K3064" t="n">
        <v>0</v>
      </c>
      <c r="L3064" t="n">
        <v>1</v>
      </c>
      <c r="M3064" t="n">
        <v>0</v>
      </c>
    </row>
    <row r="3065" spans="1:13">
      <c r="A3065" s="1">
        <f>HYPERLINK("http://www.twitter.com/NathanBLawrence/status/988853475600674818", "988853475600674818")</f>
        <v/>
      </c>
      <c r="B3065" s="2" t="n">
        <v>43214.78721064814</v>
      </c>
      <c r="C3065" t="n">
        <v>0</v>
      </c>
      <c r="D3065" t="n">
        <v>36</v>
      </c>
      <c r="E3065" t="s">
        <v>3054</v>
      </c>
      <c r="F3065" t="s"/>
      <c r="G3065" t="s"/>
      <c r="H3065" t="s"/>
      <c r="I3065" t="s"/>
      <c r="J3065" t="n">
        <v>0.7753</v>
      </c>
      <c r="K3065" t="n">
        <v>0</v>
      </c>
      <c r="L3065" t="n">
        <v>0.739</v>
      </c>
      <c r="M3065" t="n">
        <v>0.261</v>
      </c>
    </row>
    <row r="3066" spans="1:13">
      <c r="A3066" s="1">
        <f>HYPERLINK("http://www.twitter.com/NathanBLawrence/status/988774394863538177", "988774394863538177")</f>
        <v/>
      </c>
      <c r="B3066" s="2" t="n">
        <v>43214.56898148148</v>
      </c>
      <c r="C3066" t="n">
        <v>0</v>
      </c>
      <c r="D3066" t="n">
        <v>0</v>
      </c>
      <c r="E3066" t="s">
        <v>3055</v>
      </c>
      <c r="F3066" t="s"/>
      <c r="G3066" t="s"/>
      <c r="H3066" t="s"/>
      <c r="I3066" t="s"/>
      <c r="J3066" t="n">
        <v>0.5266999999999999</v>
      </c>
      <c r="K3066" t="n">
        <v>0</v>
      </c>
      <c r="L3066" t="n">
        <v>0.37</v>
      </c>
      <c r="M3066" t="n">
        <v>0.63</v>
      </c>
    </row>
    <row r="3067" spans="1:13">
      <c r="A3067" s="1">
        <f>HYPERLINK("http://www.twitter.com/NathanBLawrence/status/988774349569167360", "988774349569167360")</f>
        <v/>
      </c>
      <c r="B3067" s="2" t="n">
        <v>43214.56886574074</v>
      </c>
      <c r="C3067" t="n">
        <v>0</v>
      </c>
      <c r="D3067" t="n">
        <v>345</v>
      </c>
      <c r="E3067" t="s">
        <v>3056</v>
      </c>
      <c r="F3067" t="s"/>
      <c r="G3067" t="s"/>
      <c r="H3067" t="s"/>
      <c r="I3067" t="s"/>
      <c r="J3067" t="n">
        <v>0</v>
      </c>
      <c r="K3067" t="n">
        <v>0</v>
      </c>
      <c r="L3067" t="n">
        <v>1</v>
      </c>
      <c r="M3067" t="n">
        <v>0</v>
      </c>
    </row>
    <row r="3068" spans="1:13">
      <c r="A3068" s="1">
        <f>HYPERLINK("http://www.twitter.com/NathanBLawrence/status/988774314328633344", "988774314328633344")</f>
        <v/>
      </c>
      <c r="B3068" s="2" t="n">
        <v>43214.56876157408</v>
      </c>
      <c r="C3068" t="n">
        <v>0</v>
      </c>
      <c r="D3068" t="n">
        <v>52</v>
      </c>
      <c r="E3068" t="s">
        <v>3057</v>
      </c>
      <c r="F3068" t="s"/>
      <c r="G3068" t="s"/>
      <c r="H3068" t="s"/>
      <c r="I3068" t="s"/>
      <c r="J3068" t="n">
        <v>0.5859</v>
      </c>
      <c r="K3068" t="n">
        <v>0.068</v>
      </c>
      <c r="L3068" t="n">
        <v>0.742</v>
      </c>
      <c r="M3068" t="n">
        <v>0.19</v>
      </c>
    </row>
    <row r="3069" spans="1:13">
      <c r="A3069" s="1">
        <f>HYPERLINK("http://www.twitter.com/NathanBLawrence/status/988774283769008128", "988774283769008128")</f>
        <v/>
      </c>
      <c r="B3069" s="2" t="n">
        <v>43214.56868055555</v>
      </c>
      <c r="C3069" t="n">
        <v>0</v>
      </c>
      <c r="D3069" t="n">
        <v>61</v>
      </c>
      <c r="E3069" t="s">
        <v>3058</v>
      </c>
      <c r="F3069" t="s"/>
      <c r="G3069" t="s"/>
      <c r="H3069" t="s"/>
      <c r="I3069" t="s"/>
      <c r="J3069" t="n">
        <v>0.296</v>
      </c>
      <c r="K3069" t="n">
        <v>0.106</v>
      </c>
      <c r="L3069" t="n">
        <v>0.709</v>
      </c>
      <c r="M3069" t="n">
        <v>0.184</v>
      </c>
    </row>
    <row r="3070" spans="1:13">
      <c r="A3070" s="1">
        <f>HYPERLINK("http://www.twitter.com/NathanBLawrence/status/988774211283050497", "988774211283050497")</f>
        <v/>
      </c>
      <c r="B3070" s="2" t="n">
        <v>43214.5684837963</v>
      </c>
      <c r="C3070" t="n">
        <v>0</v>
      </c>
      <c r="D3070" t="n">
        <v>455</v>
      </c>
      <c r="E3070" t="s">
        <v>3059</v>
      </c>
      <c r="F3070" t="s"/>
      <c r="G3070" t="s"/>
      <c r="H3070" t="s"/>
      <c r="I3070" t="s"/>
      <c r="J3070" t="n">
        <v>0.8687</v>
      </c>
      <c r="K3070" t="n">
        <v>0</v>
      </c>
      <c r="L3070" t="n">
        <v>0.6919999999999999</v>
      </c>
      <c r="M3070" t="n">
        <v>0.308</v>
      </c>
    </row>
    <row r="3071" spans="1:13">
      <c r="A3071" s="1">
        <f>HYPERLINK("http://www.twitter.com/NathanBLawrence/status/988774057234632704", "988774057234632704")</f>
        <v/>
      </c>
      <c r="B3071" s="2" t="n">
        <v>43214.56805555556</v>
      </c>
      <c r="C3071" t="n">
        <v>0</v>
      </c>
      <c r="D3071" t="n">
        <v>3</v>
      </c>
      <c r="E3071" t="s">
        <v>3060</v>
      </c>
      <c r="F3071" t="s"/>
      <c r="G3071" t="s"/>
      <c r="H3071" t="s"/>
      <c r="I3071" t="s"/>
      <c r="J3071" t="n">
        <v>0</v>
      </c>
      <c r="K3071" t="n">
        <v>0</v>
      </c>
      <c r="L3071" t="n">
        <v>1</v>
      </c>
      <c r="M3071" t="n">
        <v>0</v>
      </c>
    </row>
    <row r="3072" spans="1:13">
      <c r="A3072" s="1">
        <f>HYPERLINK("http://www.twitter.com/NathanBLawrence/status/988774040230940672", "988774040230940672")</f>
        <v/>
      </c>
      <c r="B3072" s="2" t="n">
        <v>43214.56800925926</v>
      </c>
      <c r="C3072" t="n">
        <v>0</v>
      </c>
      <c r="D3072" t="n">
        <v>6</v>
      </c>
      <c r="E3072" t="s">
        <v>3060</v>
      </c>
      <c r="F3072" t="s"/>
      <c r="G3072" t="s"/>
      <c r="H3072" t="s"/>
      <c r="I3072" t="s"/>
      <c r="J3072" t="n">
        <v>0</v>
      </c>
      <c r="K3072" t="n">
        <v>0</v>
      </c>
      <c r="L3072" t="n">
        <v>1</v>
      </c>
      <c r="M3072" t="n">
        <v>0</v>
      </c>
    </row>
    <row r="3073" spans="1:13">
      <c r="A3073" s="1">
        <f>HYPERLINK("http://www.twitter.com/NathanBLawrence/status/988766936644358146", "988766936644358146")</f>
        <v/>
      </c>
      <c r="B3073" s="2" t="n">
        <v>43214.54840277778</v>
      </c>
      <c r="C3073" t="n">
        <v>0</v>
      </c>
      <c r="D3073" t="n">
        <v>1</v>
      </c>
      <c r="E3073" t="s">
        <v>3061</v>
      </c>
      <c r="F3073" t="s"/>
      <c r="G3073" t="s"/>
      <c r="H3073" t="s"/>
      <c r="I3073" t="s"/>
      <c r="J3073" t="n">
        <v>0.6124000000000001</v>
      </c>
      <c r="K3073" t="n">
        <v>0</v>
      </c>
      <c r="L3073" t="n">
        <v>0.722</v>
      </c>
      <c r="M3073" t="n">
        <v>0.278</v>
      </c>
    </row>
    <row r="3074" spans="1:13">
      <c r="A3074" s="1">
        <f>HYPERLINK("http://www.twitter.com/NathanBLawrence/status/988765518680219649", "988765518680219649")</f>
        <v/>
      </c>
      <c r="B3074" s="2" t="n">
        <v>43214.54449074074</v>
      </c>
      <c r="C3074" t="n">
        <v>0</v>
      </c>
      <c r="D3074" t="n">
        <v>25</v>
      </c>
      <c r="E3074" t="s">
        <v>3062</v>
      </c>
      <c r="F3074">
        <f>HYPERLINK("http://pbs.twimg.com/media/DbjKZlSW0AAgsBN.jpg", "http://pbs.twimg.com/media/DbjKZlSW0AAgsBN.jpg")</f>
        <v/>
      </c>
      <c r="G3074" t="s"/>
      <c r="H3074" t="s"/>
      <c r="I3074" t="s"/>
      <c r="J3074" t="n">
        <v>-0.7783</v>
      </c>
      <c r="K3074" t="n">
        <v>0.263</v>
      </c>
      <c r="L3074" t="n">
        <v>0.667</v>
      </c>
      <c r="M3074" t="n">
        <v>0.07000000000000001</v>
      </c>
    </row>
    <row r="3075" spans="1:13">
      <c r="A3075" s="1">
        <f>HYPERLINK("http://www.twitter.com/NathanBLawrence/status/988765473985716226", "988765473985716226")</f>
        <v/>
      </c>
      <c r="B3075" s="2" t="n">
        <v>43214.544375</v>
      </c>
      <c r="C3075" t="n">
        <v>0</v>
      </c>
      <c r="D3075" t="n">
        <v>15</v>
      </c>
      <c r="E3075" t="s">
        <v>3063</v>
      </c>
      <c r="F3075" t="s"/>
      <c r="G3075" t="s"/>
      <c r="H3075" t="s"/>
      <c r="I3075" t="s"/>
      <c r="J3075" t="n">
        <v>-0.34</v>
      </c>
      <c r="K3075" t="n">
        <v>0.156</v>
      </c>
      <c r="L3075" t="n">
        <v>0.844</v>
      </c>
      <c r="M3075" t="n">
        <v>0</v>
      </c>
    </row>
    <row r="3076" spans="1:13">
      <c r="A3076" s="1">
        <f>HYPERLINK("http://www.twitter.com/NathanBLawrence/status/988764948837883904", "988764948837883904")</f>
        <v/>
      </c>
      <c r="B3076" s="2" t="n">
        <v>43214.54291666667</v>
      </c>
      <c r="C3076" t="n">
        <v>0</v>
      </c>
      <c r="D3076" t="n">
        <v>610</v>
      </c>
      <c r="E3076" t="s">
        <v>3064</v>
      </c>
      <c r="F3076" t="s"/>
      <c r="G3076" t="s"/>
      <c r="H3076" t="s"/>
      <c r="I3076" t="s"/>
      <c r="J3076" t="n">
        <v>0.5719</v>
      </c>
      <c r="K3076" t="n">
        <v>0.055</v>
      </c>
      <c r="L3076" t="n">
        <v>0.745</v>
      </c>
      <c r="M3076" t="n">
        <v>0.2</v>
      </c>
    </row>
    <row r="3077" spans="1:13">
      <c r="A3077" s="1">
        <f>HYPERLINK("http://www.twitter.com/NathanBLawrence/status/988764688291958784", "988764688291958784")</f>
        <v/>
      </c>
      <c r="B3077" s="2" t="n">
        <v>43214.54219907407</v>
      </c>
      <c r="C3077" t="n">
        <v>0</v>
      </c>
      <c r="D3077" t="n">
        <v>7</v>
      </c>
      <c r="E3077" t="s">
        <v>3065</v>
      </c>
      <c r="F3077" t="s"/>
      <c r="G3077" t="s"/>
      <c r="H3077" t="s"/>
      <c r="I3077" t="s"/>
      <c r="J3077" t="n">
        <v>0</v>
      </c>
      <c r="K3077" t="n">
        <v>0</v>
      </c>
      <c r="L3077" t="n">
        <v>1</v>
      </c>
      <c r="M3077" t="n">
        <v>0</v>
      </c>
    </row>
    <row r="3078" spans="1:13">
      <c r="A3078" s="1">
        <f>HYPERLINK("http://www.twitter.com/NathanBLawrence/status/988764179497668610", "988764179497668610")</f>
        <v/>
      </c>
      <c r="B3078" s="2" t="n">
        <v>43214.54079861111</v>
      </c>
      <c r="C3078" t="n">
        <v>0</v>
      </c>
      <c r="D3078" t="n">
        <v>1272</v>
      </c>
      <c r="E3078" t="s">
        <v>3066</v>
      </c>
      <c r="F3078" t="s"/>
      <c r="G3078" t="s"/>
      <c r="H3078" t="s"/>
      <c r="I3078" t="s"/>
      <c r="J3078" t="n">
        <v>0.8945</v>
      </c>
      <c r="K3078" t="n">
        <v>0</v>
      </c>
      <c r="L3078" t="n">
        <v>0.577</v>
      </c>
      <c r="M3078" t="n">
        <v>0.423</v>
      </c>
    </row>
    <row r="3079" spans="1:13">
      <c r="A3079" s="1">
        <f>HYPERLINK("http://www.twitter.com/NathanBLawrence/status/988764011520053249", "988764011520053249")</f>
        <v/>
      </c>
      <c r="B3079" s="2" t="n">
        <v>43214.54033564815</v>
      </c>
      <c r="C3079" t="n">
        <v>0</v>
      </c>
      <c r="D3079" t="n">
        <v>191</v>
      </c>
      <c r="E3079" t="s">
        <v>3067</v>
      </c>
      <c r="F3079" t="s"/>
      <c r="G3079" t="s"/>
      <c r="H3079" t="s"/>
      <c r="I3079" t="s"/>
      <c r="J3079" t="n">
        <v>-0.5859</v>
      </c>
      <c r="K3079" t="n">
        <v>0.239</v>
      </c>
      <c r="L3079" t="n">
        <v>0.662</v>
      </c>
      <c r="M3079" t="n">
        <v>0.099</v>
      </c>
    </row>
    <row r="3080" spans="1:13">
      <c r="A3080" s="1">
        <f>HYPERLINK("http://www.twitter.com/NathanBLawrence/status/988763969040142336", "988763969040142336")</f>
        <v/>
      </c>
      <c r="B3080" s="2" t="n">
        <v>43214.54021990741</v>
      </c>
      <c r="C3080" t="n">
        <v>0</v>
      </c>
      <c r="D3080" t="n">
        <v>134</v>
      </c>
      <c r="E3080" t="s">
        <v>3068</v>
      </c>
      <c r="F3080" t="s"/>
      <c r="G3080" t="s"/>
      <c r="H3080" t="s"/>
      <c r="I3080" t="s"/>
      <c r="J3080" t="n">
        <v>-0.5449000000000001</v>
      </c>
      <c r="K3080" t="n">
        <v>0.227</v>
      </c>
      <c r="L3080" t="n">
        <v>0.773</v>
      </c>
      <c r="M3080" t="n">
        <v>0</v>
      </c>
    </row>
    <row r="3081" spans="1:13">
      <c r="A3081" s="1">
        <f>HYPERLINK("http://www.twitter.com/NathanBLawrence/status/988763823355125760", "988763823355125760")</f>
        <v/>
      </c>
      <c r="B3081" s="2" t="n">
        <v>43214.53981481482</v>
      </c>
      <c r="C3081" t="n">
        <v>0</v>
      </c>
      <c r="D3081" t="n">
        <v>8</v>
      </c>
      <c r="E3081" t="s">
        <v>3069</v>
      </c>
      <c r="F3081" t="s"/>
      <c r="G3081" t="s"/>
      <c r="H3081" t="s"/>
      <c r="I3081" t="s"/>
      <c r="J3081" t="n">
        <v>0.4019</v>
      </c>
      <c r="K3081" t="n">
        <v>0</v>
      </c>
      <c r="L3081" t="n">
        <v>0.863</v>
      </c>
      <c r="M3081" t="n">
        <v>0.137</v>
      </c>
    </row>
    <row r="3082" spans="1:13">
      <c r="A3082" s="1">
        <f>HYPERLINK("http://www.twitter.com/NathanBLawrence/status/988763685735862274", "988763685735862274")</f>
        <v/>
      </c>
      <c r="B3082" s="2" t="n">
        <v>43214.53943287037</v>
      </c>
      <c r="C3082" t="n">
        <v>0</v>
      </c>
      <c r="D3082" t="n">
        <v>6</v>
      </c>
      <c r="E3082" t="s">
        <v>3070</v>
      </c>
      <c r="F3082" t="s"/>
      <c r="G3082" t="s"/>
      <c r="H3082" t="s"/>
      <c r="I3082" t="s"/>
      <c r="J3082" t="n">
        <v>-0.25</v>
      </c>
      <c r="K3082" t="n">
        <v>0.08699999999999999</v>
      </c>
      <c r="L3082" t="n">
        <v>0.913</v>
      </c>
      <c r="M3082" t="n">
        <v>0</v>
      </c>
    </row>
    <row r="3083" spans="1:13">
      <c r="A3083" s="1">
        <f>HYPERLINK("http://www.twitter.com/NathanBLawrence/status/988763652932161537", "988763652932161537")</f>
        <v/>
      </c>
      <c r="B3083" s="2" t="n">
        <v>43214.53934027778</v>
      </c>
      <c r="C3083" t="n">
        <v>0</v>
      </c>
      <c r="D3083" t="n">
        <v>1</v>
      </c>
      <c r="E3083" t="s">
        <v>3071</v>
      </c>
      <c r="F3083" t="s"/>
      <c r="G3083" t="s"/>
      <c r="H3083" t="s"/>
      <c r="I3083" t="s"/>
      <c r="J3083" t="n">
        <v>-0.8287</v>
      </c>
      <c r="K3083" t="n">
        <v>0.436</v>
      </c>
      <c r="L3083" t="n">
        <v>0.5639999999999999</v>
      </c>
      <c r="M3083" t="n">
        <v>0</v>
      </c>
    </row>
    <row r="3084" spans="1:13">
      <c r="A3084" s="1">
        <f>HYPERLINK("http://www.twitter.com/NathanBLawrence/status/988763387172741120", "988763387172741120")</f>
        <v/>
      </c>
      <c r="B3084" s="2" t="n">
        <v>43214.53861111111</v>
      </c>
      <c r="C3084" t="n">
        <v>0</v>
      </c>
      <c r="D3084" t="n">
        <v>32</v>
      </c>
      <c r="E3084" t="s">
        <v>3072</v>
      </c>
      <c r="F3084">
        <f>HYPERLINK("http://pbs.twimg.com/media/DbjKqtxVMAAzNJ5.jpg", "http://pbs.twimg.com/media/DbjKqtxVMAAzNJ5.jpg")</f>
        <v/>
      </c>
      <c r="G3084" t="s"/>
      <c r="H3084" t="s"/>
      <c r="I3084" t="s"/>
      <c r="J3084" t="n">
        <v>0</v>
      </c>
      <c r="K3084" t="n">
        <v>0</v>
      </c>
      <c r="L3084" t="n">
        <v>1</v>
      </c>
      <c r="M3084" t="n">
        <v>0</v>
      </c>
    </row>
    <row r="3085" spans="1:13">
      <c r="A3085" s="1">
        <f>HYPERLINK("http://www.twitter.com/NathanBLawrence/status/988763123275444224", "988763123275444224")</f>
        <v/>
      </c>
      <c r="B3085" s="2" t="n">
        <v>43214.53788194444</v>
      </c>
      <c r="C3085" t="n">
        <v>8</v>
      </c>
      <c r="D3085" t="n">
        <v>0</v>
      </c>
      <c r="E3085" t="s">
        <v>3073</v>
      </c>
      <c r="F3085" t="s"/>
      <c r="G3085" t="s"/>
      <c r="H3085" t="s"/>
      <c r="I3085" t="s"/>
      <c r="J3085" t="n">
        <v>0</v>
      </c>
      <c r="K3085" t="n">
        <v>0</v>
      </c>
      <c r="L3085" t="n">
        <v>1</v>
      </c>
      <c r="M3085" t="n">
        <v>0</v>
      </c>
    </row>
    <row r="3086" spans="1:13">
      <c r="A3086" s="1">
        <f>HYPERLINK("http://www.twitter.com/NathanBLawrence/status/988762790063149061", "988762790063149061")</f>
        <v/>
      </c>
      <c r="B3086" s="2" t="n">
        <v>43214.53696759259</v>
      </c>
      <c r="C3086" t="n">
        <v>0</v>
      </c>
      <c r="D3086" t="n">
        <v>2</v>
      </c>
      <c r="E3086" t="s">
        <v>3074</v>
      </c>
      <c r="F3086" t="s"/>
      <c r="G3086" t="s"/>
      <c r="H3086" t="s"/>
      <c r="I3086" t="s"/>
      <c r="J3086" t="n">
        <v>-0.057</v>
      </c>
      <c r="K3086" t="n">
        <v>0.082</v>
      </c>
      <c r="L3086" t="n">
        <v>0.8080000000000001</v>
      </c>
      <c r="M3086" t="n">
        <v>0.11</v>
      </c>
    </row>
    <row r="3087" spans="1:13">
      <c r="A3087" s="1">
        <f>HYPERLINK("http://www.twitter.com/NathanBLawrence/status/988762560596992000", "988762560596992000")</f>
        <v/>
      </c>
      <c r="B3087" s="2" t="n">
        <v>43214.53633101852</v>
      </c>
      <c r="C3087" t="n">
        <v>0</v>
      </c>
      <c r="D3087" t="n">
        <v>3</v>
      </c>
      <c r="E3087" t="s">
        <v>3075</v>
      </c>
      <c r="F3087" t="s"/>
      <c r="G3087" t="s"/>
      <c r="H3087" t="s"/>
      <c r="I3087" t="s"/>
      <c r="J3087" t="n">
        <v>-0.3853</v>
      </c>
      <c r="K3087" t="n">
        <v>0.219</v>
      </c>
      <c r="L3087" t="n">
        <v>0.664</v>
      </c>
      <c r="M3087" t="n">
        <v>0.117</v>
      </c>
    </row>
    <row r="3088" spans="1:13">
      <c r="A3088" s="1">
        <f>HYPERLINK("http://www.twitter.com/NathanBLawrence/status/988762160921800705", "988762160921800705")</f>
        <v/>
      </c>
      <c r="B3088" s="2" t="n">
        <v>43214.53523148148</v>
      </c>
      <c r="C3088" t="n">
        <v>0</v>
      </c>
      <c r="D3088" t="n">
        <v>1</v>
      </c>
      <c r="E3088" t="s">
        <v>3076</v>
      </c>
      <c r="F3088">
        <f>HYPERLINK("http://pbs.twimg.com/media/DbjEdkCXcAA9dRF.jpg", "http://pbs.twimg.com/media/DbjEdkCXcAA9dRF.jpg")</f>
        <v/>
      </c>
      <c r="G3088" t="s"/>
      <c r="H3088" t="s"/>
      <c r="I3088" t="s"/>
      <c r="J3088" t="n">
        <v>0.7717000000000001</v>
      </c>
      <c r="K3088" t="n">
        <v>0</v>
      </c>
      <c r="L3088" t="n">
        <v>0.739</v>
      </c>
      <c r="M3088" t="n">
        <v>0.261</v>
      </c>
    </row>
    <row r="3089" spans="1:13">
      <c r="A3089" s="1">
        <f>HYPERLINK("http://www.twitter.com/NathanBLawrence/status/988762079644569605", "988762079644569605")</f>
        <v/>
      </c>
      <c r="B3089" s="2" t="n">
        <v>43214.535</v>
      </c>
      <c r="C3089" t="n">
        <v>0</v>
      </c>
      <c r="D3089" t="n">
        <v>2</v>
      </c>
      <c r="E3089" t="s">
        <v>3077</v>
      </c>
      <c r="F3089">
        <f>HYPERLINK("http://pbs.twimg.com/media/DbjGm5DVMAEPlmY.jpg", "http://pbs.twimg.com/media/DbjGm5DVMAEPlmY.jpg")</f>
        <v/>
      </c>
      <c r="G3089" t="s"/>
      <c r="H3089" t="s"/>
      <c r="I3089" t="s"/>
      <c r="J3089" t="n">
        <v>0</v>
      </c>
      <c r="K3089" t="n">
        <v>0</v>
      </c>
      <c r="L3089" t="n">
        <v>1</v>
      </c>
      <c r="M3089" t="n">
        <v>0</v>
      </c>
    </row>
    <row r="3090" spans="1:13">
      <c r="A3090" s="1">
        <f>HYPERLINK("http://www.twitter.com/NathanBLawrence/status/988762043602931712", "988762043602931712")</f>
        <v/>
      </c>
      <c r="B3090" s="2" t="n">
        <v>43214.5349074074</v>
      </c>
      <c r="C3090" t="n">
        <v>0</v>
      </c>
      <c r="D3090" t="n">
        <v>1</v>
      </c>
      <c r="E3090" t="s">
        <v>3078</v>
      </c>
      <c r="F3090" t="s"/>
      <c r="G3090" t="s"/>
      <c r="H3090" t="s"/>
      <c r="I3090" t="s"/>
      <c r="J3090" t="n">
        <v>-0.3612</v>
      </c>
      <c r="K3090" t="n">
        <v>0.216</v>
      </c>
      <c r="L3090" t="n">
        <v>0.649</v>
      </c>
      <c r="M3090" t="n">
        <v>0.135</v>
      </c>
    </row>
    <row r="3091" spans="1:13">
      <c r="A3091" s="1">
        <f>HYPERLINK("http://www.twitter.com/NathanBLawrence/status/988752513078882304", "988752513078882304")</f>
        <v/>
      </c>
      <c r="B3091" s="2" t="n">
        <v>43214.50859953704</v>
      </c>
      <c r="C3091" t="n">
        <v>0</v>
      </c>
      <c r="D3091" t="n">
        <v>3904</v>
      </c>
      <c r="E3091" t="s">
        <v>3079</v>
      </c>
      <c r="F3091" t="s"/>
      <c r="G3091" t="s"/>
      <c r="H3091" t="s"/>
      <c r="I3091" t="s"/>
      <c r="J3091" t="n">
        <v>0.4019</v>
      </c>
      <c r="K3091" t="n">
        <v>0</v>
      </c>
      <c r="L3091" t="n">
        <v>0.899</v>
      </c>
      <c r="M3091" t="n">
        <v>0.101</v>
      </c>
    </row>
    <row r="3092" spans="1:13">
      <c r="A3092" s="1">
        <f>HYPERLINK("http://www.twitter.com/NathanBLawrence/status/988750264076328961", "988750264076328961")</f>
        <v/>
      </c>
      <c r="B3092" s="2" t="n">
        <v>43214.50239583333</v>
      </c>
      <c r="C3092" t="n">
        <v>0</v>
      </c>
      <c r="D3092" t="n">
        <v>0</v>
      </c>
      <c r="E3092" t="s">
        <v>3080</v>
      </c>
      <c r="F3092" t="s"/>
      <c r="G3092" t="s"/>
      <c r="H3092" t="s"/>
      <c r="I3092" t="s"/>
      <c r="J3092" t="n">
        <v>0</v>
      </c>
      <c r="K3092" t="n">
        <v>0</v>
      </c>
      <c r="L3092" t="n">
        <v>1</v>
      </c>
      <c r="M3092" t="n">
        <v>0</v>
      </c>
    </row>
    <row r="3093" spans="1:13">
      <c r="A3093" s="1">
        <f>HYPERLINK("http://www.twitter.com/NathanBLawrence/status/988750177816236032", "988750177816236032")</f>
        <v/>
      </c>
      <c r="B3093" s="2" t="n">
        <v>43214.50216435185</v>
      </c>
      <c r="C3093" t="n">
        <v>0</v>
      </c>
      <c r="D3093" t="n">
        <v>60</v>
      </c>
      <c r="E3093" t="s">
        <v>3081</v>
      </c>
      <c r="F3093" t="s"/>
      <c r="G3093" t="s"/>
      <c r="H3093" t="s"/>
      <c r="I3093" t="s"/>
      <c r="J3093" t="n">
        <v>-0.3597</v>
      </c>
      <c r="K3093" t="n">
        <v>0.145</v>
      </c>
      <c r="L3093" t="n">
        <v>0.766</v>
      </c>
      <c r="M3093" t="n">
        <v>0.08799999999999999</v>
      </c>
    </row>
    <row r="3094" spans="1:13">
      <c r="A3094" s="1">
        <f>HYPERLINK("http://www.twitter.com/NathanBLawrence/status/988749966180052993", "988749966180052993")</f>
        <v/>
      </c>
      <c r="B3094" s="2" t="n">
        <v>43214.50157407407</v>
      </c>
      <c r="C3094" t="n">
        <v>0</v>
      </c>
      <c r="D3094" t="n">
        <v>1</v>
      </c>
      <c r="E3094" t="s">
        <v>3082</v>
      </c>
      <c r="F3094" t="s"/>
      <c r="G3094" t="s"/>
      <c r="H3094" t="s"/>
      <c r="I3094" t="s"/>
      <c r="J3094" t="n">
        <v>0</v>
      </c>
      <c r="K3094" t="n">
        <v>0</v>
      </c>
      <c r="L3094" t="n">
        <v>1</v>
      </c>
      <c r="M3094" t="n">
        <v>0</v>
      </c>
    </row>
    <row r="3095" spans="1:13">
      <c r="A3095" s="1">
        <f>HYPERLINK("http://www.twitter.com/NathanBLawrence/status/988749268830875651", "988749268830875651")</f>
        <v/>
      </c>
      <c r="B3095" s="2" t="n">
        <v>43214.49965277778</v>
      </c>
      <c r="C3095" t="n">
        <v>0</v>
      </c>
      <c r="D3095" t="n">
        <v>2</v>
      </c>
      <c r="E3095" t="s">
        <v>3083</v>
      </c>
      <c r="F3095" t="s"/>
      <c r="G3095" t="s"/>
      <c r="H3095" t="s"/>
      <c r="I3095" t="s"/>
      <c r="J3095" t="n">
        <v>-0.4263</v>
      </c>
      <c r="K3095" t="n">
        <v>0.119</v>
      </c>
      <c r="L3095" t="n">
        <v>0.881</v>
      </c>
      <c r="M3095" t="n">
        <v>0</v>
      </c>
    </row>
    <row r="3096" spans="1:13">
      <c r="A3096" s="1">
        <f>HYPERLINK("http://www.twitter.com/NathanBLawrence/status/988748455702089728", "988748455702089728")</f>
        <v/>
      </c>
      <c r="B3096" s="2" t="n">
        <v>43214.49740740741</v>
      </c>
      <c r="C3096" t="n">
        <v>5</v>
      </c>
      <c r="D3096" t="n">
        <v>0</v>
      </c>
      <c r="E3096" t="s">
        <v>3084</v>
      </c>
      <c r="F3096" t="s"/>
      <c r="G3096" t="s"/>
      <c r="H3096" t="s"/>
      <c r="I3096" t="s"/>
      <c r="J3096" t="n">
        <v>0.7906</v>
      </c>
      <c r="K3096" t="n">
        <v>0</v>
      </c>
      <c r="L3096" t="n">
        <v>0.72</v>
      </c>
      <c r="M3096" t="n">
        <v>0.28</v>
      </c>
    </row>
    <row r="3097" spans="1:13">
      <c r="A3097" s="1">
        <f>HYPERLINK("http://www.twitter.com/NathanBLawrence/status/988747369327005696", "988747369327005696")</f>
        <v/>
      </c>
      <c r="B3097" s="2" t="n">
        <v>43214.49440972223</v>
      </c>
      <c r="C3097" t="n">
        <v>0</v>
      </c>
      <c r="D3097" t="n">
        <v>116</v>
      </c>
      <c r="E3097" t="s">
        <v>3085</v>
      </c>
      <c r="F3097">
        <f>HYPERLINK("https://video.twimg.com/ext_tw_video/988745029442326528/pu/vid/1280x720/ckuzbFiYq-JFijvq.mp4?tag=3", "https://video.twimg.com/ext_tw_video/988745029442326528/pu/vid/1280x720/ckuzbFiYq-JFijvq.mp4?tag=3")</f>
        <v/>
      </c>
      <c r="G3097" t="s"/>
      <c r="H3097" t="s"/>
      <c r="I3097" t="s"/>
      <c r="J3097" t="n">
        <v>0.8439</v>
      </c>
      <c r="K3097" t="n">
        <v>0</v>
      </c>
      <c r="L3097" t="n">
        <v>0.6870000000000001</v>
      </c>
      <c r="M3097" t="n">
        <v>0.313</v>
      </c>
    </row>
    <row r="3098" spans="1:13">
      <c r="A3098" s="1">
        <f>HYPERLINK("http://www.twitter.com/NathanBLawrence/status/988747172513570816", "988747172513570816")</f>
        <v/>
      </c>
      <c r="B3098" s="2" t="n">
        <v>43214.49386574074</v>
      </c>
      <c r="C3098" t="n">
        <v>0</v>
      </c>
      <c r="D3098" t="n">
        <v>90</v>
      </c>
      <c r="E3098" t="s">
        <v>3086</v>
      </c>
      <c r="F3098" t="s"/>
      <c r="G3098" t="s"/>
      <c r="H3098" t="s"/>
      <c r="I3098" t="s"/>
      <c r="J3098" t="n">
        <v>0</v>
      </c>
      <c r="K3098" t="n">
        <v>0.245</v>
      </c>
      <c r="L3098" t="n">
        <v>0.509</v>
      </c>
      <c r="M3098" t="n">
        <v>0.245</v>
      </c>
    </row>
    <row r="3099" spans="1:13">
      <c r="A3099" s="1">
        <f>HYPERLINK("http://www.twitter.com/NathanBLawrence/status/988746019876851712", "988746019876851712")</f>
        <v/>
      </c>
      <c r="B3099" s="2" t="n">
        <v>43214.49068287037</v>
      </c>
      <c r="C3099" t="n">
        <v>0</v>
      </c>
      <c r="D3099" t="n">
        <v>23054</v>
      </c>
      <c r="E3099" t="s">
        <v>3087</v>
      </c>
      <c r="F3099" t="s"/>
      <c r="G3099" t="s"/>
      <c r="H3099" t="s"/>
      <c r="I3099" t="s"/>
      <c r="J3099" t="n">
        <v>-0.6249</v>
      </c>
      <c r="K3099" t="n">
        <v>0.181</v>
      </c>
      <c r="L3099" t="n">
        <v>0.819</v>
      </c>
      <c r="M3099" t="n">
        <v>0</v>
      </c>
    </row>
    <row r="3100" spans="1:13">
      <c r="A3100" s="1">
        <f>HYPERLINK("http://www.twitter.com/NathanBLawrence/status/988745618574147585", "988745618574147585")</f>
        <v/>
      </c>
      <c r="B3100" s="2" t="n">
        <v>43214.48958333334</v>
      </c>
      <c r="C3100" t="n">
        <v>0</v>
      </c>
      <c r="D3100" t="n">
        <v>9</v>
      </c>
      <c r="E3100" t="s">
        <v>3088</v>
      </c>
      <c r="F3100" t="s"/>
      <c r="G3100" t="s"/>
      <c r="H3100" t="s"/>
      <c r="I3100" t="s"/>
      <c r="J3100" t="n">
        <v>-0.7835</v>
      </c>
      <c r="K3100" t="n">
        <v>0.301</v>
      </c>
      <c r="L3100" t="n">
        <v>0.699</v>
      </c>
      <c r="M3100" t="n">
        <v>0</v>
      </c>
    </row>
    <row r="3101" spans="1:13">
      <c r="A3101" s="1">
        <f>HYPERLINK("http://www.twitter.com/NathanBLawrence/status/988745405595832321", "988745405595832321")</f>
        <v/>
      </c>
      <c r="B3101" s="2" t="n">
        <v>43214.48899305556</v>
      </c>
      <c r="C3101" t="n">
        <v>0</v>
      </c>
      <c r="D3101" t="n">
        <v>3</v>
      </c>
      <c r="E3101" t="s">
        <v>3089</v>
      </c>
      <c r="F3101" t="s"/>
      <c r="G3101" t="s"/>
      <c r="H3101" t="s"/>
      <c r="I3101" t="s"/>
      <c r="J3101" t="n">
        <v>0.8481</v>
      </c>
      <c r="K3101" t="n">
        <v>0</v>
      </c>
      <c r="L3101" t="n">
        <v>0.494</v>
      </c>
      <c r="M3101" t="n">
        <v>0.506</v>
      </c>
    </row>
    <row r="3102" spans="1:13">
      <c r="A3102" s="1">
        <f>HYPERLINK("http://www.twitter.com/NathanBLawrence/status/988745332195561473", "988745332195561473")</f>
        <v/>
      </c>
      <c r="B3102" s="2" t="n">
        <v>43214.48878472222</v>
      </c>
      <c r="C3102" t="n">
        <v>0</v>
      </c>
      <c r="D3102" t="n">
        <v>11</v>
      </c>
      <c r="E3102" t="s">
        <v>3090</v>
      </c>
      <c r="F3102" t="s"/>
      <c r="G3102" t="s"/>
      <c r="H3102" t="s"/>
      <c r="I3102" t="s"/>
      <c r="J3102" t="n">
        <v>0.6249</v>
      </c>
      <c r="K3102" t="n">
        <v>0</v>
      </c>
      <c r="L3102" t="n">
        <v>0.6870000000000001</v>
      </c>
      <c r="M3102" t="n">
        <v>0.313</v>
      </c>
    </row>
    <row r="3103" spans="1:13">
      <c r="A3103" s="1">
        <f>HYPERLINK("http://www.twitter.com/NathanBLawrence/status/988745302092996608", "988745302092996608")</f>
        <v/>
      </c>
      <c r="B3103" s="2" t="n">
        <v>43214.4887037037</v>
      </c>
      <c r="C3103" t="n">
        <v>0</v>
      </c>
      <c r="D3103" t="n">
        <v>132</v>
      </c>
      <c r="E3103" t="s">
        <v>3091</v>
      </c>
      <c r="F3103">
        <f>HYPERLINK("http://pbs.twimg.com/media/Dbiv-9gVMAA8yF9.jpg", "http://pbs.twimg.com/media/Dbiv-9gVMAA8yF9.jpg")</f>
        <v/>
      </c>
      <c r="G3103" t="s"/>
      <c r="H3103" t="s"/>
      <c r="I3103" t="s"/>
      <c r="J3103" t="n">
        <v>0</v>
      </c>
      <c r="K3103" t="n">
        <v>0</v>
      </c>
      <c r="L3103" t="n">
        <v>1</v>
      </c>
      <c r="M3103" t="n">
        <v>0</v>
      </c>
    </row>
    <row r="3104" spans="1:13">
      <c r="A3104" s="1">
        <f>HYPERLINK("http://www.twitter.com/NathanBLawrence/status/988742589221306368", "988742589221306368")</f>
        <v/>
      </c>
      <c r="B3104" s="2" t="n">
        <v>43214.48121527778</v>
      </c>
      <c r="C3104" t="n">
        <v>210</v>
      </c>
      <c r="D3104" t="n">
        <v>229</v>
      </c>
      <c r="E3104" t="s">
        <v>3092</v>
      </c>
      <c r="F3104" t="s"/>
      <c r="G3104" t="s"/>
      <c r="H3104" t="s"/>
      <c r="I3104" t="s"/>
      <c r="J3104" t="n">
        <v>0.533</v>
      </c>
      <c r="K3104" t="n">
        <v>0</v>
      </c>
      <c r="L3104" t="n">
        <v>0.849</v>
      </c>
      <c r="M3104" t="n">
        <v>0.151</v>
      </c>
    </row>
    <row r="3105" spans="1:13">
      <c r="A3105" s="1">
        <f>HYPERLINK("http://www.twitter.com/NathanBLawrence/status/988739489123241984", "988739489123241984")</f>
        <v/>
      </c>
      <c r="B3105" s="2" t="n">
        <v>43214.47266203703</v>
      </c>
      <c r="C3105" t="n">
        <v>10</v>
      </c>
      <c r="D3105" t="n">
        <v>7</v>
      </c>
      <c r="E3105" t="s">
        <v>3093</v>
      </c>
      <c r="F3105">
        <f>HYPERLINK("http://pbs.twimg.com/media/Dbi1T9_VQAEc_yq.jpg", "http://pbs.twimg.com/media/Dbi1T9_VQAEc_yq.jpg")</f>
        <v/>
      </c>
      <c r="G3105" t="s"/>
      <c r="H3105" t="s"/>
      <c r="I3105" t="s"/>
      <c r="J3105" t="n">
        <v>0.4404</v>
      </c>
      <c r="K3105" t="n">
        <v>0</v>
      </c>
      <c r="L3105" t="n">
        <v>0.838</v>
      </c>
      <c r="M3105" t="n">
        <v>0.162</v>
      </c>
    </row>
    <row r="3106" spans="1:13">
      <c r="A3106" s="1">
        <f>HYPERLINK("http://www.twitter.com/NathanBLawrence/status/988737674625380352", "988737674625380352")</f>
        <v/>
      </c>
      <c r="B3106" s="2" t="n">
        <v>43214.46766203704</v>
      </c>
      <c r="C3106" t="n">
        <v>0</v>
      </c>
      <c r="D3106" t="n">
        <v>0</v>
      </c>
      <c r="E3106" t="s">
        <v>3094</v>
      </c>
      <c r="F3106" t="s"/>
      <c r="G3106" t="s"/>
      <c r="H3106" t="s"/>
      <c r="I3106" t="s"/>
      <c r="J3106" t="n">
        <v>-0.6808</v>
      </c>
      <c r="K3106" t="n">
        <v>0.196</v>
      </c>
      <c r="L3106" t="n">
        <v>0.804</v>
      </c>
      <c r="M3106" t="n">
        <v>0</v>
      </c>
    </row>
    <row r="3107" spans="1:13">
      <c r="A3107" s="1">
        <f>HYPERLINK("http://www.twitter.com/NathanBLawrence/status/988736213808041984", "988736213808041984")</f>
        <v/>
      </c>
      <c r="B3107" s="2" t="n">
        <v>43214.46362268519</v>
      </c>
      <c r="C3107" t="n">
        <v>0</v>
      </c>
      <c r="D3107" t="n">
        <v>193</v>
      </c>
      <c r="E3107" t="s">
        <v>3095</v>
      </c>
      <c r="F3107" t="s"/>
      <c r="G3107" t="s"/>
      <c r="H3107" t="s"/>
      <c r="I3107" t="s"/>
      <c r="J3107" t="n">
        <v>0</v>
      </c>
      <c r="K3107" t="n">
        <v>0</v>
      </c>
      <c r="L3107" t="n">
        <v>1</v>
      </c>
      <c r="M3107" t="n">
        <v>0</v>
      </c>
    </row>
    <row r="3108" spans="1:13">
      <c r="A3108" s="1">
        <f>HYPERLINK("http://www.twitter.com/NathanBLawrence/status/988735937935966209", "988735937935966209")</f>
        <v/>
      </c>
      <c r="B3108" s="2" t="n">
        <v>43214.46287037037</v>
      </c>
      <c r="C3108" t="n">
        <v>0</v>
      </c>
      <c r="D3108" t="n">
        <v>292</v>
      </c>
      <c r="E3108" t="s">
        <v>3096</v>
      </c>
      <c r="F3108">
        <f>HYPERLINK("http://pbs.twimg.com/media/Dbggg5QX0AEHHln.jpg", "http://pbs.twimg.com/media/Dbggg5QX0AEHHln.jpg")</f>
        <v/>
      </c>
      <c r="G3108" t="s"/>
      <c r="H3108" t="s"/>
      <c r="I3108" t="s"/>
      <c r="J3108" t="n">
        <v>0.3182</v>
      </c>
      <c r="K3108" t="n">
        <v>0</v>
      </c>
      <c r="L3108" t="n">
        <v>0.85</v>
      </c>
      <c r="M3108" t="n">
        <v>0.15</v>
      </c>
    </row>
    <row r="3109" spans="1:13">
      <c r="A3109" s="1">
        <f>HYPERLINK("http://www.twitter.com/NathanBLawrence/status/988735793626787840", "988735793626787840")</f>
        <v/>
      </c>
      <c r="B3109" s="2" t="n">
        <v>43214.46246527778</v>
      </c>
      <c r="C3109" t="n">
        <v>0</v>
      </c>
      <c r="D3109" t="n">
        <v>1794</v>
      </c>
      <c r="E3109" t="s">
        <v>3097</v>
      </c>
      <c r="F3109">
        <f>HYPERLINK("https://video.twimg.com/ext_tw_video/988556198571110404/pu/vid/720x720/Taihh4qYr9V7HAE_.mp4?tag=3", "https://video.twimg.com/ext_tw_video/988556198571110404/pu/vid/720x720/Taihh4qYr9V7HAE_.mp4?tag=3")</f>
        <v/>
      </c>
      <c r="G3109" t="s"/>
      <c r="H3109" t="s"/>
      <c r="I3109" t="s"/>
      <c r="J3109" t="n">
        <v>0.5707</v>
      </c>
      <c r="K3109" t="n">
        <v>0</v>
      </c>
      <c r="L3109" t="n">
        <v>0.844</v>
      </c>
      <c r="M3109" t="n">
        <v>0.156</v>
      </c>
    </row>
    <row r="3110" spans="1:13">
      <c r="A3110" s="1">
        <f>HYPERLINK("http://www.twitter.com/NathanBLawrence/status/988732305085779968", "988732305085779968")</f>
        <v/>
      </c>
      <c r="B3110" s="2" t="n">
        <v>43214.45283564815</v>
      </c>
      <c r="C3110" t="n">
        <v>0</v>
      </c>
      <c r="D3110" t="n">
        <v>2</v>
      </c>
      <c r="E3110" t="s">
        <v>3098</v>
      </c>
      <c r="F3110" t="s"/>
      <c r="G3110" t="s"/>
      <c r="H3110" t="s"/>
      <c r="I3110" t="s"/>
      <c r="J3110" t="n">
        <v>0</v>
      </c>
      <c r="K3110" t="n">
        <v>0</v>
      </c>
      <c r="L3110" t="n">
        <v>1</v>
      </c>
      <c r="M3110" t="n">
        <v>0</v>
      </c>
    </row>
    <row r="3111" spans="1:13">
      <c r="A3111" s="1">
        <f>HYPERLINK("http://www.twitter.com/NathanBLawrence/status/988731967817515010", "988731967817515010")</f>
        <v/>
      </c>
      <c r="B3111" s="2" t="n">
        <v>43214.45190972222</v>
      </c>
      <c r="C3111" t="n">
        <v>0</v>
      </c>
      <c r="D3111" t="n">
        <v>1428</v>
      </c>
      <c r="E3111" t="s">
        <v>3099</v>
      </c>
      <c r="F3111" t="s"/>
      <c r="G3111" t="s"/>
      <c r="H3111" t="s"/>
      <c r="I3111" t="s"/>
      <c r="J3111" t="n">
        <v>-0.2342</v>
      </c>
      <c r="K3111" t="n">
        <v>0.154</v>
      </c>
      <c r="L3111" t="n">
        <v>0.727</v>
      </c>
      <c r="M3111" t="n">
        <v>0.119</v>
      </c>
    </row>
    <row r="3112" spans="1:13">
      <c r="A3112" s="1">
        <f>HYPERLINK("http://www.twitter.com/NathanBLawrence/status/988731178533511169", "988731178533511169")</f>
        <v/>
      </c>
      <c r="B3112" s="2" t="n">
        <v>43214.4497337963</v>
      </c>
      <c r="C3112" t="n">
        <v>0</v>
      </c>
      <c r="D3112" t="n">
        <v>19</v>
      </c>
      <c r="E3112" t="s">
        <v>3100</v>
      </c>
      <c r="F3112">
        <f>HYPERLINK("http://pbs.twimg.com/media/DbgxFlcXkAAKh8w.jpg", "http://pbs.twimg.com/media/DbgxFlcXkAAKh8w.jpg")</f>
        <v/>
      </c>
      <c r="G3112" t="s"/>
      <c r="H3112" t="s"/>
      <c r="I3112" t="s"/>
      <c r="J3112" t="n">
        <v>0</v>
      </c>
      <c r="K3112" t="n">
        <v>0</v>
      </c>
      <c r="L3112" t="n">
        <v>1</v>
      </c>
      <c r="M3112" t="n">
        <v>0</v>
      </c>
    </row>
    <row r="3113" spans="1:13">
      <c r="A3113" s="1">
        <f>HYPERLINK("http://www.twitter.com/NathanBLawrence/status/988731117606985728", "988731117606985728")</f>
        <v/>
      </c>
      <c r="B3113" s="2" t="n">
        <v>43214.44956018519</v>
      </c>
      <c r="C3113" t="n">
        <v>0</v>
      </c>
      <c r="D3113" t="n">
        <v>5</v>
      </c>
      <c r="E3113" t="s">
        <v>3101</v>
      </c>
      <c r="F3113" t="s"/>
      <c r="G3113" t="s"/>
      <c r="H3113" t="s"/>
      <c r="I3113" t="s"/>
      <c r="J3113" t="n">
        <v>0.4926</v>
      </c>
      <c r="K3113" t="n">
        <v>0</v>
      </c>
      <c r="L3113" t="n">
        <v>0.715</v>
      </c>
      <c r="M3113" t="n">
        <v>0.285</v>
      </c>
    </row>
    <row r="3114" spans="1:13">
      <c r="A3114" s="1">
        <f>HYPERLINK("http://www.twitter.com/NathanBLawrence/status/988730579708530691", "988730579708530691")</f>
        <v/>
      </c>
      <c r="B3114" s="2" t="n">
        <v>43214.4480787037</v>
      </c>
      <c r="C3114" t="n">
        <v>3</v>
      </c>
      <c r="D3114" t="n">
        <v>4</v>
      </c>
      <c r="E3114" t="s">
        <v>3102</v>
      </c>
      <c r="F3114" t="s"/>
      <c r="G3114" t="s"/>
      <c r="H3114" t="s"/>
      <c r="I3114" t="s"/>
      <c r="J3114" t="n">
        <v>0</v>
      </c>
      <c r="K3114" t="n">
        <v>0</v>
      </c>
      <c r="L3114" t="n">
        <v>1</v>
      </c>
      <c r="M3114" t="n">
        <v>0</v>
      </c>
    </row>
    <row r="3115" spans="1:13">
      <c r="A3115" s="1">
        <f>HYPERLINK("http://www.twitter.com/NathanBLawrence/status/988730310870339585", "988730310870339585")</f>
        <v/>
      </c>
      <c r="B3115" s="2" t="n">
        <v>43214.44733796296</v>
      </c>
      <c r="C3115" t="n">
        <v>0</v>
      </c>
      <c r="D3115" t="n">
        <v>800</v>
      </c>
      <c r="E3115" t="s">
        <v>3103</v>
      </c>
      <c r="F3115" t="s"/>
      <c r="G3115" t="s"/>
      <c r="H3115" t="s"/>
      <c r="I3115" t="s"/>
      <c r="J3115" t="n">
        <v>0.6369</v>
      </c>
      <c r="K3115" t="n">
        <v>0</v>
      </c>
      <c r="L3115" t="n">
        <v>0.802</v>
      </c>
      <c r="M3115" t="n">
        <v>0.198</v>
      </c>
    </row>
    <row r="3116" spans="1:13">
      <c r="A3116" s="1">
        <f>HYPERLINK("http://www.twitter.com/NathanBLawrence/status/988730212480405504", "988730212480405504")</f>
        <v/>
      </c>
      <c r="B3116" s="2" t="n">
        <v>43214.44707175926</v>
      </c>
      <c r="C3116" t="n">
        <v>4</v>
      </c>
      <c r="D3116" t="n">
        <v>3</v>
      </c>
      <c r="E3116" t="s">
        <v>3104</v>
      </c>
      <c r="F3116" t="s"/>
      <c r="G3116" t="s"/>
      <c r="H3116" t="s"/>
      <c r="I3116" t="s"/>
      <c r="J3116" t="n">
        <v>0</v>
      </c>
      <c r="K3116" t="n">
        <v>0</v>
      </c>
      <c r="L3116" t="n">
        <v>1</v>
      </c>
      <c r="M3116" t="n">
        <v>0</v>
      </c>
    </row>
    <row r="3117" spans="1:13">
      <c r="A3117" s="1">
        <f>HYPERLINK("http://www.twitter.com/NathanBLawrence/status/988729939187904512", "988729939187904512")</f>
        <v/>
      </c>
      <c r="B3117" s="2" t="n">
        <v>43214.44630787037</v>
      </c>
      <c r="C3117" t="n">
        <v>0</v>
      </c>
      <c r="D3117" t="n">
        <v>33</v>
      </c>
      <c r="E3117" t="s">
        <v>3105</v>
      </c>
      <c r="F3117">
        <f>HYPERLINK("http://pbs.twimg.com/media/DbirqLIVQAAoA2j.jpg", "http://pbs.twimg.com/media/DbirqLIVQAAoA2j.jpg")</f>
        <v/>
      </c>
      <c r="G3117" t="s"/>
      <c r="H3117" t="s"/>
      <c r="I3117" t="s"/>
      <c r="J3117" t="n">
        <v>0.6771</v>
      </c>
      <c r="K3117" t="n">
        <v>0.083</v>
      </c>
      <c r="L3117" t="n">
        <v>0.66</v>
      </c>
      <c r="M3117" t="n">
        <v>0.257</v>
      </c>
    </row>
    <row r="3118" spans="1:13">
      <c r="A3118" s="1">
        <f>HYPERLINK("http://www.twitter.com/NathanBLawrence/status/988729813992173569", "988729813992173569")</f>
        <v/>
      </c>
      <c r="B3118" s="2" t="n">
        <v>43214.44597222222</v>
      </c>
      <c r="C3118" t="n">
        <v>0</v>
      </c>
      <c r="D3118" t="n">
        <v>14</v>
      </c>
      <c r="E3118" t="s">
        <v>3106</v>
      </c>
      <c r="F3118" t="s"/>
      <c r="G3118" t="s"/>
      <c r="H3118" t="s"/>
      <c r="I3118" t="s"/>
      <c r="J3118" t="n">
        <v>-0.7579</v>
      </c>
      <c r="K3118" t="n">
        <v>0.255</v>
      </c>
      <c r="L3118" t="n">
        <v>0.745</v>
      </c>
      <c r="M3118" t="n">
        <v>0</v>
      </c>
    </row>
    <row r="3119" spans="1:13">
      <c r="A3119" s="1">
        <f>HYPERLINK("http://www.twitter.com/NathanBLawrence/status/988729368636743681", "988729368636743681")</f>
        <v/>
      </c>
      <c r="B3119" s="2" t="n">
        <v>43214.4447337963</v>
      </c>
      <c r="C3119" t="n">
        <v>0</v>
      </c>
      <c r="D3119" t="n">
        <v>913</v>
      </c>
      <c r="E3119" t="s">
        <v>3107</v>
      </c>
      <c r="F3119" t="s"/>
      <c r="G3119" t="s"/>
      <c r="H3119" t="s"/>
      <c r="I3119" t="s"/>
      <c r="J3119" t="n">
        <v>0.3647</v>
      </c>
      <c r="K3119" t="n">
        <v>0</v>
      </c>
      <c r="L3119" t="n">
        <v>0.85</v>
      </c>
      <c r="M3119" t="n">
        <v>0.15</v>
      </c>
    </row>
    <row r="3120" spans="1:13">
      <c r="A3120" s="1">
        <f>HYPERLINK("http://www.twitter.com/NathanBLawrence/status/988729021826523141", "988729021826523141")</f>
        <v/>
      </c>
      <c r="B3120" s="2" t="n">
        <v>43214.44378472222</v>
      </c>
      <c r="C3120" t="n">
        <v>0</v>
      </c>
      <c r="D3120" t="n">
        <v>1</v>
      </c>
      <c r="E3120" t="s">
        <v>3108</v>
      </c>
      <c r="F3120" t="s"/>
      <c r="G3120" t="s"/>
      <c r="H3120" t="s"/>
      <c r="I3120" t="s"/>
      <c r="J3120" t="n">
        <v>0</v>
      </c>
      <c r="K3120" t="n">
        <v>0</v>
      </c>
      <c r="L3120" t="n">
        <v>1</v>
      </c>
      <c r="M3120" t="n">
        <v>0</v>
      </c>
    </row>
    <row r="3121" spans="1:13">
      <c r="A3121" s="1">
        <f>HYPERLINK("http://www.twitter.com/NathanBLawrence/status/988728814489481217", "988728814489481217")</f>
        <v/>
      </c>
      <c r="B3121" s="2" t="n">
        <v>43214.44320601852</v>
      </c>
      <c r="C3121" t="n">
        <v>0</v>
      </c>
      <c r="D3121" t="n">
        <v>3</v>
      </c>
      <c r="E3121" t="s">
        <v>3109</v>
      </c>
      <c r="F3121" t="s"/>
      <c r="G3121" t="s"/>
      <c r="H3121" t="s"/>
      <c r="I3121" t="s"/>
      <c r="J3121" t="n">
        <v>-0.6476</v>
      </c>
      <c r="K3121" t="n">
        <v>0.193</v>
      </c>
      <c r="L3121" t="n">
        <v>0.8070000000000001</v>
      </c>
      <c r="M3121" t="n">
        <v>0</v>
      </c>
    </row>
    <row r="3122" spans="1:13">
      <c r="A3122" s="1">
        <f>HYPERLINK("http://www.twitter.com/NathanBLawrence/status/988725615040892928", "988725615040892928")</f>
        <v/>
      </c>
      <c r="B3122" s="2" t="n">
        <v>43214.434375</v>
      </c>
      <c r="C3122" t="n">
        <v>0</v>
      </c>
      <c r="D3122" t="n">
        <v>1</v>
      </c>
      <c r="E3122" t="s">
        <v>3110</v>
      </c>
      <c r="F3122" t="s"/>
      <c r="G3122" t="s"/>
      <c r="H3122" t="s"/>
      <c r="I3122" t="s"/>
      <c r="J3122" t="n">
        <v>0.3182</v>
      </c>
      <c r="K3122" t="n">
        <v>0</v>
      </c>
      <c r="L3122" t="n">
        <v>0.867</v>
      </c>
      <c r="M3122" t="n">
        <v>0.133</v>
      </c>
    </row>
    <row r="3123" spans="1:13">
      <c r="A3123" s="1">
        <f>HYPERLINK("http://www.twitter.com/NathanBLawrence/status/988635773636313088", "988635773636313088")</f>
        <v/>
      </c>
      <c r="B3123" s="2" t="n">
        <v>43214.18646990741</v>
      </c>
      <c r="C3123" t="n">
        <v>0</v>
      </c>
      <c r="D3123" t="n">
        <v>2</v>
      </c>
      <c r="E3123" t="s">
        <v>3111</v>
      </c>
      <c r="F3123">
        <f>HYPERLINK("http://pbs.twimg.com/media/Dbg7OAzV0AAZ9in.jpg", "http://pbs.twimg.com/media/Dbg7OAzV0AAZ9in.jpg")</f>
        <v/>
      </c>
      <c r="G3123" t="s"/>
      <c r="H3123" t="s"/>
      <c r="I3123" t="s"/>
      <c r="J3123" t="n">
        <v>0</v>
      </c>
      <c r="K3123" t="n">
        <v>0</v>
      </c>
      <c r="L3123" t="n">
        <v>1</v>
      </c>
      <c r="M3123" t="n">
        <v>0</v>
      </c>
    </row>
    <row r="3124" spans="1:13">
      <c r="A3124" s="1">
        <f>HYPERLINK("http://www.twitter.com/NathanBLawrence/status/988633723741622274", "988633723741622274")</f>
        <v/>
      </c>
      <c r="B3124" s="2" t="n">
        <v>43214.18081018519</v>
      </c>
      <c r="C3124" t="n">
        <v>0</v>
      </c>
      <c r="D3124" t="n">
        <v>1274</v>
      </c>
      <c r="E3124" t="s">
        <v>3112</v>
      </c>
      <c r="F3124">
        <f>HYPERLINK("http://pbs.twimg.com/media/DbhMduFV4AAo-sm.jpg", "http://pbs.twimg.com/media/DbhMduFV4AAo-sm.jpg")</f>
        <v/>
      </c>
      <c r="G3124" t="s"/>
      <c r="H3124" t="s"/>
      <c r="I3124" t="s"/>
      <c r="J3124" t="n">
        <v>-0.5859</v>
      </c>
      <c r="K3124" t="n">
        <v>0.236</v>
      </c>
      <c r="L3124" t="n">
        <v>0.66</v>
      </c>
      <c r="M3124" t="n">
        <v>0.104</v>
      </c>
    </row>
    <row r="3125" spans="1:13">
      <c r="A3125" s="1">
        <f>HYPERLINK("http://www.twitter.com/NathanBLawrence/status/988600193930203143", "988600193930203143")</f>
        <v/>
      </c>
      <c r="B3125" s="2" t="n">
        <v>43214.08828703704</v>
      </c>
      <c r="C3125" t="n">
        <v>2</v>
      </c>
      <c r="D3125" t="n">
        <v>1</v>
      </c>
      <c r="E3125" t="s">
        <v>3113</v>
      </c>
      <c r="F3125" t="s"/>
      <c r="G3125" t="s"/>
      <c r="H3125" t="s"/>
      <c r="I3125" t="s"/>
      <c r="J3125" t="n">
        <v>0.3182</v>
      </c>
      <c r="K3125" t="n">
        <v>0</v>
      </c>
      <c r="L3125" t="n">
        <v>0.723</v>
      </c>
      <c r="M3125" t="n">
        <v>0.277</v>
      </c>
    </row>
    <row r="3126" spans="1:13">
      <c r="A3126" s="1">
        <f>HYPERLINK("http://www.twitter.com/NathanBLawrence/status/988592093508591616", "988592093508591616")</f>
        <v/>
      </c>
      <c r="B3126" s="2" t="n">
        <v>43214.06592592593</v>
      </c>
      <c r="C3126" t="n">
        <v>0</v>
      </c>
      <c r="D3126" t="n">
        <v>4</v>
      </c>
      <c r="E3126" t="s">
        <v>3114</v>
      </c>
      <c r="F3126" t="s"/>
      <c r="G3126" t="s"/>
      <c r="H3126" t="s"/>
      <c r="I3126" t="s"/>
      <c r="J3126" t="n">
        <v>0.3724</v>
      </c>
      <c r="K3126" t="n">
        <v>0.041</v>
      </c>
      <c r="L3126" t="n">
        <v>0.867</v>
      </c>
      <c r="M3126" t="n">
        <v>0.093</v>
      </c>
    </row>
    <row r="3127" spans="1:13">
      <c r="A3127" s="1">
        <f>HYPERLINK("http://www.twitter.com/NathanBLawrence/status/988591976604938240", "988591976604938240")</f>
        <v/>
      </c>
      <c r="B3127" s="2" t="n">
        <v>43214.06561342593</v>
      </c>
      <c r="C3127" t="n">
        <v>0</v>
      </c>
      <c r="D3127" t="n">
        <v>5</v>
      </c>
      <c r="E3127" t="s">
        <v>3115</v>
      </c>
      <c r="F3127" t="s"/>
      <c r="G3127" t="s"/>
      <c r="H3127" t="s"/>
      <c r="I3127" t="s"/>
      <c r="J3127" t="n">
        <v>0.7579</v>
      </c>
      <c r="K3127" t="n">
        <v>0</v>
      </c>
      <c r="L3127" t="n">
        <v>0.694</v>
      </c>
      <c r="M3127" t="n">
        <v>0.306</v>
      </c>
    </row>
    <row r="3128" spans="1:13">
      <c r="A3128" s="1">
        <f>HYPERLINK("http://www.twitter.com/NathanBLawrence/status/988591471627554816", "988591471627554816")</f>
        <v/>
      </c>
      <c r="B3128" s="2" t="n">
        <v>43214.06421296296</v>
      </c>
      <c r="C3128" t="n">
        <v>0</v>
      </c>
      <c r="D3128" t="n">
        <v>202</v>
      </c>
      <c r="E3128" t="s">
        <v>3116</v>
      </c>
      <c r="F3128" t="s"/>
      <c r="G3128" t="s"/>
      <c r="H3128" t="s"/>
      <c r="I3128" t="s"/>
      <c r="J3128" t="n">
        <v>0</v>
      </c>
      <c r="K3128" t="n">
        <v>0</v>
      </c>
      <c r="L3128" t="n">
        <v>1</v>
      </c>
      <c r="M3128" t="n">
        <v>0</v>
      </c>
    </row>
    <row r="3129" spans="1:13">
      <c r="A3129" s="1">
        <f>HYPERLINK("http://www.twitter.com/NathanBLawrence/status/988591365599711232", "988591365599711232")</f>
        <v/>
      </c>
      <c r="B3129" s="2" t="n">
        <v>43214.06392361111</v>
      </c>
      <c r="C3129" t="n">
        <v>2</v>
      </c>
      <c r="D3129" t="n">
        <v>0</v>
      </c>
      <c r="E3129" t="s">
        <v>3117</v>
      </c>
      <c r="F3129" t="s"/>
      <c r="G3129" t="s"/>
      <c r="H3129" t="s"/>
      <c r="I3129" t="s"/>
      <c r="J3129" t="n">
        <v>0</v>
      </c>
      <c r="K3129" t="n">
        <v>0</v>
      </c>
      <c r="L3129" t="n">
        <v>1</v>
      </c>
      <c r="M3129" t="n">
        <v>0</v>
      </c>
    </row>
    <row r="3130" spans="1:13">
      <c r="A3130" s="1">
        <f>HYPERLINK("http://www.twitter.com/NathanBLawrence/status/988561051062095872", "988561051062095872")</f>
        <v/>
      </c>
      <c r="B3130" s="2" t="n">
        <v>43213.9802662037</v>
      </c>
      <c r="C3130" t="n">
        <v>0</v>
      </c>
      <c r="D3130" t="n">
        <v>1</v>
      </c>
      <c r="E3130" t="s">
        <v>3118</v>
      </c>
      <c r="F3130" t="s"/>
      <c r="G3130" t="s"/>
      <c r="H3130" t="s"/>
      <c r="I3130" t="s"/>
      <c r="J3130" t="n">
        <v>0.6124000000000001</v>
      </c>
      <c r="K3130" t="n">
        <v>0</v>
      </c>
      <c r="L3130" t="n">
        <v>0.6879999999999999</v>
      </c>
      <c r="M3130" t="n">
        <v>0.312</v>
      </c>
    </row>
    <row r="3131" spans="1:13">
      <c r="A3131" s="1">
        <f>HYPERLINK("http://www.twitter.com/NathanBLawrence/status/988548748824412160", "988548748824412160")</f>
        <v/>
      </c>
      <c r="B3131" s="2" t="n">
        <v>43213.94631944445</v>
      </c>
      <c r="C3131" t="n">
        <v>5</v>
      </c>
      <c r="D3131" t="n">
        <v>2</v>
      </c>
      <c r="E3131" t="s">
        <v>3119</v>
      </c>
      <c r="F3131" t="s"/>
      <c r="G3131" t="s"/>
      <c r="H3131" t="s"/>
      <c r="I3131" t="s"/>
      <c r="J3131" t="n">
        <v>-0.6597</v>
      </c>
      <c r="K3131" t="n">
        <v>0.25</v>
      </c>
      <c r="L3131" t="n">
        <v>0.597</v>
      </c>
      <c r="M3131" t="n">
        <v>0.153</v>
      </c>
    </row>
    <row r="3132" spans="1:13">
      <c r="A3132" s="1">
        <f>HYPERLINK("http://www.twitter.com/NathanBLawrence/status/988534483715584001", "988534483715584001")</f>
        <v/>
      </c>
      <c r="B3132" s="2" t="n">
        <v>43213.90695601852</v>
      </c>
      <c r="C3132" t="n">
        <v>0</v>
      </c>
      <c r="D3132" t="n">
        <v>71</v>
      </c>
      <c r="E3132" t="s">
        <v>3120</v>
      </c>
      <c r="F3132" t="s"/>
      <c r="G3132" t="s"/>
      <c r="H3132" t="s"/>
      <c r="I3132" t="s"/>
      <c r="J3132" t="n">
        <v>-0.372</v>
      </c>
      <c r="K3132" t="n">
        <v>0.137</v>
      </c>
      <c r="L3132" t="n">
        <v>0.791</v>
      </c>
      <c r="M3132" t="n">
        <v>0.07199999999999999</v>
      </c>
    </row>
    <row r="3133" spans="1:13">
      <c r="A3133" s="1">
        <f>HYPERLINK("http://www.twitter.com/NathanBLawrence/status/988531649699811329", "988531649699811329")</f>
        <v/>
      </c>
      <c r="B3133" s="2" t="n">
        <v>43213.89913194445</v>
      </c>
      <c r="C3133" t="n">
        <v>0</v>
      </c>
      <c r="D3133" t="n">
        <v>23</v>
      </c>
      <c r="E3133" t="s">
        <v>3121</v>
      </c>
      <c r="F3133">
        <f>HYPERLINK("http://pbs.twimg.com/media/DbdqMx6V4AInC7v.jpg", "http://pbs.twimg.com/media/DbdqMx6V4AInC7v.jpg")</f>
        <v/>
      </c>
      <c r="G3133">
        <f>HYPERLINK("http://pbs.twimg.com/media/DbdqM80VQAA3Aji.jpg", "http://pbs.twimg.com/media/DbdqM80VQAA3Aji.jpg")</f>
        <v/>
      </c>
      <c r="H3133" t="s"/>
      <c r="I3133" t="s"/>
      <c r="J3133" t="n">
        <v>0</v>
      </c>
      <c r="K3133" t="n">
        <v>0</v>
      </c>
      <c r="L3133" t="n">
        <v>1</v>
      </c>
      <c r="M3133" t="n">
        <v>0</v>
      </c>
    </row>
    <row r="3134" spans="1:13">
      <c r="A3134" s="1">
        <f>HYPERLINK("http://www.twitter.com/NathanBLawrence/status/988531530187395073", "988531530187395073")</f>
        <v/>
      </c>
      <c r="B3134" s="2" t="n">
        <v>43213.89880787037</v>
      </c>
      <c r="C3134" t="n">
        <v>0</v>
      </c>
      <c r="D3134" t="n">
        <v>172</v>
      </c>
      <c r="E3134" t="s">
        <v>3122</v>
      </c>
      <c r="F3134">
        <f>HYPERLINK("http://pbs.twimg.com/media/DbeAdYTUwAIZYLf.jpg", "http://pbs.twimg.com/media/DbeAdYTUwAIZYLf.jpg")</f>
        <v/>
      </c>
      <c r="G3134">
        <f>HYPERLINK("http://pbs.twimg.com/media/DbeAeQDUwAANvJ4.jpg", "http://pbs.twimg.com/media/DbeAeQDUwAANvJ4.jpg")</f>
        <v/>
      </c>
      <c r="H3134">
        <f>HYPERLINK("http://pbs.twimg.com/media/DbeAee1U8AAqdEG.jpg", "http://pbs.twimg.com/media/DbeAee1U8AAqdEG.jpg")</f>
        <v/>
      </c>
      <c r="I3134">
        <f>HYPERLINK("http://pbs.twimg.com/media/DbeAexDVQAIGINF.jpg", "http://pbs.twimg.com/media/DbeAexDVQAIGINF.jpg")</f>
        <v/>
      </c>
      <c r="J3134" t="n">
        <v>-0.296</v>
      </c>
      <c r="K3134" t="n">
        <v>0.136</v>
      </c>
      <c r="L3134" t="n">
        <v>0.864</v>
      </c>
      <c r="M3134" t="n">
        <v>0</v>
      </c>
    </row>
    <row r="3135" spans="1:13">
      <c r="A3135" s="1">
        <f>HYPERLINK("http://www.twitter.com/NathanBLawrence/status/988531482900750336", "988531482900750336")</f>
        <v/>
      </c>
      <c r="B3135" s="2" t="n">
        <v>43213.89868055555</v>
      </c>
      <c r="C3135" t="n">
        <v>0</v>
      </c>
      <c r="D3135" t="n">
        <v>58</v>
      </c>
      <c r="E3135" t="s">
        <v>3123</v>
      </c>
      <c r="F3135" t="s"/>
      <c r="G3135" t="s"/>
      <c r="H3135" t="s"/>
      <c r="I3135" t="s"/>
      <c r="J3135" t="n">
        <v>-0.4559</v>
      </c>
      <c r="K3135" t="n">
        <v>0.166</v>
      </c>
      <c r="L3135" t="n">
        <v>0.834</v>
      </c>
      <c r="M3135" t="n">
        <v>0</v>
      </c>
    </row>
    <row r="3136" spans="1:13">
      <c r="A3136" s="1">
        <f>HYPERLINK("http://www.twitter.com/NathanBLawrence/status/988531400679845889", "988531400679845889")</f>
        <v/>
      </c>
      <c r="B3136" s="2" t="n">
        <v>43213.89844907408</v>
      </c>
      <c r="C3136" t="n">
        <v>0</v>
      </c>
      <c r="D3136" t="n">
        <v>18</v>
      </c>
      <c r="E3136" t="s">
        <v>3124</v>
      </c>
      <c r="F3136">
        <f>HYPERLINK("http://pbs.twimg.com/media/DbeOIPLU8AAqhAT.jpg", "http://pbs.twimg.com/media/DbeOIPLU8AAqhAT.jpg")</f>
        <v/>
      </c>
      <c r="G3136">
        <f>HYPERLINK("http://pbs.twimg.com/media/DbeOI73V0AE3SD_.jpg", "http://pbs.twimg.com/media/DbeOI73V0AE3SD_.jpg")</f>
        <v/>
      </c>
      <c r="H3136" t="s"/>
      <c r="I3136" t="s"/>
      <c r="J3136" t="n">
        <v>0</v>
      </c>
      <c r="K3136" t="n">
        <v>0</v>
      </c>
      <c r="L3136" t="n">
        <v>1</v>
      </c>
      <c r="M3136" t="n">
        <v>0</v>
      </c>
    </row>
    <row r="3137" spans="1:13">
      <c r="A3137" s="1">
        <f>HYPERLINK("http://www.twitter.com/NathanBLawrence/status/988531329678630914", "988531329678630914")</f>
        <v/>
      </c>
      <c r="B3137" s="2" t="n">
        <v>43213.89825231482</v>
      </c>
      <c r="C3137" t="n">
        <v>0</v>
      </c>
      <c r="D3137" t="n">
        <v>480</v>
      </c>
      <c r="E3137" t="s">
        <v>3125</v>
      </c>
      <c r="F3137">
        <f>HYPERLINK("http://pbs.twimg.com/media/DbdrWfWWsAEsfqA.jpg", "http://pbs.twimg.com/media/DbdrWfWWsAEsfqA.jpg")</f>
        <v/>
      </c>
      <c r="G3137" t="s"/>
      <c r="H3137" t="s"/>
      <c r="I3137" t="s"/>
      <c r="J3137" t="n">
        <v>0.9185</v>
      </c>
      <c r="K3137" t="n">
        <v>0</v>
      </c>
      <c r="L3137" t="n">
        <v>0.6</v>
      </c>
      <c r="M3137" t="n">
        <v>0.4</v>
      </c>
    </row>
    <row r="3138" spans="1:13">
      <c r="A3138" s="1">
        <f>HYPERLINK("http://www.twitter.com/NathanBLawrence/status/988531262393671680", "988531262393671680")</f>
        <v/>
      </c>
      <c r="B3138" s="2" t="n">
        <v>43213.89806712963</v>
      </c>
      <c r="C3138" t="n">
        <v>0</v>
      </c>
      <c r="D3138" t="n">
        <v>298</v>
      </c>
      <c r="E3138" t="s">
        <v>3126</v>
      </c>
      <c r="F3138" t="s"/>
      <c r="G3138" t="s"/>
      <c r="H3138" t="s"/>
      <c r="I3138" t="s"/>
      <c r="J3138" t="n">
        <v>0</v>
      </c>
      <c r="K3138" t="n">
        <v>0</v>
      </c>
      <c r="L3138" t="n">
        <v>1</v>
      </c>
      <c r="M3138" t="n">
        <v>0</v>
      </c>
    </row>
    <row r="3139" spans="1:13">
      <c r="A3139" s="1">
        <f>HYPERLINK("http://www.twitter.com/NathanBLawrence/status/988531149348786180", "988531149348786180")</f>
        <v/>
      </c>
      <c r="B3139" s="2" t="n">
        <v>43213.89775462963</v>
      </c>
      <c r="C3139" t="n">
        <v>0</v>
      </c>
      <c r="D3139" t="n">
        <v>145</v>
      </c>
      <c r="E3139" t="s">
        <v>3127</v>
      </c>
      <c r="F3139" t="s"/>
      <c r="G3139" t="s"/>
      <c r="H3139" t="s"/>
      <c r="I3139" t="s"/>
      <c r="J3139" t="n">
        <v>0.6884</v>
      </c>
      <c r="K3139" t="n">
        <v>0</v>
      </c>
      <c r="L3139" t="n">
        <v>0.762</v>
      </c>
      <c r="M3139" t="n">
        <v>0.238</v>
      </c>
    </row>
    <row r="3140" spans="1:13">
      <c r="A3140" s="1">
        <f>HYPERLINK("http://www.twitter.com/NathanBLawrence/status/988531107619659777", "988531107619659777")</f>
        <v/>
      </c>
      <c r="B3140" s="2" t="n">
        <v>43213.89763888889</v>
      </c>
      <c r="C3140" t="n">
        <v>0</v>
      </c>
      <c r="D3140" t="n">
        <v>44</v>
      </c>
      <c r="E3140" t="s">
        <v>3128</v>
      </c>
      <c r="F3140">
        <f>HYPERLINK("http://pbs.twimg.com/media/DbelAWeUQAAJwmV.jpg", "http://pbs.twimg.com/media/DbelAWeUQAAJwmV.jpg")</f>
        <v/>
      </c>
      <c r="G3140" t="s"/>
      <c r="H3140" t="s"/>
      <c r="I3140" t="s"/>
      <c r="J3140" t="n">
        <v>0</v>
      </c>
      <c r="K3140" t="n">
        <v>0</v>
      </c>
      <c r="L3140" t="n">
        <v>1</v>
      </c>
      <c r="M3140" t="n">
        <v>0</v>
      </c>
    </row>
    <row r="3141" spans="1:13">
      <c r="A3141" s="1">
        <f>HYPERLINK("http://www.twitter.com/NathanBLawrence/status/988531054981107712", "988531054981107712")</f>
        <v/>
      </c>
      <c r="B3141" s="2" t="n">
        <v>43213.8975</v>
      </c>
      <c r="C3141" t="n">
        <v>0</v>
      </c>
      <c r="D3141" t="n">
        <v>24</v>
      </c>
      <c r="E3141" t="s">
        <v>3129</v>
      </c>
      <c r="F3141">
        <f>HYPERLINK("http://pbs.twimg.com/media/DbeoC-qV0AAcpkF.jpg", "http://pbs.twimg.com/media/DbeoC-qV0AAcpkF.jpg")</f>
        <v/>
      </c>
      <c r="G3141" t="s"/>
      <c r="H3141" t="s"/>
      <c r="I3141" t="s"/>
      <c r="J3141" t="n">
        <v>0</v>
      </c>
      <c r="K3141" t="n">
        <v>0</v>
      </c>
      <c r="L3141" t="n">
        <v>1</v>
      </c>
      <c r="M3141"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